
<file path=[Content_Types].xml><?xml version="1.0" encoding="utf-8"?>
<Types xmlns="http://schemas.openxmlformats.org/package/2006/content-types">
  <Default Extension="rels" ContentType="application/vnd.openxmlformats-package.relationships+xml"/>
  <Default Extension="tmp" ContentType="image/png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USUARIO\Documents\7mo semestre\Propulsión\"/>
    </mc:Choice>
  </mc:AlternateContent>
  <xr:revisionPtr revIDLastSave="0" documentId="13_ncr:1_{532D73D5-3D5A-4B0D-BC51-65F85B9579F4}" xr6:coauthVersionLast="47" xr6:coauthVersionMax="47" xr10:uidLastSave="{00000000-0000-0000-0000-000000000000}"/>
  <bookViews>
    <workbookView xWindow="0" yWindow="0" windowWidth="14400" windowHeight="15600" firstSheet="2" activeTab="3" xr2:uid="{31381100-842C-4AD7-BBF7-9162F51C55FC}"/>
    <workbookView xWindow="-120" yWindow="-120" windowWidth="29040" windowHeight="15840" firstSheet="2" activeTab="4" xr2:uid="{4ED7C94C-B067-4CA7-AA12-A8BD98054E0D}"/>
  </bookViews>
  <sheets>
    <sheet name="Planeación" sheetId="1" r:id="rId1"/>
    <sheet name="Planeación (2)" sheetId="5" r:id="rId2"/>
    <sheet name="Thrust" sheetId="4" r:id="rId3"/>
    <sheet name="Iteraciones" sheetId="13" r:id="rId4"/>
    <sheet name="Iteraciones (2)" sheetId="14" r:id="rId5"/>
  </sheets>
  <calcPr calcId="191028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" i="14" l="1"/>
  <c r="D4" i="14"/>
  <c r="E4" i="14"/>
  <c r="F4" i="14"/>
  <c r="G4" i="14"/>
  <c r="H4" i="14"/>
  <c r="C7" i="14"/>
  <c r="C8" i="14" s="1"/>
  <c r="D7" i="14"/>
  <c r="E7" i="14"/>
  <c r="F7" i="14"/>
  <c r="F8" i="14" s="1"/>
  <c r="G7" i="14"/>
  <c r="H7" i="14"/>
  <c r="H8" i="14" s="1"/>
  <c r="D8" i="14"/>
  <c r="E8" i="14"/>
  <c r="G8" i="14"/>
  <c r="C10" i="14"/>
  <c r="D10" i="14"/>
  <c r="E10" i="14"/>
  <c r="F10" i="14"/>
  <c r="G10" i="14"/>
  <c r="H10" i="14"/>
  <c r="C18" i="14"/>
  <c r="D18" i="14"/>
  <c r="E18" i="14"/>
  <c r="F18" i="14"/>
  <c r="G18" i="14"/>
  <c r="H18" i="14"/>
  <c r="C19" i="14"/>
  <c r="D19" i="14"/>
  <c r="E19" i="14"/>
  <c r="F19" i="14"/>
  <c r="G19" i="14"/>
  <c r="H19" i="14"/>
  <c r="C22" i="14"/>
  <c r="D22" i="14"/>
  <c r="E22" i="14"/>
  <c r="F22" i="14"/>
  <c r="G22" i="14"/>
  <c r="H22" i="14"/>
  <c r="H32" i="14" s="1"/>
  <c r="H39" i="14" s="1"/>
  <c r="H42" i="14" s="1"/>
  <c r="H40" i="14" s="1"/>
  <c r="C23" i="14"/>
  <c r="D23" i="14"/>
  <c r="E23" i="14"/>
  <c r="F23" i="14"/>
  <c r="G23" i="14"/>
  <c r="H23" i="14"/>
  <c r="C24" i="14"/>
  <c r="D24" i="14"/>
  <c r="E24" i="14"/>
  <c r="F24" i="14"/>
  <c r="G24" i="14"/>
  <c r="H24" i="14"/>
  <c r="H82" i="14" s="1"/>
  <c r="C25" i="14"/>
  <c r="C21" i="14" s="1"/>
  <c r="D25" i="14"/>
  <c r="D21" i="14" s="1"/>
  <c r="D60" i="14" s="1"/>
  <c r="E25" i="14"/>
  <c r="E21" i="14" s="1"/>
  <c r="E60" i="14" s="1"/>
  <c r="F25" i="14"/>
  <c r="F21" i="14" s="1"/>
  <c r="G25" i="14"/>
  <c r="G21" i="14" s="1"/>
  <c r="G60" i="14" s="1"/>
  <c r="H25" i="14"/>
  <c r="H21" i="14" s="1"/>
  <c r="C27" i="14"/>
  <c r="D27" i="14"/>
  <c r="E27" i="14"/>
  <c r="F27" i="14"/>
  <c r="G27" i="14"/>
  <c r="H27" i="14"/>
  <c r="C31" i="14"/>
  <c r="D31" i="14"/>
  <c r="E31" i="14"/>
  <c r="F31" i="14"/>
  <c r="G31" i="14"/>
  <c r="H31" i="14"/>
  <c r="C32" i="14"/>
  <c r="D32" i="14"/>
  <c r="E32" i="14"/>
  <c r="F32" i="14"/>
  <c r="G32" i="14"/>
  <c r="C36" i="14"/>
  <c r="D36" i="14"/>
  <c r="E36" i="14"/>
  <c r="F36" i="14"/>
  <c r="G36" i="14"/>
  <c r="H36" i="14"/>
  <c r="C37" i="14"/>
  <c r="D37" i="14"/>
  <c r="E37" i="14"/>
  <c r="F37" i="14"/>
  <c r="G37" i="14"/>
  <c r="H37" i="14"/>
  <c r="H41" i="14" s="1"/>
  <c r="C38" i="14"/>
  <c r="D38" i="14"/>
  <c r="D41" i="14" s="1"/>
  <c r="E38" i="14"/>
  <c r="E41" i="14" s="1"/>
  <c r="F38" i="14"/>
  <c r="G38" i="14"/>
  <c r="G41" i="14" s="1"/>
  <c r="H38" i="14"/>
  <c r="C39" i="14"/>
  <c r="C42" i="14" s="1"/>
  <c r="C40" i="14" s="1"/>
  <c r="D39" i="14"/>
  <c r="E39" i="14"/>
  <c r="F39" i="14"/>
  <c r="F42" i="14" s="1"/>
  <c r="F40" i="14" s="1"/>
  <c r="G39" i="14"/>
  <c r="C41" i="14"/>
  <c r="F41" i="14"/>
  <c r="D42" i="14"/>
  <c r="D40" i="14" s="1"/>
  <c r="E42" i="14"/>
  <c r="E40" i="14" s="1"/>
  <c r="G42" i="14"/>
  <c r="G40" i="14" s="1"/>
  <c r="C44" i="14"/>
  <c r="C46" i="14" s="1"/>
  <c r="D44" i="14"/>
  <c r="E44" i="14"/>
  <c r="F44" i="14"/>
  <c r="F46" i="14" s="1"/>
  <c r="G44" i="14"/>
  <c r="H44" i="14"/>
  <c r="H48" i="14" s="1"/>
  <c r="H51" i="14" s="1"/>
  <c r="D46" i="14"/>
  <c r="E46" i="14"/>
  <c r="G46" i="14"/>
  <c r="C48" i="14"/>
  <c r="D48" i="14"/>
  <c r="E48" i="14"/>
  <c r="F48" i="14"/>
  <c r="G48" i="14"/>
  <c r="C49" i="14"/>
  <c r="D49" i="14"/>
  <c r="E49" i="14"/>
  <c r="F49" i="14"/>
  <c r="G49" i="14"/>
  <c r="H49" i="14"/>
  <c r="C51" i="14"/>
  <c r="C52" i="14" s="1"/>
  <c r="D51" i="14"/>
  <c r="E51" i="14"/>
  <c r="F51" i="14"/>
  <c r="F52" i="14" s="1"/>
  <c r="G51" i="14"/>
  <c r="D52" i="14"/>
  <c r="D53" i="14" s="1"/>
  <c r="E52" i="14"/>
  <c r="E53" i="14" s="1"/>
  <c r="G52" i="14"/>
  <c r="G53" i="14" s="1"/>
  <c r="D56" i="14"/>
  <c r="D66" i="14" s="1"/>
  <c r="E56" i="14"/>
  <c r="E66" i="14" s="1"/>
  <c r="G56" i="14"/>
  <c r="G66" i="14" s="1"/>
  <c r="C57" i="14"/>
  <c r="C69" i="14" s="1"/>
  <c r="D57" i="14"/>
  <c r="E57" i="14"/>
  <c r="F57" i="14"/>
  <c r="F69" i="14" s="1"/>
  <c r="G57" i="14"/>
  <c r="H57" i="14"/>
  <c r="H69" i="14" s="1"/>
  <c r="D58" i="14"/>
  <c r="E58" i="14"/>
  <c r="G58" i="14"/>
  <c r="C67" i="14"/>
  <c r="D67" i="14"/>
  <c r="E67" i="14"/>
  <c r="F67" i="14"/>
  <c r="G67" i="14"/>
  <c r="H67" i="14"/>
  <c r="C68" i="14"/>
  <c r="D68" i="14"/>
  <c r="E68" i="14"/>
  <c r="F68" i="14"/>
  <c r="G68" i="14"/>
  <c r="H68" i="14"/>
  <c r="D69" i="14"/>
  <c r="E69" i="14"/>
  <c r="G69" i="14"/>
  <c r="C79" i="14"/>
  <c r="D79" i="14"/>
  <c r="D80" i="14" s="1"/>
  <c r="E79" i="14"/>
  <c r="E80" i="14" s="1"/>
  <c r="F79" i="14"/>
  <c r="G79" i="14"/>
  <c r="G80" i="14" s="1"/>
  <c r="H79" i="14"/>
  <c r="C80" i="14"/>
  <c r="F80" i="14"/>
  <c r="H80" i="14"/>
  <c r="D82" i="14"/>
  <c r="E82" i="14"/>
  <c r="G82" i="14"/>
  <c r="C83" i="14"/>
  <c r="D83" i="14"/>
  <c r="E83" i="14"/>
  <c r="F83" i="14"/>
  <c r="G83" i="14"/>
  <c r="H83" i="14"/>
  <c r="D84" i="14"/>
  <c r="D96" i="14" s="1"/>
  <c r="E84" i="14"/>
  <c r="E96" i="14" s="1"/>
  <c r="G84" i="14"/>
  <c r="G96" i="14" s="1"/>
  <c r="D87" i="14"/>
  <c r="D86" i="14" s="1"/>
  <c r="E87" i="14"/>
  <c r="E86" i="14" s="1"/>
  <c r="G87" i="14"/>
  <c r="G86" i="14" s="1"/>
  <c r="C88" i="14"/>
  <c r="D88" i="14"/>
  <c r="E88" i="14"/>
  <c r="F88" i="14"/>
  <c r="G88" i="14"/>
  <c r="H88" i="14"/>
  <c r="D89" i="14"/>
  <c r="D71" i="14" s="1"/>
  <c r="E89" i="14"/>
  <c r="E71" i="14" s="1"/>
  <c r="G89" i="14"/>
  <c r="G71" i="14" s="1"/>
  <c r="D95" i="14"/>
  <c r="D113" i="14" s="1"/>
  <c r="E95" i="14"/>
  <c r="E113" i="14" s="1"/>
  <c r="G95" i="14"/>
  <c r="G113" i="14" s="1"/>
  <c r="D97" i="14"/>
  <c r="E97" i="14"/>
  <c r="G97" i="14"/>
  <c r="C118" i="14"/>
  <c r="D118" i="14"/>
  <c r="E118" i="14"/>
  <c r="F118" i="14"/>
  <c r="G118" i="14"/>
  <c r="H118" i="14"/>
  <c r="C119" i="14"/>
  <c r="D119" i="14"/>
  <c r="E119" i="14"/>
  <c r="F119" i="14"/>
  <c r="G119" i="14"/>
  <c r="H119" i="14"/>
  <c r="C122" i="14"/>
  <c r="D122" i="14"/>
  <c r="E122" i="14"/>
  <c r="F122" i="14"/>
  <c r="G122" i="14"/>
  <c r="H122" i="14"/>
  <c r="B82" i="14"/>
  <c r="B89" i="14" s="1"/>
  <c r="B71" i="14" s="1"/>
  <c r="B72" i="14" s="1"/>
  <c r="B122" i="14"/>
  <c r="B119" i="14"/>
  <c r="B68" i="14"/>
  <c r="B67" i="14"/>
  <c r="B57" i="14"/>
  <c r="B44" i="14"/>
  <c r="B37" i="14"/>
  <c r="B27" i="14"/>
  <c r="B25" i="14"/>
  <c r="B49" i="14" s="1"/>
  <c r="B23" i="14"/>
  <c r="B22" i="14"/>
  <c r="B32" i="14" s="1"/>
  <c r="B39" i="14" s="1"/>
  <c r="B42" i="14" s="1"/>
  <c r="B40" i="14" s="1"/>
  <c r="B21" i="14"/>
  <c r="B19" i="14"/>
  <c r="B18" i="14"/>
  <c r="B10" i="14"/>
  <c r="B7" i="14"/>
  <c r="B8" i="14" s="1"/>
  <c r="B4" i="14"/>
  <c r="B118" i="14" s="1"/>
  <c r="D7" i="13"/>
  <c r="E7" i="13"/>
  <c r="E8" i="13" s="1"/>
  <c r="F7" i="13"/>
  <c r="F8" i="13" s="1"/>
  <c r="G7" i="13"/>
  <c r="G8" i="13" s="1"/>
  <c r="H7" i="13"/>
  <c r="I7" i="13"/>
  <c r="J7" i="13"/>
  <c r="K7" i="13"/>
  <c r="K8" i="13" s="1"/>
  <c r="L7" i="13"/>
  <c r="L8" i="13" s="1"/>
  <c r="M7" i="13"/>
  <c r="M8" i="13" s="1"/>
  <c r="N7" i="13"/>
  <c r="N8" i="13" s="1"/>
  <c r="O7" i="13"/>
  <c r="P7" i="13"/>
  <c r="Q7" i="13"/>
  <c r="Q8" i="13" s="1"/>
  <c r="R7" i="13"/>
  <c r="R8" i="13" s="1"/>
  <c r="S7" i="13"/>
  <c r="S8" i="13" s="1"/>
  <c r="T7" i="13"/>
  <c r="T8" i="13" s="1"/>
  <c r="U7" i="13"/>
  <c r="V7" i="13"/>
  <c r="W7" i="13"/>
  <c r="W8" i="13" s="1"/>
  <c r="X7" i="13"/>
  <c r="X8" i="13" s="1"/>
  <c r="Y7" i="13"/>
  <c r="Y8" i="13" s="1"/>
  <c r="D8" i="13"/>
  <c r="H8" i="13"/>
  <c r="I8" i="13"/>
  <c r="J8" i="13"/>
  <c r="O8" i="13"/>
  <c r="P8" i="13"/>
  <c r="U8" i="13"/>
  <c r="V8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P10" i="13"/>
  <c r="Q10" i="13"/>
  <c r="R10" i="13"/>
  <c r="S10" i="13"/>
  <c r="T10" i="13"/>
  <c r="U10" i="13"/>
  <c r="V10" i="13"/>
  <c r="W10" i="13"/>
  <c r="X10" i="13"/>
  <c r="Y10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P18" i="13"/>
  <c r="Q18" i="13"/>
  <c r="R18" i="13"/>
  <c r="S18" i="13"/>
  <c r="T18" i="13"/>
  <c r="U18" i="13"/>
  <c r="V18" i="13"/>
  <c r="W18" i="13"/>
  <c r="X18" i="13"/>
  <c r="Y18" i="13"/>
  <c r="D19" i="13"/>
  <c r="E19" i="13"/>
  <c r="F19" i="13"/>
  <c r="G19" i="13"/>
  <c r="H19" i="13"/>
  <c r="I19" i="13"/>
  <c r="J19" i="13"/>
  <c r="K19" i="13"/>
  <c r="L19" i="13"/>
  <c r="M19" i="13"/>
  <c r="N19" i="13"/>
  <c r="O19" i="13"/>
  <c r="P19" i="13"/>
  <c r="Q19" i="13"/>
  <c r="R19" i="13"/>
  <c r="S19" i="13"/>
  <c r="T19" i="13"/>
  <c r="U19" i="13"/>
  <c r="V19" i="13"/>
  <c r="W19" i="13"/>
  <c r="X19" i="13"/>
  <c r="Y19" i="13"/>
  <c r="L21" i="13"/>
  <c r="X21" i="13"/>
  <c r="D22" i="13"/>
  <c r="E22" i="13"/>
  <c r="F22" i="13"/>
  <c r="G22" i="13"/>
  <c r="G24" i="13" s="1"/>
  <c r="H22" i="13"/>
  <c r="H24" i="13" s="1"/>
  <c r="H48" i="13" s="1"/>
  <c r="H51" i="13" s="1"/>
  <c r="I22" i="13"/>
  <c r="J22" i="13"/>
  <c r="K22" i="13"/>
  <c r="L22" i="13"/>
  <c r="M22" i="13"/>
  <c r="M24" i="13" s="1"/>
  <c r="N22" i="13"/>
  <c r="N24" i="13" s="1"/>
  <c r="N48" i="13" s="1"/>
  <c r="N51" i="13" s="1"/>
  <c r="O22" i="13"/>
  <c r="P22" i="13"/>
  <c r="Q22" i="13"/>
  <c r="R22" i="13"/>
  <c r="S22" i="13"/>
  <c r="S24" i="13" s="1"/>
  <c r="T22" i="13"/>
  <c r="T24" i="13" s="1"/>
  <c r="T48" i="13" s="1"/>
  <c r="T51" i="13" s="1"/>
  <c r="U22" i="13"/>
  <c r="V22" i="13"/>
  <c r="W22" i="13"/>
  <c r="X22" i="13"/>
  <c r="Y22" i="13"/>
  <c r="Y24" i="13" s="1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D24" i="13"/>
  <c r="E24" i="13"/>
  <c r="F24" i="13"/>
  <c r="I24" i="13"/>
  <c r="J24" i="13"/>
  <c r="K24" i="13"/>
  <c r="L24" i="13"/>
  <c r="O24" i="13"/>
  <c r="P24" i="13"/>
  <c r="Q24" i="13"/>
  <c r="R24" i="13"/>
  <c r="U24" i="13"/>
  <c r="V24" i="13"/>
  <c r="W24" i="13"/>
  <c r="X24" i="13"/>
  <c r="D25" i="13"/>
  <c r="D49" i="13" s="1"/>
  <c r="E25" i="13"/>
  <c r="E21" i="13" s="1"/>
  <c r="F25" i="13"/>
  <c r="F21" i="13" s="1"/>
  <c r="G25" i="13"/>
  <c r="G21" i="13" s="1"/>
  <c r="H25" i="13"/>
  <c r="I25" i="13"/>
  <c r="J25" i="13"/>
  <c r="K25" i="13"/>
  <c r="K21" i="13" s="1"/>
  <c r="L25" i="13"/>
  <c r="L31" i="13" s="1"/>
  <c r="L38" i="13" s="1"/>
  <c r="L83" i="13" s="1"/>
  <c r="L88" i="13" s="1"/>
  <c r="M25" i="13"/>
  <c r="M21" i="13" s="1"/>
  <c r="N25" i="13"/>
  <c r="N21" i="13" s="1"/>
  <c r="O25" i="13"/>
  <c r="O31" i="13" s="1"/>
  <c r="O38" i="13" s="1"/>
  <c r="P25" i="13"/>
  <c r="P31" i="13" s="1"/>
  <c r="P38" i="13" s="1"/>
  <c r="P83" i="13" s="1"/>
  <c r="P88" i="13" s="1"/>
  <c r="Q25" i="13"/>
  <c r="Q21" i="13" s="1"/>
  <c r="R25" i="13"/>
  <c r="R21" i="13" s="1"/>
  <c r="S25" i="13"/>
  <c r="S21" i="13" s="1"/>
  <c r="T25" i="13"/>
  <c r="U25" i="13"/>
  <c r="V25" i="13"/>
  <c r="V31" i="13" s="1"/>
  <c r="V38" i="13" s="1"/>
  <c r="W25" i="13"/>
  <c r="W21" i="13" s="1"/>
  <c r="X25" i="13"/>
  <c r="Y25" i="13"/>
  <c r="Y21" i="13" s="1"/>
  <c r="D27" i="13"/>
  <c r="D32" i="13" s="1"/>
  <c r="D39" i="13" s="1"/>
  <c r="E27" i="13"/>
  <c r="F27" i="13"/>
  <c r="G27" i="13"/>
  <c r="H27" i="13"/>
  <c r="I27" i="13"/>
  <c r="I32" i="13" s="1"/>
  <c r="I39" i="13" s="1"/>
  <c r="J27" i="13"/>
  <c r="J32" i="13" s="1"/>
  <c r="K27" i="13"/>
  <c r="L27" i="13"/>
  <c r="M27" i="13"/>
  <c r="N27" i="13"/>
  <c r="O27" i="13"/>
  <c r="O32" i="13" s="1"/>
  <c r="O39" i="13" s="1"/>
  <c r="P27" i="13"/>
  <c r="P32" i="13" s="1"/>
  <c r="P39" i="13" s="1"/>
  <c r="Q27" i="13"/>
  <c r="R27" i="13"/>
  <c r="S27" i="13"/>
  <c r="T27" i="13"/>
  <c r="U27" i="13"/>
  <c r="U32" i="13" s="1"/>
  <c r="U39" i="13" s="1"/>
  <c r="V27" i="13"/>
  <c r="V32" i="13" s="1"/>
  <c r="W27" i="13"/>
  <c r="X27" i="13"/>
  <c r="Y27" i="13"/>
  <c r="F31" i="13"/>
  <c r="I31" i="13"/>
  <c r="J31" i="13"/>
  <c r="J38" i="13" s="1"/>
  <c r="R31" i="13"/>
  <c r="R38" i="13" s="1"/>
  <c r="R83" i="13" s="1"/>
  <c r="R88" i="13" s="1"/>
  <c r="U31" i="13"/>
  <c r="U38" i="13" s="1"/>
  <c r="X31" i="13"/>
  <c r="X38" i="13" s="1"/>
  <c r="E32" i="13"/>
  <c r="E39" i="13" s="1"/>
  <c r="F32" i="13"/>
  <c r="F39" i="13" s="1"/>
  <c r="G32" i="13"/>
  <c r="G39" i="13" s="1"/>
  <c r="H32" i="13"/>
  <c r="K32" i="13"/>
  <c r="L32" i="13"/>
  <c r="L39" i="13" s="1"/>
  <c r="M32" i="13"/>
  <c r="Q32" i="13"/>
  <c r="Q39" i="13" s="1"/>
  <c r="R32" i="13"/>
  <c r="R39" i="13" s="1"/>
  <c r="R42" i="13" s="1"/>
  <c r="R40" i="13" s="1"/>
  <c r="S32" i="13"/>
  <c r="S39" i="13" s="1"/>
  <c r="T32" i="13"/>
  <c r="W32" i="13"/>
  <c r="X32" i="13"/>
  <c r="X39" i="13" s="1"/>
  <c r="Y32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F38" i="13"/>
  <c r="I38" i="13"/>
  <c r="I41" i="13" s="1"/>
  <c r="H39" i="13"/>
  <c r="J39" i="13"/>
  <c r="K39" i="13"/>
  <c r="K42" i="13" s="1"/>
  <c r="K40" i="13" s="1"/>
  <c r="M39" i="13"/>
  <c r="M42" i="13" s="1"/>
  <c r="M40" i="13" s="1"/>
  <c r="T39" i="13"/>
  <c r="V39" i="13"/>
  <c r="W39" i="13"/>
  <c r="Y39" i="13"/>
  <c r="Y42" i="13" s="1"/>
  <c r="Y40" i="13" s="1"/>
  <c r="H42" i="13"/>
  <c r="H40" i="13" s="1"/>
  <c r="P42" i="13"/>
  <c r="P40" i="13" s="1"/>
  <c r="T42" i="13"/>
  <c r="T40" i="13" s="1"/>
  <c r="D44" i="13"/>
  <c r="D46" i="13" s="1"/>
  <c r="E44" i="13"/>
  <c r="E48" i="13" s="1"/>
  <c r="E51" i="13" s="1"/>
  <c r="F44" i="13"/>
  <c r="G44" i="13"/>
  <c r="G46" i="13" s="1"/>
  <c r="H44" i="13"/>
  <c r="I44" i="13"/>
  <c r="I46" i="13" s="1"/>
  <c r="J44" i="13"/>
  <c r="J46" i="13" s="1"/>
  <c r="K44" i="13"/>
  <c r="K46" i="13" s="1"/>
  <c r="L44" i="13"/>
  <c r="L48" i="13" s="1"/>
  <c r="L51" i="13" s="1"/>
  <c r="L52" i="13" s="1"/>
  <c r="M44" i="13"/>
  <c r="M46" i="13" s="1"/>
  <c r="N44" i="13"/>
  <c r="O44" i="13"/>
  <c r="O46" i="13" s="1"/>
  <c r="P44" i="13"/>
  <c r="P46" i="13" s="1"/>
  <c r="Q44" i="13"/>
  <c r="Q48" i="13" s="1"/>
  <c r="Q51" i="13" s="1"/>
  <c r="Q52" i="13" s="1"/>
  <c r="R44" i="13"/>
  <c r="S44" i="13"/>
  <c r="S46" i="13" s="1"/>
  <c r="T44" i="13"/>
  <c r="U44" i="13"/>
  <c r="U46" i="13" s="1"/>
  <c r="V44" i="13"/>
  <c r="V46" i="13" s="1"/>
  <c r="W44" i="13"/>
  <c r="W46" i="13" s="1"/>
  <c r="X44" i="13"/>
  <c r="X48" i="13" s="1"/>
  <c r="X51" i="13" s="1"/>
  <c r="X52" i="13" s="1"/>
  <c r="Y44" i="13"/>
  <c r="H46" i="13"/>
  <c r="N46" i="13"/>
  <c r="T46" i="13"/>
  <c r="Y46" i="13"/>
  <c r="I48" i="13"/>
  <c r="I51" i="13" s="1"/>
  <c r="J48" i="13"/>
  <c r="J51" i="13" s="1"/>
  <c r="O48" i="13"/>
  <c r="O51" i="13" s="1"/>
  <c r="E49" i="13"/>
  <c r="F49" i="13"/>
  <c r="I49" i="13"/>
  <c r="J49" i="13"/>
  <c r="L49" i="13"/>
  <c r="O49" i="13"/>
  <c r="P49" i="13"/>
  <c r="Q49" i="13"/>
  <c r="R49" i="13"/>
  <c r="U49" i="13"/>
  <c r="V49" i="13"/>
  <c r="X49" i="13"/>
  <c r="D57" i="13"/>
  <c r="E57" i="13"/>
  <c r="F57" i="13"/>
  <c r="G57" i="13"/>
  <c r="H57" i="13"/>
  <c r="I57" i="13"/>
  <c r="I69" i="13" s="1"/>
  <c r="J57" i="13"/>
  <c r="J69" i="13" s="1"/>
  <c r="K57" i="13"/>
  <c r="L57" i="13"/>
  <c r="M57" i="13"/>
  <c r="N57" i="13"/>
  <c r="O57" i="13"/>
  <c r="P57" i="13"/>
  <c r="Q57" i="13"/>
  <c r="R57" i="13"/>
  <c r="S57" i="13"/>
  <c r="T57" i="13"/>
  <c r="U57" i="13"/>
  <c r="U69" i="13" s="1"/>
  <c r="V57" i="13"/>
  <c r="W57" i="13"/>
  <c r="X57" i="13"/>
  <c r="Y57" i="13"/>
  <c r="X58" i="13"/>
  <c r="D67" i="13"/>
  <c r="E67" i="13"/>
  <c r="F67" i="13"/>
  <c r="G67" i="13"/>
  <c r="G69" i="13" s="1"/>
  <c r="H67" i="13"/>
  <c r="H69" i="13" s="1"/>
  <c r="I67" i="13"/>
  <c r="J67" i="13"/>
  <c r="K67" i="13"/>
  <c r="L67" i="13"/>
  <c r="L69" i="13" s="1"/>
  <c r="M67" i="13"/>
  <c r="M69" i="13" s="1"/>
  <c r="N67" i="13"/>
  <c r="N69" i="13" s="1"/>
  <c r="O67" i="13"/>
  <c r="P67" i="13"/>
  <c r="Q67" i="13"/>
  <c r="R67" i="13"/>
  <c r="S67" i="13"/>
  <c r="S69" i="13" s="1"/>
  <c r="T67" i="13"/>
  <c r="T69" i="13" s="1"/>
  <c r="U67" i="13"/>
  <c r="V67" i="13"/>
  <c r="W67" i="13"/>
  <c r="X67" i="13"/>
  <c r="Y67" i="13"/>
  <c r="Y69" i="13" s="1"/>
  <c r="D68" i="13"/>
  <c r="E68" i="13"/>
  <c r="F68" i="13"/>
  <c r="G68" i="13"/>
  <c r="H68" i="13"/>
  <c r="I68" i="13"/>
  <c r="J68" i="13"/>
  <c r="K68" i="13"/>
  <c r="L68" i="13"/>
  <c r="M68" i="13"/>
  <c r="N68" i="13"/>
  <c r="O68" i="13"/>
  <c r="P68" i="13"/>
  <c r="Q68" i="13"/>
  <c r="R68" i="13"/>
  <c r="S68" i="13"/>
  <c r="T68" i="13"/>
  <c r="U68" i="13"/>
  <c r="V68" i="13"/>
  <c r="W68" i="13"/>
  <c r="X68" i="13"/>
  <c r="Y68" i="13"/>
  <c r="E69" i="13"/>
  <c r="F69" i="13"/>
  <c r="K69" i="13"/>
  <c r="O69" i="13"/>
  <c r="P69" i="13"/>
  <c r="Q69" i="13"/>
  <c r="R69" i="13"/>
  <c r="V69" i="13"/>
  <c r="W69" i="13"/>
  <c r="X69" i="13"/>
  <c r="D78" i="13"/>
  <c r="D80" i="13" s="1"/>
  <c r="E78" i="13"/>
  <c r="F78" i="13"/>
  <c r="G78" i="13"/>
  <c r="H78" i="13"/>
  <c r="I78" i="13"/>
  <c r="I80" i="13" s="1"/>
  <c r="J78" i="13"/>
  <c r="J80" i="13" s="1"/>
  <c r="K78" i="13"/>
  <c r="L78" i="13"/>
  <c r="M78" i="13"/>
  <c r="M80" i="13" s="1"/>
  <c r="N78" i="13"/>
  <c r="N80" i="13" s="1"/>
  <c r="O78" i="13"/>
  <c r="O80" i="13" s="1"/>
  <c r="P78" i="13"/>
  <c r="P80" i="13" s="1"/>
  <c r="Q78" i="13"/>
  <c r="R78" i="13"/>
  <c r="S78" i="13"/>
  <c r="T78" i="13"/>
  <c r="U78" i="13"/>
  <c r="U80" i="13" s="1"/>
  <c r="V78" i="13"/>
  <c r="V80" i="13" s="1"/>
  <c r="W78" i="13"/>
  <c r="X78" i="13"/>
  <c r="X80" i="13" s="1"/>
  <c r="Y78" i="13"/>
  <c r="G80" i="13"/>
  <c r="H80" i="13"/>
  <c r="L80" i="13"/>
  <c r="S80" i="13"/>
  <c r="T80" i="13"/>
  <c r="Y80" i="13"/>
  <c r="F83" i="13"/>
  <c r="I83" i="13"/>
  <c r="I88" i="13" s="1"/>
  <c r="F88" i="13"/>
  <c r="D118" i="13"/>
  <c r="E118" i="13"/>
  <c r="F118" i="13"/>
  <c r="G118" i="13"/>
  <c r="H118" i="13"/>
  <c r="I118" i="13"/>
  <c r="J118" i="13"/>
  <c r="K118" i="13"/>
  <c r="L118" i="13"/>
  <c r="M118" i="13"/>
  <c r="N118" i="13"/>
  <c r="O118" i="13"/>
  <c r="P118" i="13"/>
  <c r="Q118" i="13"/>
  <c r="R118" i="13"/>
  <c r="S118" i="13"/>
  <c r="T118" i="13"/>
  <c r="U118" i="13"/>
  <c r="V118" i="13"/>
  <c r="W118" i="13"/>
  <c r="X118" i="13"/>
  <c r="Y118" i="13"/>
  <c r="D119" i="13"/>
  <c r="E119" i="13"/>
  <c r="F119" i="13"/>
  <c r="G119" i="13"/>
  <c r="H119" i="13"/>
  <c r="I119" i="13"/>
  <c r="J119" i="13"/>
  <c r="K119" i="13"/>
  <c r="L119" i="13"/>
  <c r="M119" i="13"/>
  <c r="N119" i="13"/>
  <c r="O119" i="13"/>
  <c r="P119" i="13"/>
  <c r="Q119" i="13"/>
  <c r="R119" i="13"/>
  <c r="S119" i="13"/>
  <c r="T119" i="13"/>
  <c r="U119" i="13"/>
  <c r="V119" i="13"/>
  <c r="W119" i="13"/>
  <c r="X119" i="13"/>
  <c r="Y119" i="13"/>
  <c r="D122" i="13"/>
  <c r="E122" i="13"/>
  <c r="F122" i="13"/>
  <c r="G122" i="13"/>
  <c r="H122" i="13"/>
  <c r="I122" i="13"/>
  <c r="J122" i="13"/>
  <c r="K122" i="13"/>
  <c r="L122" i="13"/>
  <c r="M122" i="13"/>
  <c r="N122" i="13"/>
  <c r="O122" i="13"/>
  <c r="P122" i="13"/>
  <c r="Q122" i="13"/>
  <c r="R122" i="13"/>
  <c r="S122" i="13"/>
  <c r="T122" i="13"/>
  <c r="U122" i="13"/>
  <c r="V122" i="13"/>
  <c r="W122" i="13"/>
  <c r="X122" i="13"/>
  <c r="Y122" i="13"/>
  <c r="B119" i="13"/>
  <c r="C119" i="13"/>
  <c r="C7" i="13"/>
  <c r="C8" i="13" s="1"/>
  <c r="B7" i="13"/>
  <c r="B8" i="13" s="1"/>
  <c r="C10" i="13"/>
  <c r="C18" i="13"/>
  <c r="C19" i="13"/>
  <c r="C22" i="13"/>
  <c r="C24" i="13" s="1"/>
  <c r="C23" i="13"/>
  <c r="C25" i="13"/>
  <c r="C27" i="13"/>
  <c r="C37" i="13"/>
  <c r="C44" i="13"/>
  <c r="C46" i="13" s="1"/>
  <c r="C57" i="13"/>
  <c r="C67" i="13"/>
  <c r="C68" i="13"/>
  <c r="C78" i="13"/>
  <c r="C80" i="13" s="1"/>
  <c r="C118" i="13"/>
  <c r="C122" i="13"/>
  <c r="B122" i="13"/>
  <c r="B37" i="13"/>
  <c r="B10" i="13"/>
  <c r="B68" i="13"/>
  <c r="B67" i="13"/>
  <c r="B78" i="13"/>
  <c r="B80" i="13" s="1"/>
  <c r="B57" i="13"/>
  <c r="B44" i="13"/>
  <c r="B27" i="13"/>
  <c r="B19" i="13"/>
  <c r="B18" i="13"/>
  <c r="B22" i="13"/>
  <c r="B24" i="13" s="1"/>
  <c r="B4" i="13"/>
  <c r="B23" i="13" s="1"/>
  <c r="D37" i="5"/>
  <c r="D36" i="5"/>
  <c r="D35" i="5"/>
  <c r="D33" i="5"/>
  <c r="D32" i="5"/>
  <c r="D31" i="5"/>
  <c r="D30" i="5"/>
  <c r="D29" i="5"/>
  <c r="D27" i="5"/>
  <c r="D26" i="5"/>
  <c r="D25" i="5"/>
  <c r="D24" i="5"/>
  <c r="D22" i="5"/>
  <c r="D21" i="5"/>
  <c r="D20" i="5"/>
  <c r="D18" i="5"/>
  <c r="D17" i="5"/>
  <c r="D16" i="5"/>
  <c r="D15" i="5"/>
  <c r="D14" i="5"/>
  <c r="D13" i="5"/>
  <c r="D12" i="5"/>
  <c r="D11" i="5"/>
  <c r="D10" i="5"/>
  <c r="D8" i="5"/>
  <c r="D7" i="5"/>
  <c r="D6" i="5"/>
  <c r="D5" i="5"/>
  <c r="D4" i="5"/>
  <c r="E98" i="14" l="1"/>
  <c r="E99" i="14" s="1"/>
  <c r="H52" i="14"/>
  <c r="H58" i="14"/>
  <c r="G72" i="14"/>
  <c r="G75" i="14"/>
  <c r="G73" i="14"/>
  <c r="D72" i="14"/>
  <c r="D75" i="14"/>
  <c r="D73" i="14"/>
  <c r="E72" i="14"/>
  <c r="E76" i="14" s="1"/>
  <c r="E75" i="14"/>
  <c r="E73" i="14"/>
  <c r="H84" i="14"/>
  <c r="F56" i="14"/>
  <c r="F66" i="14" s="1"/>
  <c r="F60" i="14"/>
  <c r="F53" i="14"/>
  <c r="F59" i="14"/>
  <c r="F90" i="14" s="1"/>
  <c r="F82" i="14"/>
  <c r="F84" i="14"/>
  <c r="G100" i="14"/>
  <c r="D98" i="14"/>
  <c r="D99" i="14" s="1"/>
  <c r="D76" i="14"/>
  <c r="E100" i="14"/>
  <c r="C56" i="14"/>
  <c r="C66" i="14" s="1"/>
  <c r="C60" i="14"/>
  <c r="C53" i="14"/>
  <c r="C59" i="14"/>
  <c r="C90" i="14" s="1"/>
  <c r="H87" i="14"/>
  <c r="H86" i="14" s="1"/>
  <c r="H98" i="14" s="1"/>
  <c r="H99" i="14" s="1"/>
  <c r="H89" i="14"/>
  <c r="H71" i="14" s="1"/>
  <c r="C82" i="14"/>
  <c r="C84" i="14"/>
  <c r="G98" i="14"/>
  <c r="G99" i="14" s="1"/>
  <c r="G76" i="14"/>
  <c r="G59" i="14"/>
  <c r="G90" i="14" s="1"/>
  <c r="E59" i="14"/>
  <c r="E90" i="14" s="1"/>
  <c r="D59" i="14"/>
  <c r="D90" i="14" s="1"/>
  <c r="H46" i="14"/>
  <c r="F58" i="14"/>
  <c r="C58" i="14"/>
  <c r="D69" i="13"/>
  <c r="B24" i="14"/>
  <c r="B48" i="14" s="1"/>
  <c r="B51" i="14" s="1"/>
  <c r="B31" i="14"/>
  <c r="B38" i="14" s="1"/>
  <c r="B46" i="14"/>
  <c r="B69" i="14"/>
  <c r="U41" i="13"/>
  <c r="U83" i="13"/>
  <c r="U88" i="13" s="1"/>
  <c r="D31" i="13"/>
  <c r="D38" i="13" s="1"/>
  <c r="D41" i="13" s="1"/>
  <c r="Q31" i="13"/>
  <c r="Q38" i="13" s="1"/>
  <c r="Q83" i="13" s="1"/>
  <c r="Q88" i="13" s="1"/>
  <c r="V21" i="13"/>
  <c r="J21" i="13"/>
  <c r="U21" i="13"/>
  <c r="I21" i="13"/>
  <c r="R41" i="13"/>
  <c r="F41" i="13"/>
  <c r="K49" i="13"/>
  <c r="K31" i="13"/>
  <c r="K38" i="13" s="1"/>
  <c r="P21" i="13"/>
  <c r="D21" i="13"/>
  <c r="W49" i="13"/>
  <c r="O21" i="13"/>
  <c r="W31" i="13"/>
  <c r="W38" i="13" s="1"/>
  <c r="E31" i="13"/>
  <c r="E38" i="13" s="1"/>
  <c r="D48" i="13"/>
  <c r="D51" i="13" s="1"/>
  <c r="D58" i="13" s="1"/>
  <c r="Q58" i="13"/>
  <c r="V48" i="13"/>
  <c r="V51" i="13" s="1"/>
  <c r="V52" i="13" s="1"/>
  <c r="U48" i="13"/>
  <c r="U51" i="13" s="1"/>
  <c r="Y48" i="13"/>
  <c r="Y51" i="13" s="1"/>
  <c r="Y52" i="13" s="1"/>
  <c r="L46" i="13"/>
  <c r="S48" i="13"/>
  <c r="S51" i="13" s="1"/>
  <c r="S52" i="13" s="1"/>
  <c r="G48" i="13"/>
  <c r="G51" i="13" s="1"/>
  <c r="G52" i="13" s="1"/>
  <c r="P48" i="13"/>
  <c r="P51" i="13" s="1"/>
  <c r="M48" i="13"/>
  <c r="M51" i="13" s="1"/>
  <c r="L58" i="13"/>
  <c r="X46" i="13"/>
  <c r="S42" i="13"/>
  <c r="S40" i="13" s="1"/>
  <c r="V41" i="13"/>
  <c r="J42" i="13"/>
  <c r="J40" i="13" s="1"/>
  <c r="Q42" i="13"/>
  <c r="Q40" i="13" s="1"/>
  <c r="Q41" i="13"/>
  <c r="L42" i="13"/>
  <c r="L40" i="13" s="1"/>
  <c r="P41" i="13"/>
  <c r="U42" i="13"/>
  <c r="U40" i="13" s="1"/>
  <c r="I42" i="13"/>
  <c r="I40" i="13" s="1"/>
  <c r="L41" i="13"/>
  <c r="G42" i="13"/>
  <c r="G40" i="13" s="1"/>
  <c r="J41" i="13"/>
  <c r="W42" i="13"/>
  <c r="W40" i="13" s="1"/>
  <c r="X42" i="13"/>
  <c r="X40" i="13" s="1"/>
  <c r="E42" i="13"/>
  <c r="E40" i="13" s="1"/>
  <c r="V42" i="13"/>
  <c r="V40" i="13" s="1"/>
  <c r="X41" i="13"/>
  <c r="D42" i="13"/>
  <c r="D40" i="13" s="1"/>
  <c r="E41" i="13"/>
  <c r="O42" i="13"/>
  <c r="O40" i="13" s="1"/>
  <c r="J83" i="13"/>
  <c r="J88" i="13" s="1"/>
  <c r="N58" i="13"/>
  <c r="N52" i="13"/>
  <c r="N32" i="13"/>
  <c r="N39" i="13" s="1"/>
  <c r="N42" i="13" s="1"/>
  <c r="N40" i="13" s="1"/>
  <c r="T52" i="13"/>
  <c r="T58" i="13"/>
  <c r="H52" i="13"/>
  <c r="H58" i="13"/>
  <c r="X83" i="13"/>
  <c r="X88" i="13" s="1"/>
  <c r="E83" i="13"/>
  <c r="E88" i="13" s="1"/>
  <c r="T21" i="13"/>
  <c r="T31" i="13"/>
  <c r="T38" i="13" s="1"/>
  <c r="T49" i="13"/>
  <c r="H21" i="13"/>
  <c r="H31" i="13"/>
  <c r="H38" i="13" s="1"/>
  <c r="H49" i="13"/>
  <c r="S58" i="13"/>
  <c r="G58" i="13"/>
  <c r="F80" i="13"/>
  <c r="R48" i="13"/>
  <c r="R51" i="13" s="1"/>
  <c r="R46" i="13"/>
  <c r="F48" i="13"/>
  <c r="F51" i="13" s="1"/>
  <c r="F46" i="13"/>
  <c r="O83" i="13"/>
  <c r="O88" i="13" s="1"/>
  <c r="O41" i="13"/>
  <c r="V83" i="13"/>
  <c r="V88" i="13" s="1"/>
  <c r="E80" i="13"/>
  <c r="Q59" i="13"/>
  <c r="Q90" i="13" s="1"/>
  <c r="Q72" i="13" s="1"/>
  <c r="Q71" i="13" s="1"/>
  <c r="Q89" i="13" s="1"/>
  <c r="Q56" i="13"/>
  <c r="Q66" i="13" s="1"/>
  <c r="Q53" i="13"/>
  <c r="Q60" i="13"/>
  <c r="E58" i="13"/>
  <c r="E52" i="13"/>
  <c r="U52" i="13"/>
  <c r="U58" i="13"/>
  <c r="L89" i="13"/>
  <c r="F42" i="13"/>
  <c r="F40" i="13" s="1"/>
  <c r="W80" i="13"/>
  <c r="K80" i="13"/>
  <c r="O58" i="13"/>
  <c r="O52" i="13"/>
  <c r="R80" i="13"/>
  <c r="J52" i="13"/>
  <c r="J58" i="13"/>
  <c r="Y58" i="13"/>
  <c r="M52" i="13"/>
  <c r="M58" i="13"/>
  <c r="Q80" i="13"/>
  <c r="I52" i="13"/>
  <c r="I58" i="13"/>
  <c r="X56" i="13"/>
  <c r="X66" i="13" s="1"/>
  <c r="X53" i="13"/>
  <c r="X60" i="13"/>
  <c r="X59" i="13"/>
  <c r="X90" i="13" s="1"/>
  <c r="X72" i="13" s="1"/>
  <c r="X71" i="13" s="1"/>
  <c r="X89" i="13" s="1"/>
  <c r="L56" i="13"/>
  <c r="L66" i="13" s="1"/>
  <c r="L53" i="13"/>
  <c r="L60" i="13"/>
  <c r="L59" i="13"/>
  <c r="L90" i="13" s="1"/>
  <c r="L72" i="13" s="1"/>
  <c r="L71" i="13" s="1"/>
  <c r="Y49" i="13"/>
  <c r="M49" i="13"/>
  <c r="W48" i="13"/>
  <c r="W51" i="13" s="1"/>
  <c r="K48" i="13"/>
  <c r="K51" i="13" s="1"/>
  <c r="Y31" i="13"/>
  <c r="Y38" i="13" s="1"/>
  <c r="M31" i="13"/>
  <c r="M38" i="13" s="1"/>
  <c r="Q46" i="13"/>
  <c r="E46" i="13"/>
  <c r="S49" i="13"/>
  <c r="G49" i="13"/>
  <c r="S31" i="13"/>
  <c r="S38" i="13" s="1"/>
  <c r="G31" i="13"/>
  <c r="G38" i="13" s="1"/>
  <c r="N49" i="13"/>
  <c r="N31" i="13"/>
  <c r="N38" i="13" s="1"/>
  <c r="C69" i="13"/>
  <c r="C48" i="13"/>
  <c r="C51" i="13" s="1"/>
  <c r="C52" i="13" s="1"/>
  <c r="C32" i="13"/>
  <c r="C39" i="13" s="1"/>
  <c r="C42" i="13" s="1"/>
  <c r="C40" i="13" s="1"/>
  <c r="C21" i="13"/>
  <c r="C49" i="13"/>
  <c r="C31" i="13"/>
  <c r="C38" i="13" s="1"/>
  <c r="B118" i="13"/>
  <c r="B69" i="13"/>
  <c r="B48" i="13"/>
  <c r="B51" i="13" s="1"/>
  <c r="B32" i="13"/>
  <c r="B39" i="13" s="1"/>
  <c r="B42" i="13" s="1"/>
  <c r="B40" i="13" s="1"/>
  <c r="B46" i="13"/>
  <c r="B25" i="13"/>
  <c r="D101" i="14" l="1"/>
  <c r="D102" i="14" s="1"/>
  <c r="D103" i="14" s="1"/>
  <c r="D105" i="14" s="1"/>
  <c r="G101" i="14"/>
  <c r="G102" i="14" s="1"/>
  <c r="G103" i="14" s="1"/>
  <c r="G105" i="14" s="1"/>
  <c r="C87" i="14"/>
  <c r="C86" i="14" s="1"/>
  <c r="C98" i="14" s="1"/>
  <c r="C99" i="14" s="1"/>
  <c r="C89" i="14"/>
  <c r="C97" i="14"/>
  <c r="C96" i="14"/>
  <c r="H95" i="14"/>
  <c r="H113" i="14" s="1"/>
  <c r="E101" i="14"/>
  <c r="E102" i="14" s="1"/>
  <c r="E103" i="14"/>
  <c r="E105" i="14" s="1"/>
  <c r="H72" i="14"/>
  <c r="H75" i="14"/>
  <c r="H73" i="14"/>
  <c r="H56" i="14"/>
  <c r="H66" i="14" s="1"/>
  <c r="H60" i="14"/>
  <c r="H59" i="14"/>
  <c r="H90" i="14" s="1"/>
  <c r="H53" i="14"/>
  <c r="D100" i="14"/>
  <c r="F97" i="14"/>
  <c r="F96" i="14"/>
  <c r="F87" i="14"/>
  <c r="F86" i="14" s="1"/>
  <c r="F98" i="14" s="1"/>
  <c r="F99" i="14" s="1"/>
  <c r="F89" i="14"/>
  <c r="H97" i="14"/>
  <c r="H100" i="14" s="1"/>
  <c r="H101" i="14" s="1"/>
  <c r="H102" i="14" s="1"/>
  <c r="H96" i="14"/>
  <c r="B58" i="14"/>
  <c r="B52" i="14"/>
  <c r="B83" i="14"/>
  <c r="B88" i="14" s="1"/>
  <c r="B41" i="14"/>
  <c r="D83" i="13"/>
  <c r="D88" i="13" s="1"/>
  <c r="K41" i="13"/>
  <c r="K83" i="13"/>
  <c r="K88" i="13" s="1"/>
  <c r="W41" i="13"/>
  <c r="W83" i="13"/>
  <c r="W88" i="13" s="1"/>
  <c r="D52" i="13"/>
  <c r="D59" i="13" s="1"/>
  <c r="D90" i="13" s="1"/>
  <c r="D72" i="13" s="1"/>
  <c r="D71" i="13" s="1"/>
  <c r="L76" i="13"/>
  <c r="Q93" i="13"/>
  <c r="Q84" i="13" s="1"/>
  <c r="V58" i="13"/>
  <c r="P58" i="13"/>
  <c r="P52" i="13"/>
  <c r="X76" i="13"/>
  <c r="Q76" i="13"/>
  <c r="Q36" i="13"/>
  <c r="W52" i="13"/>
  <c r="W58" i="13"/>
  <c r="O56" i="13"/>
  <c r="O66" i="13" s="1"/>
  <c r="O53" i="13"/>
  <c r="O60" i="13"/>
  <c r="O59" i="13"/>
  <c r="O90" i="13" s="1"/>
  <c r="O72" i="13" s="1"/>
  <c r="O71" i="13" s="1"/>
  <c r="N83" i="13"/>
  <c r="N88" i="13" s="1"/>
  <c r="N41" i="13"/>
  <c r="N56" i="13"/>
  <c r="N66" i="13" s="1"/>
  <c r="N53" i="13"/>
  <c r="N60" i="13"/>
  <c r="N59" i="13"/>
  <c r="N90" i="13" s="1"/>
  <c r="N72" i="13" s="1"/>
  <c r="N71" i="13" s="1"/>
  <c r="L93" i="13"/>
  <c r="L95" i="13" s="1"/>
  <c r="L113" i="13" s="1"/>
  <c r="U53" i="13"/>
  <c r="U59" i="13"/>
  <c r="U90" i="13" s="1"/>
  <c r="U72" i="13" s="1"/>
  <c r="U71" i="13" s="1"/>
  <c r="U56" i="13"/>
  <c r="U66" i="13" s="1"/>
  <c r="U76" i="13" s="1"/>
  <c r="U60" i="13"/>
  <c r="G60" i="13"/>
  <c r="G56" i="13"/>
  <c r="G66" i="13" s="1"/>
  <c r="G53" i="13"/>
  <c r="G59" i="13"/>
  <c r="G90" i="13" s="1"/>
  <c r="G72" i="13" s="1"/>
  <c r="G71" i="13" s="1"/>
  <c r="G41" i="13"/>
  <c r="G83" i="13"/>
  <c r="G88" i="13" s="1"/>
  <c r="L73" i="13"/>
  <c r="L75" i="13"/>
  <c r="L82" i="13" s="1"/>
  <c r="L87" i="13" s="1"/>
  <c r="L86" i="13" s="1"/>
  <c r="X93" i="13"/>
  <c r="K52" i="13"/>
  <c r="K58" i="13"/>
  <c r="V56" i="13"/>
  <c r="V66" i="13" s="1"/>
  <c r="V53" i="13"/>
  <c r="V59" i="13"/>
  <c r="V90" i="13" s="1"/>
  <c r="V72" i="13" s="1"/>
  <c r="V71" i="13" s="1"/>
  <c r="V60" i="13"/>
  <c r="H83" i="13"/>
  <c r="H88" i="13" s="1"/>
  <c r="H41" i="13"/>
  <c r="X73" i="13"/>
  <c r="X75" i="13"/>
  <c r="X82" i="13" s="1"/>
  <c r="X87" i="13" s="1"/>
  <c r="X86" i="13" s="1"/>
  <c r="R52" i="13"/>
  <c r="R58" i="13"/>
  <c r="T53" i="13"/>
  <c r="T56" i="13"/>
  <c r="T66" i="13" s="1"/>
  <c r="T60" i="13"/>
  <c r="T59" i="13"/>
  <c r="T90" i="13" s="1"/>
  <c r="T72" i="13" s="1"/>
  <c r="T71" i="13" s="1"/>
  <c r="S41" i="13"/>
  <c r="S83" i="13"/>
  <c r="S88" i="13" s="1"/>
  <c r="E59" i="13"/>
  <c r="E90" i="13" s="1"/>
  <c r="E72" i="13" s="1"/>
  <c r="E71" i="13" s="1"/>
  <c r="E56" i="13"/>
  <c r="E66" i="13" s="1"/>
  <c r="E53" i="13"/>
  <c r="E60" i="13"/>
  <c r="S60" i="13"/>
  <c r="S56" i="13"/>
  <c r="S66" i="13" s="1"/>
  <c r="S53" i="13"/>
  <c r="S59" i="13"/>
  <c r="S90" i="13" s="1"/>
  <c r="S72" i="13" s="1"/>
  <c r="S71" i="13" s="1"/>
  <c r="M56" i="13"/>
  <c r="M66" i="13" s="1"/>
  <c r="M53" i="13"/>
  <c r="M60" i="13"/>
  <c r="M59" i="13"/>
  <c r="M90" i="13" s="1"/>
  <c r="M72" i="13" s="1"/>
  <c r="M71" i="13" s="1"/>
  <c r="F52" i="13"/>
  <c r="F58" i="13"/>
  <c r="Y56" i="13"/>
  <c r="Y66" i="13" s="1"/>
  <c r="Y53" i="13"/>
  <c r="Y60" i="13"/>
  <c r="Y59" i="13"/>
  <c r="Y90" i="13" s="1"/>
  <c r="Y72" i="13" s="1"/>
  <c r="Y71" i="13" s="1"/>
  <c r="M83" i="13"/>
  <c r="M88" i="13" s="1"/>
  <c r="M41" i="13"/>
  <c r="J56" i="13"/>
  <c r="J66" i="13" s="1"/>
  <c r="J53" i="13"/>
  <c r="J59" i="13"/>
  <c r="J90" i="13" s="1"/>
  <c r="J72" i="13" s="1"/>
  <c r="J71" i="13" s="1"/>
  <c r="J60" i="13"/>
  <c r="Q75" i="13"/>
  <c r="Q82" i="13" s="1"/>
  <c r="Q87" i="13" s="1"/>
  <c r="Q86" i="13" s="1"/>
  <c r="Q98" i="13" s="1"/>
  <c r="Q99" i="13" s="1"/>
  <c r="Q73" i="13"/>
  <c r="T83" i="13"/>
  <c r="T88" i="13" s="1"/>
  <c r="T41" i="13"/>
  <c r="H53" i="13"/>
  <c r="H60" i="13"/>
  <c r="H56" i="13"/>
  <c r="H66" i="13" s="1"/>
  <c r="H59" i="13"/>
  <c r="H90" i="13" s="1"/>
  <c r="H72" i="13" s="1"/>
  <c r="H71" i="13" s="1"/>
  <c r="I53" i="13"/>
  <c r="I59" i="13"/>
  <c r="I90" i="13" s="1"/>
  <c r="I72" i="13" s="1"/>
  <c r="I71" i="13" s="1"/>
  <c r="I56" i="13"/>
  <c r="I66" i="13" s="1"/>
  <c r="I60" i="13"/>
  <c r="Q95" i="13"/>
  <c r="Q113" i="13" s="1"/>
  <c r="Y83" i="13"/>
  <c r="Y88" i="13" s="1"/>
  <c r="Y41" i="13"/>
  <c r="C58" i="13"/>
  <c r="C53" i="13"/>
  <c r="C56" i="13"/>
  <c r="C66" i="13" s="1"/>
  <c r="C59" i="13"/>
  <c r="C90" i="13" s="1"/>
  <c r="C72" i="13" s="1"/>
  <c r="C71" i="13" s="1"/>
  <c r="C60" i="13"/>
  <c r="C83" i="13"/>
  <c r="C88" i="13" s="1"/>
  <c r="C41" i="13"/>
  <c r="B52" i="13"/>
  <c r="B53" i="13" s="1"/>
  <c r="B58" i="13"/>
  <c r="B31" i="13"/>
  <c r="B49" i="13"/>
  <c r="B21" i="13"/>
  <c r="G104" i="14" l="1"/>
  <c r="G107" i="14"/>
  <c r="G112" i="14" s="1"/>
  <c r="G117" i="14" s="1"/>
  <c r="G121" i="14" s="1"/>
  <c r="D104" i="14"/>
  <c r="D107" i="14"/>
  <c r="D112" i="14" s="1"/>
  <c r="D117" i="14" s="1"/>
  <c r="D121" i="14" s="1"/>
  <c r="F101" i="14"/>
  <c r="F102" i="14" s="1"/>
  <c r="F103" i="14" s="1"/>
  <c r="F105" i="14" s="1"/>
  <c r="C100" i="14"/>
  <c r="C101" i="14" s="1"/>
  <c r="C102" i="14" s="1"/>
  <c r="C103" i="14" s="1"/>
  <c r="C105" i="14" s="1"/>
  <c r="C71" i="14"/>
  <c r="C95" i="14"/>
  <c r="C113" i="14" s="1"/>
  <c r="F100" i="14"/>
  <c r="H76" i="14"/>
  <c r="F71" i="14"/>
  <c r="F95" i="14"/>
  <c r="F113" i="14" s="1"/>
  <c r="E104" i="14"/>
  <c r="E107" i="14"/>
  <c r="E112" i="14" s="1"/>
  <c r="E117" i="14" s="1"/>
  <c r="E121" i="14" s="1"/>
  <c r="H103" i="14"/>
  <c r="H105" i="14" s="1"/>
  <c r="B60" i="14"/>
  <c r="B59" i="14"/>
  <c r="B90" i="14" s="1"/>
  <c r="B56" i="14"/>
  <c r="B66" i="14" s="1"/>
  <c r="B53" i="14"/>
  <c r="D60" i="13"/>
  <c r="D53" i="13"/>
  <c r="D56" i="13"/>
  <c r="D66" i="13" s="1"/>
  <c r="D76" i="13" s="1"/>
  <c r="E76" i="13"/>
  <c r="P59" i="13"/>
  <c r="P90" i="13" s="1"/>
  <c r="P72" i="13" s="1"/>
  <c r="P71" i="13" s="1"/>
  <c r="P56" i="13"/>
  <c r="P66" i="13" s="1"/>
  <c r="P76" i="13" s="1"/>
  <c r="P53" i="13"/>
  <c r="P60" i="13"/>
  <c r="G76" i="13"/>
  <c r="T76" i="13"/>
  <c r="N76" i="13"/>
  <c r="O76" i="13"/>
  <c r="I76" i="13"/>
  <c r="F60" i="13"/>
  <c r="F59" i="13"/>
  <c r="F90" i="13" s="1"/>
  <c r="F72" i="13" s="1"/>
  <c r="F71" i="13" s="1"/>
  <c r="F56" i="13"/>
  <c r="F66" i="13" s="1"/>
  <c r="F53" i="13"/>
  <c r="Q96" i="13"/>
  <c r="Q97" i="13"/>
  <c r="Q100" i="13" s="1"/>
  <c r="Q101" i="13" s="1"/>
  <c r="Q102" i="13" s="1"/>
  <c r="I75" i="13"/>
  <c r="I82" i="13" s="1"/>
  <c r="I87" i="13" s="1"/>
  <c r="I86" i="13" s="1"/>
  <c r="I89" i="13"/>
  <c r="I73" i="13"/>
  <c r="O75" i="13"/>
  <c r="O82" i="13" s="1"/>
  <c r="O87" i="13" s="1"/>
  <c r="O86" i="13" s="1"/>
  <c r="O73" i="13"/>
  <c r="O89" i="13"/>
  <c r="J76" i="13"/>
  <c r="M76" i="13"/>
  <c r="K56" i="13"/>
  <c r="K66" i="13" s="1"/>
  <c r="K53" i="13"/>
  <c r="K60" i="13"/>
  <c r="K59" i="13"/>
  <c r="K90" i="13" s="1"/>
  <c r="K72" i="13" s="1"/>
  <c r="K71" i="13" s="1"/>
  <c r="U75" i="13"/>
  <c r="U82" i="13" s="1"/>
  <c r="U87" i="13" s="1"/>
  <c r="U86" i="13" s="1"/>
  <c r="U73" i="13"/>
  <c r="U89" i="13"/>
  <c r="E75" i="13"/>
  <c r="E82" i="13" s="1"/>
  <c r="E87" i="13" s="1"/>
  <c r="E86" i="13" s="1"/>
  <c r="E73" i="13"/>
  <c r="E89" i="13"/>
  <c r="D75" i="13"/>
  <c r="D82" i="13" s="1"/>
  <c r="D87" i="13" s="1"/>
  <c r="D86" i="13" s="1"/>
  <c r="D73" i="13"/>
  <c r="D89" i="13"/>
  <c r="D93" i="13" s="1"/>
  <c r="H73" i="13"/>
  <c r="H89" i="13"/>
  <c r="H75" i="13"/>
  <c r="H82" i="13" s="1"/>
  <c r="H87" i="13" s="1"/>
  <c r="H86" i="13" s="1"/>
  <c r="H76" i="13"/>
  <c r="V75" i="13"/>
  <c r="V82" i="13" s="1"/>
  <c r="V87" i="13" s="1"/>
  <c r="V86" i="13" s="1"/>
  <c r="V73" i="13"/>
  <c r="V89" i="13"/>
  <c r="S73" i="13"/>
  <c r="S75" i="13"/>
  <c r="S82" i="13" s="1"/>
  <c r="S87" i="13" s="1"/>
  <c r="S86" i="13" s="1"/>
  <c r="S89" i="13"/>
  <c r="L36" i="13"/>
  <c r="L98" i="13"/>
  <c r="L99" i="13" s="1"/>
  <c r="L84" i="13"/>
  <c r="S76" i="13"/>
  <c r="R60" i="13"/>
  <c r="R59" i="13"/>
  <c r="R90" i="13" s="1"/>
  <c r="R72" i="13" s="1"/>
  <c r="R71" i="13" s="1"/>
  <c r="R56" i="13"/>
  <c r="R66" i="13" s="1"/>
  <c r="R53" i="13"/>
  <c r="V76" i="13"/>
  <c r="W56" i="13"/>
  <c r="W66" i="13" s="1"/>
  <c r="W53" i="13"/>
  <c r="W60" i="13"/>
  <c r="W59" i="13"/>
  <c r="W90" i="13" s="1"/>
  <c r="W72" i="13" s="1"/>
  <c r="W71" i="13" s="1"/>
  <c r="X36" i="13"/>
  <c r="X98" i="13"/>
  <c r="X99" i="13" s="1"/>
  <c r="X84" i="13"/>
  <c r="Y73" i="13"/>
  <c r="Y89" i="13"/>
  <c r="Y75" i="13"/>
  <c r="Y82" i="13" s="1"/>
  <c r="Y87" i="13" s="1"/>
  <c r="Y86" i="13" s="1"/>
  <c r="N73" i="13"/>
  <c r="N75" i="13"/>
  <c r="N82" i="13" s="1"/>
  <c r="N87" i="13" s="1"/>
  <c r="N86" i="13" s="1"/>
  <c r="N89" i="13"/>
  <c r="Y76" i="13"/>
  <c r="G73" i="13"/>
  <c r="G89" i="13"/>
  <c r="G75" i="13"/>
  <c r="G82" i="13" s="1"/>
  <c r="G87" i="13" s="1"/>
  <c r="G86" i="13" s="1"/>
  <c r="M73" i="13"/>
  <c r="M89" i="13"/>
  <c r="M75" i="13"/>
  <c r="M82" i="13" s="1"/>
  <c r="M87" i="13" s="1"/>
  <c r="M86" i="13" s="1"/>
  <c r="J75" i="13"/>
  <c r="J82" i="13" s="1"/>
  <c r="J87" i="13" s="1"/>
  <c r="J86" i="13" s="1"/>
  <c r="J89" i="13"/>
  <c r="J73" i="13"/>
  <c r="X95" i="13"/>
  <c r="X113" i="13" s="1"/>
  <c r="T73" i="13"/>
  <c r="T75" i="13"/>
  <c r="T82" i="13" s="1"/>
  <c r="T87" i="13" s="1"/>
  <c r="T86" i="13" s="1"/>
  <c r="T89" i="13"/>
  <c r="C76" i="13"/>
  <c r="C73" i="13"/>
  <c r="C75" i="13"/>
  <c r="C82" i="13" s="1"/>
  <c r="C87" i="13" s="1"/>
  <c r="C86" i="13" s="1"/>
  <c r="C89" i="13"/>
  <c r="B38" i="13"/>
  <c r="B60" i="13"/>
  <c r="B56" i="13"/>
  <c r="B66" i="13" s="1"/>
  <c r="B59" i="13"/>
  <c r="B90" i="13" s="1"/>
  <c r="B72" i="13" s="1"/>
  <c r="F104" i="14" l="1"/>
  <c r="F107" i="14"/>
  <c r="F112" i="14" s="1"/>
  <c r="F117" i="14" s="1"/>
  <c r="F121" i="14" s="1"/>
  <c r="C104" i="14"/>
  <c r="C107" i="14"/>
  <c r="C112" i="14" s="1"/>
  <c r="C117" i="14" s="1"/>
  <c r="C121" i="14" s="1"/>
  <c r="G123" i="14"/>
  <c r="G124" i="14" s="1"/>
  <c r="G125" i="14" s="1"/>
  <c r="G120" i="14"/>
  <c r="F72" i="14"/>
  <c r="F76" i="14" s="1"/>
  <c r="F75" i="14"/>
  <c r="C72" i="14"/>
  <c r="C76" i="14" s="1"/>
  <c r="C75" i="14"/>
  <c r="C73" i="14"/>
  <c r="E123" i="14"/>
  <c r="E124" i="14" s="1"/>
  <c r="E125" i="14" s="1"/>
  <c r="E120" i="14"/>
  <c r="H107" i="14"/>
  <c r="H112" i="14" s="1"/>
  <c r="H117" i="14" s="1"/>
  <c r="H121" i="14" s="1"/>
  <c r="H104" i="14"/>
  <c r="D123" i="14"/>
  <c r="D124" i="14" s="1"/>
  <c r="D125" i="14" s="1"/>
  <c r="D120" i="14"/>
  <c r="P75" i="13"/>
  <c r="P82" i="13" s="1"/>
  <c r="P87" i="13" s="1"/>
  <c r="P86" i="13" s="1"/>
  <c r="P89" i="13"/>
  <c r="P93" i="13" s="1"/>
  <c r="P95" i="13" s="1"/>
  <c r="P113" i="13" s="1"/>
  <c r="P73" i="13"/>
  <c r="W73" i="13"/>
  <c r="W75" i="13"/>
  <c r="W82" i="13" s="1"/>
  <c r="W87" i="13" s="1"/>
  <c r="W86" i="13" s="1"/>
  <c r="W89" i="13"/>
  <c r="I93" i="13"/>
  <c r="L96" i="13"/>
  <c r="L97" i="13"/>
  <c r="L100" i="13" s="1"/>
  <c r="L101" i="13" s="1"/>
  <c r="L102" i="13" s="1"/>
  <c r="L103" i="13" s="1"/>
  <c r="L105" i="13" s="1"/>
  <c r="K73" i="13"/>
  <c r="K75" i="13"/>
  <c r="K82" i="13" s="1"/>
  <c r="K87" i="13" s="1"/>
  <c r="K86" i="13" s="1"/>
  <c r="K89" i="13"/>
  <c r="M93" i="13"/>
  <c r="K76" i="13"/>
  <c r="P84" i="13"/>
  <c r="P98" i="13"/>
  <c r="P99" i="13" s="1"/>
  <c r="H93" i="13"/>
  <c r="H95" i="13" s="1"/>
  <c r="H113" i="13" s="1"/>
  <c r="W76" i="13"/>
  <c r="Y93" i="13"/>
  <c r="Y95" i="13" s="1"/>
  <c r="Y113" i="13" s="1"/>
  <c r="T93" i="13"/>
  <c r="T95" i="13" s="1"/>
  <c r="T113" i="13" s="1"/>
  <c r="S93" i="13"/>
  <c r="S95" i="13" s="1"/>
  <c r="S113" i="13" s="1"/>
  <c r="D95" i="13"/>
  <c r="D113" i="13" s="1"/>
  <c r="G93" i="13"/>
  <c r="G95" i="13" s="1"/>
  <c r="G113" i="13" s="1"/>
  <c r="R76" i="13"/>
  <c r="F76" i="13"/>
  <c r="X96" i="13"/>
  <c r="X97" i="13"/>
  <c r="X100" i="13" s="1"/>
  <c r="X101" i="13" s="1"/>
  <c r="X102" i="13" s="1"/>
  <c r="R73" i="13"/>
  <c r="R75" i="13"/>
  <c r="R82" i="13" s="1"/>
  <c r="R87" i="13" s="1"/>
  <c r="R86" i="13" s="1"/>
  <c r="R89" i="13"/>
  <c r="E93" i="13"/>
  <c r="E95" i="13" s="1"/>
  <c r="E113" i="13" s="1"/>
  <c r="O93" i="13"/>
  <c r="O95" i="13" s="1"/>
  <c r="O113" i="13" s="1"/>
  <c r="F73" i="13"/>
  <c r="F75" i="13"/>
  <c r="F82" i="13" s="1"/>
  <c r="F87" i="13" s="1"/>
  <c r="F86" i="13" s="1"/>
  <c r="F89" i="13"/>
  <c r="V93" i="13"/>
  <c r="Q103" i="13"/>
  <c r="Q105" i="13" s="1"/>
  <c r="U93" i="13"/>
  <c r="J93" i="13"/>
  <c r="J95" i="13" s="1"/>
  <c r="J113" i="13" s="1"/>
  <c r="N93" i="13"/>
  <c r="C93" i="13"/>
  <c r="B83" i="13"/>
  <c r="B88" i="13" s="1"/>
  <c r="B41" i="13"/>
  <c r="B76" i="13"/>
  <c r="B71" i="13"/>
  <c r="B89" i="13" s="1"/>
  <c r="B93" i="13" s="1"/>
  <c r="E131" i="14" l="1"/>
  <c r="E130" i="14"/>
  <c r="E126" i="14"/>
  <c r="F73" i="14"/>
  <c r="D131" i="14"/>
  <c r="D132" i="14" s="1"/>
  <c r="D130" i="14"/>
  <c r="D126" i="14"/>
  <c r="G131" i="14"/>
  <c r="G126" i="14"/>
  <c r="G130" i="14"/>
  <c r="C120" i="14"/>
  <c r="C123" i="14"/>
  <c r="C124" i="14" s="1"/>
  <c r="C125" i="14" s="1"/>
  <c r="H120" i="14"/>
  <c r="H123" i="14"/>
  <c r="H124" i="14" s="1"/>
  <c r="H125" i="14" s="1"/>
  <c r="F120" i="14"/>
  <c r="F123" i="14"/>
  <c r="F124" i="14" s="1"/>
  <c r="F125" i="14" s="1"/>
  <c r="P36" i="13"/>
  <c r="N36" i="13"/>
  <c r="N84" i="13"/>
  <c r="N98" i="13"/>
  <c r="N99" i="13" s="1"/>
  <c r="O84" i="13"/>
  <c r="O36" i="13"/>
  <c r="O98" i="13"/>
  <c r="O99" i="13" s="1"/>
  <c r="H36" i="13"/>
  <c r="H98" i="13"/>
  <c r="H99" i="13" s="1"/>
  <c r="H84" i="13"/>
  <c r="P101" i="13"/>
  <c r="P102" i="13" s="1"/>
  <c r="E84" i="13"/>
  <c r="E36" i="13"/>
  <c r="E98" i="13"/>
  <c r="E99" i="13" s="1"/>
  <c r="L107" i="13"/>
  <c r="L112" i="13" s="1"/>
  <c r="L117" i="13" s="1"/>
  <c r="L121" i="13" s="1"/>
  <c r="L104" i="13"/>
  <c r="D84" i="13"/>
  <c r="D98" i="13"/>
  <c r="D99" i="13" s="1"/>
  <c r="D36" i="13"/>
  <c r="Q107" i="13"/>
  <c r="Q112" i="13" s="1"/>
  <c r="Q117" i="13" s="1"/>
  <c r="Q121" i="13" s="1"/>
  <c r="Q104" i="13"/>
  <c r="G36" i="13"/>
  <c r="G98" i="13"/>
  <c r="G99" i="13" s="1"/>
  <c r="G84" i="13"/>
  <c r="V84" i="13"/>
  <c r="V36" i="13"/>
  <c r="V98" i="13"/>
  <c r="V99" i="13" s="1"/>
  <c r="S36" i="13"/>
  <c r="S98" i="13"/>
  <c r="S99" i="13" s="1"/>
  <c r="S84" i="13"/>
  <c r="P97" i="13"/>
  <c r="P100" i="13" s="1"/>
  <c r="P96" i="13"/>
  <c r="I36" i="13"/>
  <c r="I84" i="13"/>
  <c r="I98" i="13"/>
  <c r="I99" i="13" s="1"/>
  <c r="J84" i="13"/>
  <c r="J36" i="13"/>
  <c r="J98" i="13"/>
  <c r="J99" i="13" s="1"/>
  <c r="U36" i="13"/>
  <c r="U84" i="13"/>
  <c r="U98" i="13"/>
  <c r="U99" i="13" s="1"/>
  <c r="U95" i="13"/>
  <c r="U113" i="13" s="1"/>
  <c r="R93" i="13"/>
  <c r="R95" i="13" s="1"/>
  <c r="R113" i="13" s="1"/>
  <c r="V95" i="13"/>
  <c r="V113" i="13" s="1"/>
  <c r="I95" i="13"/>
  <c r="I113" i="13" s="1"/>
  <c r="W93" i="13"/>
  <c r="W95" i="13"/>
  <c r="W113" i="13" s="1"/>
  <c r="X103" i="13"/>
  <c r="X105" i="13" s="1"/>
  <c r="T36" i="13"/>
  <c r="T98" i="13"/>
  <c r="T99" i="13" s="1"/>
  <c r="T84" i="13"/>
  <c r="M36" i="13"/>
  <c r="M98" i="13"/>
  <c r="M99" i="13" s="1"/>
  <c r="M84" i="13"/>
  <c r="F93" i="13"/>
  <c r="F95" i="13" s="1"/>
  <c r="F113" i="13" s="1"/>
  <c r="Y36" i="13"/>
  <c r="Y98" i="13"/>
  <c r="Y99" i="13" s="1"/>
  <c r="Y84" i="13"/>
  <c r="M95" i="13"/>
  <c r="M113" i="13" s="1"/>
  <c r="N95" i="13"/>
  <c r="N113" i="13" s="1"/>
  <c r="K93" i="13"/>
  <c r="K95" i="13" s="1"/>
  <c r="K113" i="13" s="1"/>
  <c r="C95" i="13"/>
  <c r="C113" i="13" s="1"/>
  <c r="C98" i="13"/>
  <c r="C99" i="13" s="1"/>
  <c r="C84" i="13"/>
  <c r="C36" i="13"/>
  <c r="B75" i="13"/>
  <c r="B82" i="13" s="1"/>
  <c r="B87" i="13" s="1"/>
  <c r="B86" i="13" s="1"/>
  <c r="B98" i="13" s="1"/>
  <c r="B73" i="13"/>
  <c r="B84" i="13"/>
  <c r="C131" i="14" l="1"/>
  <c r="C126" i="14"/>
  <c r="C130" i="14"/>
  <c r="H131" i="14"/>
  <c r="H130" i="14"/>
  <c r="H126" i="14"/>
  <c r="E128" i="14"/>
  <c r="E127" i="14"/>
  <c r="G128" i="14"/>
  <c r="G127" i="14"/>
  <c r="D128" i="14"/>
  <c r="D127" i="14"/>
  <c r="G132" i="14"/>
  <c r="F131" i="14"/>
  <c r="F130" i="14"/>
  <c r="F126" i="14"/>
  <c r="E132" i="14"/>
  <c r="B84" i="14"/>
  <c r="B36" i="14"/>
  <c r="Q123" i="13"/>
  <c r="Q124" i="13" s="1"/>
  <c r="Q125" i="13" s="1"/>
  <c r="Q120" i="13"/>
  <c r="E96" i="13"/>
  <c r="E97" i="13"/>
  <c r="E100" i="13" s="1"/>
  <c r="E101" i="13" s="1"/>
  <c r="E102" i="13" s="1"/>
  <c r="Y96" i="13"/>
  <c r="Y97" i="13"/>
  <c r="Y100" i="13" s="1"/>
  <c r="Y101" i="13" s="1"/>
  <c r="Y102" i="13" s="1"/>
  <c r="Y103" i="13" s="1"/>
  <c r="Y105" i="13" s="1"/>
  <c r="P103" i="13"/>
  <c r="P105" i="13" s="1"/>
  <c r="O97" i="13"/>
  <c r="O100" i="13" s="1"/>
  <c r="O101" i="13" s="1"/>
  <c r="O102" i="13" s="1"/>
  <c r="O103" i="13" s="1"/>
  <c r="O105" i="13" s="1"/>
  <c r="O96" i="13"/>
  <c r="T96" i="13"/>
  <c r="T97" i="13"/>
  <c r="T100" i="13" s="1"/>
  <c r="T101" i="13" s="1"/>
  <c r="T102" i="13" s="1"/>
  <c r="U97" i="13"/>
  <c r="U100" i="13" s="1"/>
  <c r="U101" i="13" s="1"/>
  <c r="U102" i="13" s="1"/>
  <c r="U103" i="13" s="1"/>
  <c r="U105" i="13" s="1"/>
  <c r="U96" i="13"/>
  <c r="H96" i="13"/>
  <c r="H97" i="13"/>
  <c r="H100" i="13" s="1"/>
  <c r="H101" i="13" s="1"/>
  <c r="H102" i="13" s="1"/>
  <c r="N96" i="13"/>
  <c r="N97" i="13"/>
  <c r="N100" i="13" s="1"/>
  <c r="N101" i="13" s="1"/>
  <c r="N102" i="13" s="1"/>
  <c r="M96" i="13"/>
  <c r="M97" i="13"/>
  <c r="M100" i="13" s="1"/>
  <c r="M101" i="13" s="1"/>
  <c r="M102" i="13" s="1"/>
  <c r="I97" i="13"/>
  <c r="I100" i="13" s="1"/>
  <c r="I101" i="13" s="1"/>
  <c r="I102" i="13" s="1"/>
  <c r="I96" i="13"/>
  <c r="V97" i="13"/>
  <c r="V100" i="13" s="1"/>
  <c r="V101" i="13" s="1"/>
  <c r="V102" i="13" s="1"/>
  <c r="V103" i="13" s="1"/>
  <c r="V105" i="13" s="1"/>
  <c r="V96" i="13"/>
  <c r="X107" i="13"/>
  <c r="X112" i="13" s="1"/>
  <c r="X117" i="13" s="1"/>
  <c r="X121" i="13" s="1"/>
  <c r="X104" i="13"/>
  <c r="D97" i="13"/>
  <c r="D100" i="13" s="1"/>
  <c r="D101" i="13" s="1"/>
  <c r="D102" i="13" s="1"/>
  <c r="D103" i="13" s="1"/>
  <c r="D105" i="13" s="1"/>
  <c r="D96" i="13"/>
  <c r="F36" i="13"/>
  <c r="F98" i="13"/>
  <c r="F99" i="13" s="1"/>
  <c r="F84" i="13"/>
  <c r="W36" i="13"/>
  <c r="W98" i="13"/>
  <c r="W99" i="13" s="1"/>
  <c r="W84" i="13"/>
  <c r="L120" i="13"/>
  <c r="L123" i="13"/>
  <c r="L124" i="13" s="1"/>
  <c r="L125" i="13" s="1"/>
  <c r="S96" i="13"/>
  <c r="S97" i="13"/>
  <c r="S100" i="13" s="1"/>
  <c r="S101" i="13" s="1"/>
  <c r="S102" i="13" s="1"/>
  <c r="G96" i="13"/>
  <c r="G97" i="13"/>
  <c r="G100" i="13" s="1"/>
  <c r="G101" i="13" s="1"/>
  <c r="G102" i="13" s="1"/>
  <c r="K36" i="13"/>
  <c r="K98" i="13"/>
  <c r="K99" i="13" s="1"/>
  <c r="K84" i="13"/>
  <c r="R36" i="13"/>
  <c r="R98" i="13"/>
  <c r="R99" i="13" s="1"/>
  <c r="R84" i="13"/>
  <c r="J97" i="13"/>
  <c r="J100" i="13" s="1"/>
  <c r="J101" i="13" s="1"/>
  <c r="J102" i="13" s="1"/>
  <c r="J96" i="13"/>
  <c r="C96" i="13"/>
  <c r="C97" i="13"/>
  <c r="C100" i="13" s="1"/>
  <c r="C101" i="13" s="1"/>
  <c r="C102" i="13" s="1"/>
  <c r="B99" i="13"/>
  <c r="B95" i="13"/>
  <c r="B113" i="13" s="1"/>
  <c r="B36" i="13"/>
  <c r="B97" i="13" s="1"/>
  <c r="F128" i="14" l="1"/>
  <c r="F127" i="14"/>
  <c r="C128" i="14"/>
  <c r="C127" i="14"/>
  <c r="H132" i="14"/>
  <c r="F132" i="14"/>
  <c r="C132" i="14"/>
  <c r="H128" i="14"/>
  <c r="H127" i="14"/>
  <c r="B97" i="14"/>
  <c r="B96" i="14"/>
  <c r="G103" i="13"/>
  <c r="G105" i="13" s="1"/>
  <c r="G104" i="13" s="1"/>
  <c r="O107" i="13"/>
  <c r="O112" i="13" s="1"/>
  <c r="O117" i="13" s="1"/>
  <c r="O121" i="13" s="1"/>
  <c r="O104" i="13"/>
  <c r="U107" i="13"/>
  <c r="U112" i="13" s="1"/>
  <c r="U117" i="13" s="1"/>
  <c r="U121" i="13" s="1"/>
  <c r="U104" i="13"/>
  <c r="Y104" i="13"/>
  <c r="Y107" i="13"/>
  <c r="Y112" i="13" s="1"/>
  <c r="Y117" i="13" s="1"/>
  <c r="Y121" i="13" s="1"/>
  <c r="D104" i="13"/>
  <c r="D107" i="13"/>
  <c r="D112" i="13" s="1"/>
  <c r="D117" i="13" s="1"/>
  <c r="D121" i="13" s="1"/>
  <c r="Q131" i="13"/>
  <c r="Q126" i="13"/>
  <c r="Q130" i="13"/>
  <c r="R96" i="13"/>
  <c r="R97" i="13"/>
  <c r="R100" i="13" s="1"/>
  <c r="R101" i="13" s="1"/>
  <c r="R102" i="13" s="1"/>
  <c r="R103" i="13" s="1"/>
  <c r="R105" i="13" s="1"/>
  <c r="W97" i="13"/>
  <c r="W100" i="13" s="1"/>
  <c r="W101" i="13" s="1"/>
  <c r="W102" i="13" s="1"/>
  <c r="W103" i="13" s="1"/>
  <c r="W105" i="13" s="1"/>
  <c r="W96" i="13"/>
  <c r="T103" i="13"/>
  <c r="T105" i="13" s="1"/>
  <c r="P104" i="13"/>
  <c r="P107" i="13"/>
  <c r="P112" i="13" s="1"/>
  <c r="P117" i="13" s="1"/>
  <c r="P121" i="13" s="1"/>
  <c r="J103" i="13"/>
  <c r="J105" i="13" s="1"/>
  <c r="E103" i="13"/>
  <c r="E105" i="13" s="1"/>
  <c r="I103" i="13"/>
  <c r="I105" i="13" s="1"/>
  <c r="K97" i="13"/>
  <c r="K100" i="13" s="1"/>
  <c r="K101" i="13" s="1"/>
  <c r="K102" i="13" s="1"/>
  <c r="K103" i="13" s="1"/>
  <c r="K105" i="13" s="1"/>
  <c r="K96" i="13"/>
  <c r="H103" i="13"/>
  <c r="H105" i="13" s="1"/>
  <c r="V107" i="13"/>
  <c r="V112" i="13" s="1"/>
  <c r="V117" i="13" s="1"/>
  <c r="V121" i="13" s="1"/>
  <c r="V104" i="13"/>
  <c r="X120" i="13"/>
  <c r="X123" i="13"/>
  <c r="X124" i="13" s="1"/>
  <c r="X125" i="13" s="1"/>
  <c r="M103" i="13"/>
  <c r="M105" i="13" s="1"/>
  <c r="F96" i="13"/>
  <c r="F97" i="13"/>
  <c r="F100" i="13" s="1"/>
  <c r="F101" i="13" s="1"/>
  <c r="F102" i="13" s="1"/>
  <c r="N103" i="13"/>
  <c r="N105" i="13" s="1"/>
  <c r="S103" i="13"/>
  <c r="S105" i="13" s="1"/>
  <c r="L131" i="13"/>
  <c r="L130" i="13"/>
  <c r="L126" i="13"/>
  <c r="C103" i="13"/>
  <c r="C105" i="13" s="1"/>
  <c r="C107" i="13" s="1"/>
  <c r="C112" i="13" s="1"/>
  <c r="B100" i="13"/>
  <c r="B101" i="13" s="1"/>
  <c r="B102" i="13" s="1"/>
  <c r="B103" i="13" s="1"/>
  <c r="B105" i="13" s="1"/>
  <c r="B96" i="13"/>
  <c r="G107" i="13" l="1"/>
  <c r="G112" i="13" s="1"/>
  <c r="G117" i="13" s="1"/>
  <c r="G121" i="13" s="1"/>
  <c r="G120" i="13" s="1"/>
  <c r="K107" i="13"/>
  <c r="K112" i="13" s="1"/>
  <c r="K117" i="13" s="1"/>
  <c r="K121" i="13" s="1"/>
  <c r="K104" i="13"/>
  <c r="I107" i="13"/>
  <c r="I112" i="13" s="1"/>
  <c r="I117" i="13" s="1"/>
  <c r="I121" i="13" s="1"/>
  <c r="I104" i="13"/>
  <c r="T107" i="13"/>
  <c r="T112" i="13" s="1"/>
  <c r="T117" i="13" s="1"/>
  <c r="T121" i="13" s="1"/>
  <c r="T104" i="13"/>
  <c r="U120" i="13"/>
  <c r="U123" i="13"/>
  <c r="U124" i="13" s="1"/>
  <c r="U125" i="13" s="1"/>
  <c r="O123" i="13"/>
  <c r="O124" i="13" s="1"/>
  <c r="O125" i="13" s="1"/>
  <c r="O120" i="13"/>
  <c r="E107" i="13"/>
  <c r="E112" i="13" s="1"/>
  <c r="E117" i="13" s="1"/>
  <c r="E121" i="13" s="1"/>
  <c r="E104" i="13"/>
  <c r="W107" i="13"/>
  <c r="W112" i="13" s="1"/>
  <c r="W117" i="13" s="1"/>
  <c r="W121" i="13" s="1"/>
  <c r="W104" i="13"/>
  <c r="X131" i="13"/>
  <c r="X126" i="13"/>
  <c r="X130" i="13"/>
  <c r="R107" i="13"/>
  <c r="R112" i="13" s="1"/>
  <c r="R117" i="13" s="1"/>
  <c r="R121" i="13" s="1"/>
  <c r="R104" i="13"/>
  <c r="J107" i="13"/>
  <c r="J112" i="13" s="1"/>
  <c r="J117" i="13" s="1"/>
  <c r="J121" i="13" s="1"/>
  <c r="J104" i="13"/>
  <c r="Q132" i="13"/>
  <c r="H107" i="13"/>
  <c r="H112" i="13" s="1"/>
  <c r="H117" i="13" s="1"/>
  <c r="H121" i="13" s="1"/>
  <c r="H104" i="13"/>
  <c r="D120" i="13"/>
  <c r="D123" i="13"/>
  <c r="D124" i="13" s="1"/>
  <c r="D125" i="13" s="1"/>
  <c r="S104" i="13"/>
  <c r="S107" i="13"/>
  <c r="S112" i="13" s="1"/>
  <c r="S117" i="13" s="1"/>
  <c r="S121" i="13" s="1"/>
  <c r="M104" i="13"/>
  <c r="M107" i="13"/>
  <c r="M112" i="13" s="1"/>
  <c r="M117" i="13" s="1"/>
  <c r="M121" i="13" s="1"/>
  <c r="V123" i="13"/>
  <c r="V124" i="13" s="1"/>
  <c r="V125" i="13" s="1"/>
  <c r="V120" i="13"/>
  <c r="F103" i="13"/>
  <c r="F105" i="13" s="1"/>
  <c r="L128" i="13"/>
  <c r="L127" i="13"/>
  <c r="Q128" i="13"/>
  <c r="Q127" i="13"/>
  <c r="L132" i="13"/>
  <c r="N104" i="13"/>
  <c r="N107" i="13"/>
  <c r="N112" i="13" s="1"/>
  <c r="N117" i="13" s="1"/>
  <c r="N121" i="13" s="1"/>
  <c r="P120" i="13"/>
  <c r="P123" i="13"/>
  <c r="P124" i="13" s="1"/>
  <c r="P125" i="13" s="1"/>
  <c r="Y123" i="13"/>
  <c r="Y124" i="13" s="1"/>
  <c r="Y125" i="13" s="1"/>
  <c r="Y120" i="13"/>
  <c r="B107" i="13"/>
  <c r="B112" i="13" s="1"/>
  <c r="B117" i="13" s="1"/>
  <c r="B121" i="13" s="1"/>
  <c r="C104" i="13"/>
  <c r="C117" i="13"/>
  <c r="C121" i="13" s="1"/>
  <c r="B104" i="13"/>
  <c r="G123" i="13" l="1"/>
  <c r="G124" i="13" s="1"/>
  <c r="G125" i="13" s="1"/>
  <c r="G126" i="13" s="1"/>
  <c r="K123" i="13"/>
  <c r="K124" i="13" s="1"/>
  <c r="K125" i="13" s="1"/>
  <c r="K120" i="13"/>
  <c r="E120" i="13"/>
  <c r="E123" i="13"/>
  <c r="E124" i="13" s="1"/>
  <c r="E125" i="13" s="1"/>
  <c r="J120" i="13"/>
  <c r="J123" i="13"/>
  <c r="J124" i="13" s="1"/>
  <c r="J125" i="13" s="1"/>
  <c r="P131" i="13"/>
  <c r="P130" i="13"/>
  <c r="P126" i="13"/>
  <c r="O131" i="13"/>
  <c r="O126" i="13"/>
  <c r="O130" i="13"/>
  <c r="S123" i="13"/>
  <c r="S124" i="13" s="1"/>
  <c r="S125" i="13" s="1"/>
  <c r="S120" i="13"/>
  <c r="X128" i="13"/>
  <c r="X127" i="13"/>
  <c r="V131" i="13"/>
  <c r="V126" i="13"/>
  <c r="V130" i="13"/>
  <c r="U131" i="13"/>
  <c r="U130" i="13"/>
  <c r="U126" i="13"/>
  <c r="X132" i="13"/>
  <c r="T120" i="13"/>
  <c r="T123" i="13"/>
  <c r="T124" i="13" s="1"/>
  <c r="T125" i="13" s="1"/>
  <c r="F107" i="13"/>
  <c r="F112" i="13" s="1"/>
  <c r="F117" i="13" s="1"/>
  <c r="F121" i="13" s="1"/>
  <c r="F104" i="13"/>
  <c r="M120" i="13"/>
  <c r="M123" i="13"/>
  <c r="M124" i="13" s="1"/>
  <c r="M125" i="13" s="1"/>
  <c r="N120" i="13"/>
  <c r="N123" i="13"/>
  <c r="N124" i="13" s="1"/>
  <c r="N125" i="13" s="1"/>
  <c r="D131" i="13"/>
  <c r="D130" i="13"/>
  <c r="D126" i="13"/>
  <c r="H120" i="13"/>
  <c r="H123" i="13"/>
  <c r="H124" i="13" s="1"/>
  <c r="H125" i="13" s="1"/>
  <c r="Y131" i="13"/>
  <c r="Y130" i="13"/>
  <c r="Y126" i="13"/>
  <c r="R120" i="13"/>
  <c r="R123" i="13"/>
  <c r="R124" i="13" s="1"/>
  <c r="R125" i="13" s="1"/>
  <c r="W120" i="13"/>
  <c r="W123" i="13"/>
  <c r="W124" i="13" s="1"/>
  <c r="W125" i="13" s="1"/>
  <c r="I120" i="13"/>
  <c r="I123" i="13"/>
  <c r="I124" i="13" s="1"/>
  <c r="I125" i="13" s="1"/>
  <c r="B123" i="13"/>
  <c r="B124" i="13" s="1"/>
  <c r="B125" i="13" s="1"/>
  <c r="B131" i="13" s="1"/>
  <c r="B120" i="13"/>
  <c r="C123" i="13"/>
  <c r="C124" i="13" s="1"/>
  <c r="C125" i="13" s="1"/>
  <c r="C120" i="13"/>
  <c r="G130" i="13" l="1"/>
  <c r="G131" i="13"/>
  <c r="O132" i="13"/>
  <c r="P128" i="13"/>
  <c r="P127" i="13"/>
  <c r="P132" i="13"/>
  <c r="V128" i="13"/>
  <c r="V127" i="13"/>
  <c r="U132" i="13"/>
  <c r="V132" i="13"/>
  <c r="G128" i="13"/>
  <c r="G127" i="13"/>
  <c r="D132" i="13"/>
  <c r="G132" i="13"/>
  <c r="D128" i="13"/>
  <c r="D127" i="13"/>
  <c r="R131" i="13"/>
  <c r="R126" i="13"/>
  <c r="R130" i="13"/>
  <c r="J131" i="13"/>
  <c r="J126" i="13"/>
  <c r="J130" i="13"/>
  <c r="W131" i="13"/>
  <c r="W126" i="13"/>
  <c r="W130" i="13"/>
  <c r="Y128" i="13"/>
  <c r="Y127" i="13"/>
  <c r="F120" i="13"/>
  <c r="F123" i="13"/>
  <c r="F124" i="13" s="1"/>
  <c r="F125" i="13" s="1"/>
  <c r="E131" i="13"/>
  <c r="E126" i="13"/>
  <c r="E130" i="13"/>
  <c r="I131" i="13"/>
  <c r="I130" i="13"/>
  <c r="I126" i="13"/>
  <c r="M131" i="13"/>
  <c r="M126" i="13"/>
  <c r="M130" i="13"/>
  <c r="T131" i="13"/>
  <c r="T130" i="13"/>
  <c r="T126" i="13"/>
  <c r="S131" i="13"/>
  <c r="S126" i="13"/>
  <c r="S130" i="13"/>
  <c r="N131" i="13"/>
  <c r="N130" i="13"/>
  <c r="N126" i="13"/>
  <c r="Y132" i="13"/>
  <c r="H131" i="13"/>
  <c r="H126" i="13"/>
  <c r="H130" i="13"/>
  <c r="O128" i="13"/>
  <c r="O127" i="13"/>
  <c r="U128" i="13"/>
  <c r="U127" i="13"/>
  <c r="K131" i="13"/>
  <c r="K126" i="13"/>
  <c r="K130" i="13"/>
  <c r="C130" i="13"/>
  <c r="C131" i="13"/>
  <c r="C126" i="13"/>
  <c r="C128" i="13" s="1"/>
  <c r="B130" i="13"/>
  <c r="B132" i="13" s="1"/>
  <c r="B126" i="13"/>
  <c r="T132" i="13" l="1"/>
  <c r="M132" i="13"/>
  <c r="W128" i="13"/>
  <c r="W127" i="13"/>
  <c r="H128" i="13"/>
  <c r="H127" i="13"/>
  <c r="N128" i="13"/>
  <c r="N127" i="13"/>
  <c r="K128" i="13"/>
  <c r="K127" i="13"/>
  <c r="I132" i="13"/>
  <c r="J128" i="13"/>
  <c r="J127" i="13"/>
  <c r="H132" i="13"/>
  <c r="J132" i="13"/>
  <c r="I128" i="13"/>
  <c r="I127" i="13"/>
  <c r="W132" i="13"/>
  <c r="N132" i="13"/>
  <c r="S128" i="13"/>
  <c r="S127" i="13"/>
  <c r="E128" i="13"/>
  <c r="E127" i="13"/>
  <c r="S132" i="13"/>
  <c r="E132" i="13"/>
  <c r="R128" i="13"/>
  <c r="R127" i="13"/>
  <c r="M128" i="13"/>
  <c r="M127" i="13"/>
  <c r="K132" i="13"/>
  <c r="T128" i="13"/>
  <c r="T127" i="13"/>
  <c r="F131" i="13"/>
  <c r="F130" i="13"/>
  <c r="F126" i="13"/>
  <c r="R132" i="13"/>
  <c r="C132" i="13"/>
  <c r="C127" i="13"/>
  <c r="B127" i="13"/>
  <c r="B128" i="13"/>
  <c r="F128" i="13" l="1"/>
  <c r="F127" i="13"/>
  <c r="F132" i="13"/>
  <c r="B87" i="14"/>
  <c r="B86" i="14" s="1"/>
  <c r="B98" i="14" s="1"/>
  <c r="B99" i="14" s="1"/>
  <c r="B75" i="14"/>
  <c r="B79" i="14" l="1"/>
  <c r="B80" i="14" s="1"/>
  <c r="B95" i="14"/>
  <c r="B113" i="14" l="1"/>
  <c r="B100" i="14"/>
  <c r="B101" i="14" s="1"/>
  <c r="B102" i="14" s="1"/>
  <c r="B103" i="14" s="1"/>
  <c r="B105" i="14" s="1"/>
  <c r="B76" i="14"/>
  <c r="B73" i="14"/>
  <c r="B107" i="14" l="1"/>
  <c r="B112" i="14" s="1"/>
  <c r="B117" i="14" s="1"/>
  <c r="B121" i="14" s="1"/>
  <c r="B104" i="14"/>
  <c r="B123" i="14" l="1"/>
  <c r="B124" i="14" s="1"/>
  <c r="B125" i="14" s="1"/>
  <c r="B120" i="14"/>
  <c r="B131" i="14" l="1"/>
  <c r="B126" i="14"/>
  <c r="B130" i="14"/>
  <c r="B132" i="14" l="1"/>
  <c r="B128" i="14"/>
  <c r="B12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4" authorId="0" shapeId="0" xr:uid="{2A6943BD-1E68-4CC6-BC3E-5E6E4A0FCE2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P0</t>
        </r>
      </text>
    </comment>
    <comment ref="A5" authorId="0" shapeId="0" xr:uid="{7D43C091-7B12-483B-A4E9-3C62E952105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T0</t>
        </r>
      </text>
    </comment>
    <comment ref="A7" authorId="0" shapeId="0" xr:uid="{CAC42BD6-BDF8-4B1A-A1C4-A3DC51AFAC7F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a0</t>
        </r>
      </text>
    </comment>
    <comment ref="A9" authorId="0" shapeId="0" xr:uid="{CE9D3438-80CB-492C-A541-19391E8292C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limit: 80-100 kg/s</t>
        </r>
      </text>
    </comment>
    <comment ref="A24" authorId="0" shapeId="0" xr:uid="{27634266-2FFE-4B4A-BC5E-AD5D716EA5F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adiabatic component</t>
        </r>
      </text>
    </comment>
    <comment ref="A28" authorId="0" shapeId="0" xr:uid="{4D83D68B-355F-4527-A4FD-F1923B172CE9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3.5 a 6, adaptativo</t>
        </r>
      </text>
    </comment>
    <comment ref="A35" authorId="0" shapeId="0" xr:uid="{0B51F436-B3FE-41D4-AFDD-08DC2E68D51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due to pressure loss</t>
        </r>
      </text>
    </comment>
    <comment ref="A37" authorId="0" shapeId="0" xr:uid="{C3EBCDDC-3CF9-4113-9F50-86590C71AB5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 at fan duct exit, calculated with M5</t>
        </r>
      </text>
    </comment>
    <comment ref="A39" authorId="0" shapeId="0" xr:uid="{AF998F07-B147-484D-85D4-38B9F1F87E7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adiabatic component, total temperature</t>
        </r>
      </text>
    </comment>
    <comment ref="A41" authorId="0" shapeId="0" xr:uid="{F973F7BE-EA47-44B7-929D-A4DE9EDFB07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static pressure</t>
        </r>
      </text>
    </comment>
    <comment ref="A52" authorId="0" shapeId="0" xr:uid="{910D8E67-B076-4257-8CF9-AB40154CF24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limit: 15</t>
        </r>
      </text>
    </comment>
    <comment ref="A55" authorId="0" shapeId="0" xr:uid="{3DEAA310-A021-4B7D-8C95-215075413C5F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1100K max</t>
        </r>
      </text>
    </comment>
    <comment ref="A60" authorId="0" shapeId="0" xr:uid="{1164CE83-FBF7-4254-8832-58F43C6B7FFE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limit: 45</t>
        </r>
      </text>
    </comment>
    <comment ref="A65" authorId="0" shapeId="0" xr:uid="{B2FD4F68-74DB-4922-B61A-6DC0F542972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sup lim 2100</t>
        </r>
      </text>
    </comment>
    <comment ref="A83" authorId="0" shapeId="0" xr:uid="{7949106C-8868-411C-9ADE-F07DC91B175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= Pt15</t>
        </r>
      </text>
    </comment>
    <comment ref="A85" authorId="0" shapeId="0" xr:uid="{4D02B276-36F7-4A4A-B4F2-1F3D8FD322C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proposed Mach at turbine exit</t>
        </r>
      </text>
    </comment>
    <comment ref="A93" authorId="0" shapeId="0" xr:uid="{81F3F0C9-235C-4D95-9906-B1223D0DF59A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0.4:1 to 3:1 (combat to cruise)</t>
        </r>
      </text>
    </comment>
    <comment ref="A111" authorId="0" shapeId="0" xr:uid="{77F8DB77-B624-4E42-9655-85201F7D442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proposed value</t>
        </r>
      </text>
    </comment>
    <comment ref="A119" authorId="0" shapeId="0" xr:uid="{929B0164-9F33-441B-9239-28515C15B9A0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adiabatic component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</author>
  </authors>
  <commentList>
    <comment ref="A4" authorId="0" shapeId="0" xr:uid="{BBF5A014-447D-4033-816E-C8FE8C587A85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P0</t>
        </r>
      </text>
    </comment>
    <comment ref="A5" authorId="0" shapeId="0" xr:uid="{FCEFE6BF-06B7-4438-BE8D-681F703AD367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T0</t>
        </r>
      </text>
    </comment>
    <comment ref="A7" authorId="0" shapeId="0" xr:uid="{F8120E9D-FB80-4220-8CDB-8F0E1935AFFD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a0</t>
        </r>
      </text>
    </comment>
    <comment ref="A9" authorId="0" shapeId="0" xr:uid="{E256FAFC-80A9-4D97-9FCD-10B50AF2216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limit: 80-100 kg/s</t>
        </r>
      </text>
    </comment>
    <comment ref="A24" authorId="0" shapeId="0" xr:uid="{AD5A3FA9-1778-4341-9D23-0332CFD26BD2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adiabatic component</t>
        </r>
      </text>
    </comment>
    <comment ref="A28" authorId="0" shapeId="0" xr:uid="{F587CDEA-1BF3-496B-AE52-DE3408F37F9E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3.5 a 6, adaptativo</t>
        </r>
      </text>
    </comment>
    <comment ref="A35" authorId="0" shapeId="0" xr:uid="{283777C0-252A-4B65-889D-C85090D1D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due to pressure loss</t>
        </r>
      </text>
    </comment>
    <comment ref="A37" authorId="0" shapeId="0" xr:uid="{7B74142D-E3AE-4B54-8359-ABF0032523D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Mach at fan duct exit, calculated with M5</t>
        </r>
      </text>
    </comment>
    <comment ref="A39" authorId="0" shapeId="0" xr:uid="{04AF2541-A4C2-48D4-9256-63C34057AE3C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adiabatic component, total temperature</t>
        </r>
      </text>
    </comment>
    <comment ref="A41" authorId="0" shapeId="0" xr:uid="{FF36FC6B-A05F-4AD1-806A-D9BCFA2AB3B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static pressure</t>
        </r>
      </text>
    </comment>
    <comment ref="A52" authorId="0" shapeId="0" xr:uid="{90511C87-EB13-46A4-83B8-F75CCA6E97C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limit: 15</t>
        </r>
      </text>
    </comment>
    <comment ref="A55" authorId="0" shapeId="0" xr:uid="{F742ACC6-CFB8-4AB2-B41E-950EFD5A2DCB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1100K max</t>
        </r>
      </text>
    </comment>
    <comment ref="A60" authorId="0" shapeId="0" xr:uid="{678A3816-8485-4D4C-93E0-9EF5CBE8F369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inf limit: 45</t>
        </r>
      </text>
    </comment>
    <comment ref="A65" authorId="0" shapeId="0" xr:uid="{85C56D13-DC46-4FD0-98CD-EE35A6F45671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sup lim 2100</t>
        </r>
      </text>
    </comment>
    <comment ref="A83" authorId="0" shapeId="0" xr:uid="{46F01527-A410-49BB-9AFA-721DB873787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= Pt15</t>
        </r>
      </text>
    </comment>
    <comment ref="A85" authorId="0" shapeId="0" xr:uid="{98E2859F-335F-48DC-B624-2AC365433FE4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proposed Mach at turbine exit</t>
        </r>
      </text>
    </comment>
    <comment ref="A93" authorId="0" shapeId="0" xr:uid="{45192CD3-A6DB-421B-877C-E5A518E64793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0.4:1 to 3:1 (combat to cruise)</t>
        </r>
      </text>
    </comment>
    <comment ref="A111" authorId="0" shapeId="0" xr:uid="{F3E9DD24-2226-49DB-85F8-A984F7EE9356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proposed value</t>
        </r>
      </text>
    </comment>
    <comment ref="A119" authorId="0" shapeId="0" xr:uid="{8C4F202A-2A7F-4747-9E4A-179143DAFA41}">
      <text>
        <r>
          <rPr>
            <b/>
            <sz val="9"/>
            <color indexed="81"/>
            <rFont val="Tahoma"/>
            <charset val="1"/>
          </rPr>
          <t>USUARIO:</t>
        </r>
        <r>
          <rPr>
            <sz val="9"/>
            <color indexed="81"/>
            <rFont val="Tahoma"/>
            <charset val="1"/>
          </rPr>
          <t xml:space="preserve">
adiabatic component</t>
        </r>
      </text>
    </comment>
  </commentList>
</comments>
</file>

<file path=xl/sharedStrings.xml><?xml version="1.0" encoding="utf-8"?>
<sst xmlns="http://schemas.openxmlformats.org/spreadsheetml/2006/main" count="615" uniqueCount="212">
  <si>
    <t>Task Name</t>
  </si>
  <si>
    <t>Duration (days)</t>
  </si>
  <si>
    <t>Start date</t>
  </si>
  <si>
    <t>End date</t>
  </si>
  <si>
    <t>In charge</t>
  </si>
  <si>
    <t>M</t>
  </si>
  <si>
    <t>T</t>
  </si>
  <si>
    <t>W</t>
  </si>
  <si>
    <t>F</t>
  </si>
  <si>
    <t>Initial Proposal</t>
  </si>
  <si>
    <t>Background research</t>
  </si>
  <si>
    <t>-</t>
  </si>
  <si>
    <t>Comparative of engines</t>
  </si>
  <si>
    <t>Leonardo</t>
  </si>
  <si>
    <t>Proposal description</t>
  </si>
  <si>
    <t>Claudia</t>
  </si>
  <si>
    <t>Mission description</t>
  </si>
  <si>
    <t>Conditions setting</t>
  </si>
  <si>
    <t>Design Point Studies</t>
  </si>
  <si>
    <t>Initial thrust analysis</t>
  </si>
  <si>
    <t>Initial inlet and fan design</t>
  </si>
  <si>
    <t>Javier</t>
  </si>
  <si>
    <t>Initial compressor design</t>
  </si>
  <si>
    <t>Diego</t>
  </si>
  <si>
    <t>Initial combustion analysis</t>
  </si>
  <si>
    <t>Initial turbine design</t>
  </si>
  <si>
    <t>Initial nozzle analysis</t>
  </si>
  <si>
    <t>Regroup and efficiency calculations</t>
  </si>
  <si>
    <t>Afterburner incorporation and analysis</t>
  </si>
  <si>
    <t>Required parameters changes</t>
  </si>
  <si>
    <t>Off-Design Points Studies</t>
  </si>
  <si>
    <t>Takeoff condition confirmation</t>
  </si>
  <si>
    <t>Combat conditionn confirmation</t>
  </si>
  <si>
    <t>Thermodynamic Cycle</t>
  </si>
  <si>
    <t>Initial description and values</t>
  </si>
  <si>
    <t>Parameter changes</t>
  </si>
  <si>
    <t>Simulation of cycle</t>
  </si>
  <si>
    <t>Efficiency calculations</t>
  </si>
  <si>
    <t>Detailed Design</t>
  </si>
  <si>
    <t>Inlet</t>
  </si>
  <si>
    <t>Compressor</t>
  </si>
  <si>
    <t>Combustion chamber and afterburner</t>
  </si>
  <si>
    <t>Turbine</t>
  </si>
  <si>
    <t>Nozzle</t>
  </si>
  <si>
    <t>Feasibility</t>
  </si>
  <si>
    <t>Manufacturing cost analysis</t>
  </si>
  <si>
    <t>Material requirements</t>
  </si>
  <si>
    <t>RCS verification</t>
  </si>
  <si>
    <t>SFC</t>
  </si>
  <si>
    <t>Combustor</t>
  </si>
  <si>
    <t>OPR</t>
  </si>
  <si>
    <t>Altitude</t>
  </si>
  <si>
    <t>ft</t>
  </si>
  <si>
    <t>R_aire</t>
  </si>
  <si>
    <t>P0</t>
  </si>
  <si>
    <t>Pa</t>
  </si>
  <si>
    <t>T0</t>
  </si>
  <si>
    <t>K</t>
  </si>
  <si>
    <t>Mach</t>
  </si>
  <si>
    <t>Fn uninstalled</t>
  </si>
  <si>
    <t>N</t>
  </si>
  <si>
    <t>kN</t>
  </si>
  <si>
    <t>c0</t>
  </si>
  <si>
    <t>m/s</t>
  </si>
  <si>
    <t>mp_f</t>
  </si>
  <si>
    <t>kg/s</t>
  </si>
  <si>
    <t>V0</t>
  </si>
  <si>
    <t>rho0</t>
  </si>
  <si>
    <t>kg/m3</t>
  </si>
  <si>
    <t>D0</t>
  </si>
  <si>
    <t>m</t>
  </si>
  <si>
    <t>A0</t>
  </si>
  <si>
    <t>m2</t>
  </si>
  <si>
    <t>mp_0</t>
  </si>
  <si>
    <t>diferencia entre P0 y P1, etc…
como obtener</t>
  </si>
  <si>
    <t>D9</t>
  </si>
  <si>
    <t>A9</t>
  </si>
  <si>
    <t>P9</t>
  </si>
  <si>
    <t>Perfectly expanded</t>
  </si>
  <si>
    <t>V9</t>
  </si>
  <si>
    <t>Se puede cambiar, se asume</t>
  </si>
  <si>
    <t>lb/lbf-h</t>
  </si>
  <si>
    <t>kg/N-s</t>
  </si>
  <si>
    <t>Temperature (K)</t>
  </si>
  <si>
    <t>Fan</t>
  </si>
  <si>
    <t>BPR</t>
  </si>
  <si>
    <t>Fan duct</t>
  </si>
  <si>
    <t>C</t>
  </si>
  <si>
    <t>LPC</t>
  </si>
  <si>
    <t>HPC</t>
  </si>
  <si>
    <t>LPT</t>
  </si>
  <si>
    <t>HPT</t>
  </si>
  <si>
    <t>Mixer</t>
  </si>
  <si>
    <t>Afterburner</t>
  </si>
  <si>
    <t>apr-07</t>
  </si>
  <si>
    <t>apr-14</t>
  </si>
  <si>
    <t>apr-21</t>
  </si>
  <si>
    <t>apr-28</t>
  </si>
  <si>
    <t>f</t>
  </si>
  <si>
    <t>M5</t>
  </si>
  <si>
    <t>P15</t>
  </si>
  <si>
    <t>P5</t>
  </si>
  <si>
    <t>T15</t>
  </si>
  <si>
    <t>T5</t>
  </si>
  <si>
    <t>a15</t>
  </si>
  <si>
    <t>a5</t>
  </si>
  <si>
    <t>A15/A5</t>
  </si>
  <si>
    <t>C1</t>
  </si>
  <si>
    <t>C2</t>
  </si>
  <si>
    <t>P9/P0</t>
  </si>
  <si>
    <t>M9</t>
  </si>
  <si>
    <t>T9</t>
  </si>
  <si>
    <t>a9</t>
  </si>
  <si>
    <t>V9_eff</t>
  </si>
  <si>
    <t>TSFC (mg/s/N)</t>
  </si>
  <si>
    <t>Atmospheric Conditions</t>
  </si>
  <si>
    <t>Altitude (m)</t>
  </si>
  <si>
    <t>Density (kg/m3)</t>
  </si>
  <si>
    <t>Pressure (kPa)</t>
  </si>
  <si>
    <t>Sound (m/s)</t>
  </si>
  <si>
    <t>Velocity (m/s)</t>
  </si>
  <si>
    <t>Cp_cold (kJ/kgK)</t>
  </si>
  <si>
    <t>Tt0</t>
  </si>
  <si>
    <t>Pt0</t>
  </si>
  <si>
    <r>
      <rPr>
        <sz val="11"/>
        <color theme="1"/>
        <rFont val="Aptos Narrow"/>
        <family val="2"/>
      </rPr>
      <t>τ</t>
    </r>
    <r>
      <rPr>
        <sz val="11"/>
        <color theme="1"/>
        <rFont val="Calibri"/>
        <family val="2"/>
        <charset val="1"/>
      </rPr>
      <t>r</t>
    </r>
  </si>
  <si>
    <r>
      <rPr>
        <sz val="11"/>
        <color theme="1"/>
        <rFont val="Aptos Narrow"/>
        <family val="2"/>
      </rPr>
      <t>π</t>
    </r>
    <r>
      <rPr>
        <sz val="11"/>
        <color theme="1"/>
        <rFont val="Calibri"/>
        <family val="2"/>
        <charset val="1"/>
      </rPr>
      <t>r</t>
    </r>
  </si>
  <si>
    <r>
      <rPr>
        <sz val="11"/>
        <color theme="1"/>
        <rFont val="Aptos Narrow"/>
        <family val="2"/>
      </rPr>
      <t>η</t>
    </r>
    <r>
      <rPr>
        <sz val="11"/>
        <color theme="1"/>
        <rFont val="Calibri"/>
        <family val="2"/>
        <charset val="1"/>
      </rPr>
      <t>d</t>
    </r>
  </si>
  <si>
    <t>Tt2</t>
  </si>
  <si>
    <t>Pt2</t>
  </si>
  <si>
    <t>γc</t>
  </si>
  <si>
    <t>πd</t>
  </si>
  <si>
    <t>τf</t>
  </si>
  <si>
    <t>πf</t>
  </si>
  <si>
    <t>ηf</t>
  </si>
  <si>
    <t>Pt13</t>
  </si>
  <si>
    <t>Tt13</t>
  </si>
  <si>
    <t>ef</t>
  </si>
  <si>
    <t>πfd</t>
  </si>
  <si>
    <t>ηfd</t>
  </si>
  <si>
    <t>Pt15</t>
  </si>
  <si>
    <t>Tt15</t>
  </si>
  <si>
    <t>τc1</t>
  </si>
  <si>
    <t>πc1</t>
  </si>
  <si>
    <t>ec1</t>
  </si>
  <si>
    <t>ηc1</t>
  </si>
  <si>
    <t>Tt2.5</t>
  </si>
  <si>
    <t>Pt2.5</t>
  </si>
  <si>
    <t>τc2</t>
  </si>
  <si>
    <t>πc2</t>
  </si>
  <si>
    <t>ηc2</t>
  </si>
  <si>
    <t>ec2</t>
  </si>
  <si>
    <t>Tt3</t>
  </si>
  <si>
    <t>Pt3</t>
  </si>
  <si>
    <t>πb</t>
  </si>
  <si>
    <t>ηb</t>
  </si>
  <si>
    <t>Qr (kJ/kg)</t>
  </si>
  <si>
    <t>Tt4</t>
  </si>
  <si>
    <t>Pt4</t>
  </si>
  <si>
    <t>ht3 (kJ/kg)</t>
  </si>
  <si>
    <t>Cp_hot (kJ/kgK)</t>
  </si>
  <si>
    <t>γt</t>
  </si>
  <si>
    <t>ht4 (kJ/kg)</t>
  </si>
  <si>
    <t>τt2</t>
  </si>
  <si>
    <t>πt2</t>
  </si>
  <si>
    <t>ηt2</t>
  </si>
  <si>
    <t>et2</t>
  </si>
  <si>
    <t>Tt5</t>
  </si>
  <si>
    <t>Pt5</t>
  </si>
  <si>
    <t>πt_total</t>
  </si>
  <si>
    <t>πc_total</t>
  </si>
  <si>
    <t>τt1</t>
  </si>
  <si>
    <t>πt1</t>
  </si>
  <si>
    <t>ηt1</t>
  </si>
  <si>
    <t>et1</t>
  </si>
  <si>
    <t>Tt4.5</t>
  </si>
  <si>
    <t>Pt4.5</t>
  </si>
  <si>
    <t>τλ</t>
  </si>
  <si>
    <t>ηm</t>
  </si>
  <si>
    <t>α</t>
  </si>
  <si>
    <t>τt_total</t>
  </si>
  <si>
    <t>τc_total</t>
  </si>
  <si>
    <t>h0 (kJ/kg)</t>
  </si>
  <si>
    <t>ht6M</t>
  </si>
  <si>
    <t>m0 (kg/s)</t>
  </si>
  <si>
    <t>m15</t>
  </si>
  <si>
    <t>m5</t>
  </si>
  <si>
    <r>
      <rPr>
        <sz val="11"/>
        <color theme="1"/>
        <rFont val="Aptos Narrow"/>
        <family val="2"/>
      </rPr>
      <t>γ</t>
    </r>
    <r>
      <rPr>
        <sz val="11"/>
        <color theme="1"/>
        <rFont val="Calibri"/>
        <family val="2"/>
        <charset val="1"/>
      </rPr>
      <t>6M</t>
    </r>
  </si>
  <si>
    <t>cp6M (kJ/kgK)</t>
  </si>
  <si>
    <t>M15</t>
  </si>
  <si>
    <t>M6M</t>
  </si>
  <si>
    <t>P6M</t>
  </si>
  <si>
    <r>
      <rPr>
        <sz val="11"/>
        <color theme="1"/>
        <rFont val="Aptos Narrow"/>
        <family val="2"/>
      </rPr>
      <t>π</t>
    </r>
    <r>
      <rPr>
        <sz val="11"/>
        <color theme="1"/>
        <rFont val="Calibri"/>
        <family val="2"/>
        <charset val="1"/>
      </rPr>
      <t>M,i</t>
    </r>
  </si>
  <si>
    <t>Pt6M</t>
  </si>
  <si>
    <r>
      <rPr>
        <sz val="11"/>
        <color theme="1"/>
        <rFont val="Aptos Narrow"/>
        <family val="2"/>
      </rPr>
      <t>π</t>
    </r>
    <r>
      <rPr>
        <sz val="11"/>
        <color theme="1"/>
        <rFont val="Calibri"/>
        <family val="2"/>
        <charset val="1"/>
      </rPr>
      <t>M,f</t>
    </r>
  </si>
  <si>
    <t>Pt6M,i</t>
  </si>
  <si>
    <t>πAB</t>
  </si>
  <si>
    <t>ηAB</t>
  </si>
  <si>
    <t>fAB</t>
  </si>
  <si>
    <t>Tt7</t>
  </si>
  <si>
    <t>Cp_AB (kJ/kgK)</t>
  </si>
  <si>
    <t>γAB</t>
  </si>
  <si>
    <t>πn</t>
  </si>
  <si>
    <t>Pt9</t>
  </si>
  <si>
    <t>Pt7</t>
  </si>
  <si>
    <t>R_AB (kJ/kgK)</t>
  </si>
  <si>
    <t>Tt9</t>
  </si>
  <si>
    <t>Nondim Fn</t>
  </si>
  <si>
    <t>Fn (N)</t>
  </si>
  <si>
    <t>Efficiencies</t>
  </si>
  <si>
    <t>ηth</t>
  </si>
  <si>
    <t>ηp</t>
  </si>
  <si>
    <r>
      <rPr>
        <sz val="11"/>
        <color theme="1"/>
        <rFont val="Aptos Narrow"/>
        <family val="2"/>
      </rPr>
      <t>η</t>
    </r>
    <r>
      <rPr>
        <sz val="11"/>
        <color theme="1"/>
        <rFont val="Calibri"/>
        <family val="2"/>
        <charset val="1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</si>
</sst>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FF0000"/>
      <name val="Aptos Narrow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Aptos Narrow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8ED973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D0D0D0"/>
        <bgColor rgb="FF000000"/>
      </patternFill>
    </fill>
    <fill>
      <patternFill patternType="solid">
        <fgColor rgb="FFE97132"/>
        <bgColor rgb="FF000000"/>
      </patternFill>
    </fill>
    <fill>
      <patternFill patternType="solid">
        <fgColor rgb="FFA02B93"/>
        <bgColor rgb="FF000000"/>
      </patternFill>
    </fill>
    <fill>
      <patternFill patternType="solid">
        <fgColor rgb="FF4EA72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3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5" borderId="11" xfId="0" applyFont="1" applyFill="1" applyBorder="1"/>
    <xf numFmtId="0" fontId="3" fillId="5" borderId="12" xfId="0" applyFont="1" applyFill="1" applyBorder="1"/>
    <xf numFmtId="0" fontId="3" fillId="5" borderId="13" xfId="0" applyFont="1" applyFill="1" applyBorder="1"/>
    <xf numFmtId="0" fontId="3" fillId="5" borderId="8" xfId="0" applyFont="1" applyFill="1" applyBorder="1"/>
    <xf numFmtId="0" fontId="3" fillId="5" borderId="14" xfId="0" applyFont="1" applyFill="1" applyBorder="1"/>
    <xf numFmtId="0" fontId="4" fillId="0" borderId="0" xfId="0" applyFont="1"/>
    <xf numFmtId="0" fontId="3" fillId="6" borderId="6" xfId="0" applyFont="1" applyFill="1" applyBorder="1"/>
    <xf numFmtId="0" fontId="3" fillId="6" borderId="9" xfId="0" applyFont="1" applyFill="1" applyBorder="1"/>
    <xf numFmtId="0" fontId="3" fillId="7" borderId="15" xfId="0" applyFont="1" applyFill="1" applyBorder="1"/>
    <xf numFmtId="14" fontId="3" fillId="0" borderId="0" xfId="0" applyNumberFormat="1" applyFont="1"/>
    <xf numFmtId="0" fontId="3" fillId="0" borderId="0" xfId="0" quotePrefix="1" applyFont="1"/>
    <xf numFmtId="0" fontId="3" fillId="6" borderId="7" xfId="0" applyFont="1" applyFill="1" applyBorder="1"/>
    <xf numFmtId="0" fontId="3" fillId="6" borderId="8" xfId="0" applyFont="1" applyFill="1" applyBorder="1"/>
    <xf numFmtId="0" fontId="3" fillId="7" borderId="0" xfId="0" applyFont="1" applyFill="1"/>
    <xf numFmtId="0" fontId="3" fillId="7" borderId="14" xfId="0" applyFont="1" applyFill="1" applyBorder="1"/>
    <xf numFmtId="0" fontId="3" fillId="8" borderId="17" xfId="0" applyFont="1" applyFill="1" applyBorder="1"/>
    <xf numFmtId="0" fontId="5" fillId="0" borderId="0" xfId="0" applyFont="1"/>
    <xf numFmtId="0" fontId="3" fillId="9" borderId="17" xfId="0" applyFont="1" applyFill="1" applyBorder="1"/>
    <xf numFmtId="0" fontId="3" fillId="10" borderId="0" xfId="0" applyFont="1" applyFill="1"/>
    <xf numFmtId="0" fontId="3" fillId="9" borderId="15" xfId="0" applyFont="1" applyFill="1" applyBorder="1"/>
    <xf numFmtId="0" fontId="3" fillId="9" borderId="18" xfId="0" applyFont="1" applyFill="1" applyBorder="1"/>
    <xf numFmtId="0" fontId="3" fillId="6" borderId="0" xfId="0" applyFont="1" applyFill="1"/>
    <xf numFmtId="0" fontId="3" fillId="6" borderId="14" xfId="0" applyFont="1" applyFill="1" applyBorder="1"/>
    <xf numFmtId="0" fontId="3" fillId="6" borderId="19" xfId="0" applyFont="1" applyFill="1" applyBorder="1"/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11" borderId="29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6" fillId="0" borderId="0" xfId="0" applyFont="1"/>
    <xf numFmtId="0" fontId="0" fillId="0" borderId="0" xfId="0" applyAlignment="1">
      <alignment horizontal="center"/>
    </xf>
    <xf numFmtId="0" fontId="0" fillId="12" borderId="20" xfId="0" applyFill="1" applyBorder="1"/>
    <xf numFmtId="0" fontId="0" fillId="12" borderId="21" xfId="0" applyFill="1" applyBorder="1"/>
    <xf numFmtId="0" fontId="0" fillId="13" borderId="21" xfId="0" applyFill="1" applyBorder="1"/>
    <xf numFmtId="0" fontId="0" fillId="13" borderId="22" xfId="0" applyFill="1" applyBorder="1"/>
    <xf numFmtId="0" fontId="0" fillId="13" borderId="23" xfId="0" applyFill="1" applyBorder="1"/>
    <xf numFmtId="14" fontId="0" fillId="0" borderId="0" xfId="0" applyNumberFormat="1" applyAlignment="1">
      <alignment horizontal="center"/>
    </xf>
    <xf numFmtId="0" fontId="7" fillId="14" borderId="30" xfId="0" applyFont="1" applyFill="1" applyBorder="1"/>
    <xf numFmtId="0" fontId="7" fillId="14" borderId="31" xfId="0" applyFont="1" applyFill="1" applyBorder="1"/>
    <xf numFmtId="0" fontId="7" fillId="14" borderId="22" xfId="0" applyFont="1" applyFill="1" applyBorder="1"/>
    <xf numFmtId="0" fontId="7" fillId="14" borderId="23" xfId="0" applyFont="1" applyFill="1" applyBorder="1"/>
    <xf numFmtId="0" fontId="0" fillId="12" borderId="32" xfId="0" applyFill="1" applyBorder="1"/>
    <xf numFmtId="0" fontId="0" fillId="12" borderId="24" xfId="0" applyFill="1" applyBorder="1"/>
    <xf numFmtId="0" fontId="0" fillId="13" borderId="24" xfId="0" applyFill="1" applyBorder="1"/>
    <xf numFmtId="0" fontId="0" fillId="13" borderId="0" xfId="0" applyFill="1"/>
    <xf numFmtId="0" fontId="0" fillId="13" borderId="25" xfId="0" applyFill="1" applyBorder="1"/>
    <xf numFmtId="0" fontId="0" fillId="14" borderId="30" xfId="0" applyFill="1" applyBorder="1"/>
    <xf numFmtId="0" fontId="0" fillId="14" borderId="31" xfId="0" applyFill="1" applyBorder="1"/>
    <xf numFmtId="0" fontId="0" fillId="14" borderId="33" xfId="0" applyFill="1" applyBorder="1"/>
    <xf numFmtId="0" fontId="0" fillId="14" borderId="21" xfId="0" applyFill="1" applyBorder="1"/>
    <xf numFmtId="0" fontId="0" fillId="14" borderId="23" xfId="0" applyFill="1" applyBorder="1"/>
    <xf numFmtId="0" fontId="7" fillId="0" borderId="0" xfId="0" applyFont="1"/>
    <xf numFmtId="0" fontId="0" fillId="2" borderId="30" xfId="0" applyFill="1" applyBorder="1"/>
    <xf numFmtId="0" fontId="0" fillId="2" borderId="31" xfId="0" applyFill="1" applyBorder="1"/>
    <xf numFmtId="0" fontId="0" fillId="2" borderId="33" xfId="0" applyFill="1" applyBorder="1"/>
    <xf numFmtId="0" fontId="0" fillId="15" borderId="0" xfId="0" applyFill="1" applyAlignment="1">
      <alignment horizontal="center"/>
    </xf>
    <xf numFmtId="0" fontId="0" fillId="2" borderId="0" xfId="0" applyFill="1"/>
    <xf numFmtId="0" fontId="0" fillId="2" borderId="25" xfId="0" applyFill="1" applyBorder="1"/>
    <xf numFmtId="0" fontId="0" fillId="2" borderId="28" xfId="0" applyFill="1" applyBorder="1"/>
    <xf numFmtId="0" fontId="0" fillId="2" borderId="29" xfId="0" applyFill="1" applyBorder="1"/>
    <xf numFmtId="0" fontId="0" fillId="2" borderId="27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1" xfId="0" applyFill="1" applyBorder="1"/>
    <xf numFmtId="0" fontId="0" fillId="12" borderId="0" xfId="0" applyFill="1"/>
    <xf numFmtId="0" fontId="0" fillId="12" borderId="25" xfId="0" applyFill="1" applyBorder="1"/>
    <xf numFmtId="0" fontId="0" fillId="12" borderId="26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8" fillId="0" borderId="0" xfId="0" applyFont="1"/>
    <xf numFmtId="0" fontId="8" fillId="0" borderId="1" xfId="0" applyFont="1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14" borderId="0" xfId="0" applyFill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left"/>
    </xf>
    <xf numFmtId="0" fontId="0" fillId="0" borderId="2" xfId="0" applyBorder="1"/>
    <xf numFmtId="0" fontId="11" fillId="16" borderId="2" xfId="0" applyFont="1" applyFill="1" applyBorder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0" fillId="0" borderId="4" xfId="0" applyBorder="1"/>
    <xf numFmtId="0" fontId="0" fillId="14" borderId="4" xfId="0" applyFill="1" applyBorder="1"/>
    <xf numFmtId="0" fontId="0" fillId="0" borderId="3" xfId="0" applyBorder="1"/>
    <xf numFmtId="0" fontId="0" fillId="0" borderId="4" xfId="0" applyBorder="1" applyAlignment="1">
      <alignment horizontal="right"/>
    </xf>
    <xf numFmtId="0" fontId="0" fillId="0" borderId="5" xfId="0" applyBorder="1"/>
    <xf numFmtId="16" fontId="3" fillId="5" borderId="8" xfId="0" applyNumberFormat="1" applyFont="1" applyFill="1" applyBorder="1"/>
    <xf numFmtId="0" fontId="3" fillId="5" borderId="0" xfId="0" applyFont="1" applyFill="1"/>
    <xf numFmtId="16" fontId="3" fillId="5" borderId="9" xfId="0" applyNumberFormat="1" applyFont="1" applyFill="1" applyBorder="1"/>
    <xf numFmtId="0" fontId="3" fillId="5" borderId="10" xfId="0" applyFont="1" applyFill="1" applyBorder="1"/>
    <xf numFmtId="0" fontId="3" fillId="5" borderId="6" xfId="0" applyFont="1" applyFill="1" applyBorder="1"/>
    <xf numFmtId="0" fontId="3" fillId="5" borderId="7" xfId="0" applyFont="1" applyFill="1" applyBorder="1"/>
    <xf numFmtId="0" fontId="3" fillId="0" borderId="0" xfId="0" applyFont="1"/>
    <xf numFmtId="0" fontId="5" fillId="8" borderId="16" xfId="0" applyFont="1" applyFill="1" applyBorder="1"/>
    <xf numFmtId="0" fontId="5" fillId="8" borderId="17" xfId="0" applyFont="1" applyFill="1" applyBorder="1"/>
    <xf numFmtId="0" fontId="5" fillId="8" borderId="10" xfId="0" applyFont="1" applyFill="1" applyBorder="1"/>
    <xf numFmtId="0" fontId="3" fillId="7" borderId="0" xfId="0" applyFont="1" applyFill="1"/>
    <xf numFmtId="0" fontId="3" fillId="7" borderId="9" xfId="0" applyFont="1" applyFill="1" applyBorder="1"/>
    <xf numFmtId="0" fontId="3" fillId="7" borderId="10" xfId="0" applyFont="1" applyFill="1" applyBorder="1"/>
    <xf numFmtId="0" fontId="3" fillId="7" borderId="8" xfId="0" applyFont="1" applyFill="1" applyBorder="1"/>
    <xf numFmtId="0" fontId="3" fillId="8" borderId="16" xfId="0" applyFont="1" applyFill="1" applyBorder="1"/>
    <xf numFmtId="0" fontId="3" fillId="8" borderId="17" xfId="0" applyFont="1" applyFill="1" applyBorder="1"/>
    <xf numFmtId="0" fontId="3" fillId="8" borderId="9" xfId="0" applyFont="1" applyFill="1" applyBorder="1"/>
    <xf numFmtId="0" fontId="3" fillId="8" borderId="10" xfId="0" applyFont="1" applyFill="1" applyBorder="1"/>
    <xf numFmtId="0" fontId="3" fillId="9" borderId="16" xfId="0" applyFont="1" applyFill="1" applyBorder="1"/>
    <xf numFmtId="0" fontId="3" fillId="9" borderId="17" xfId="0" applyFont="1" applyFill="1" applyBorder="1"/>
    <xf numFmtId="0" fontId="3" fillId="9" borderId="0" xfId="0" applyFont="1" applyFill="1"/>
    <xf numFmtId="0" fontId="3" fillId="9" borderId="12" xfId="0" applyFont="1" applyFill="1" applyBorder="1"/>
    <xf numFmtId="0" fontId="3" fillId="9" borderId="10" xfId="0" applyFont="1" applyFill="1" applyBorder="1"/>
    <xf numFmtId="0" fontId="3" fillId="9" borderId="11" xfId="0" applyFont="1" applyFill="1" applyBorder="1"/>
    <xf numFmtId="0" fontId="3" fillId="9" borderId="9" xfId="0" applyFont="1" applyFill="1" applyBorder="1"/>
    <xf numFmtId="17" fontId="0" fillId="11" borderId="21" xfId="0" applyNumberFormat="1" applyFill="1" applyBorder="1" applyAlignment="1">
      <alignment horizontal="center"/>
    </xf>
    <xf numFmtId="0" fontId="0" fillId="11" borderId="22" xfId="0" applyFill="1" applyBorder="1" applyAlignment="1">
      <alignment horizontal="center"/>
    </xf>
    <xf numFmtId="0" fontId="0" fillId="11" borderId="23" xfId="0" applyFill="1" applyBorder="1" applyAlignment="1">
      <alignment horizontal="center"/>
    </xf>
    <xf numFmtId="0" fontId="0" fillId="11" borderId="20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7" fontId="0" fillId="11" borderId="24" xfId="0" applyNumberForma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5" xfId="0" applyFill="1" applyBorder="1" applyAlignment="1">
      <alignment horizontal="center"/>
    </xf>
    <xf numFmtId="0" fontId="3" fillId="0" borderId="0" xfId="0" applyFont="1" applyAlignment="1">
      <alignment wrapText="1"/>
    </xf>
    <xf numFmtId="0" fontId="3" fillId="4" borderId="0" xfId="0" applyFont="1" applyFill="1"/>
    <xf numFmtId="0" fontId="0" fillId="14" borderId="1" xfId="0" applyFill="1" applyBorder="1"/>
    <xf numFmtId="0" fontId="0" fillId="0" borderId="0" xfId="0" applyFill="1"/>
    <xf numFmtId="0" fontId="0" fillId="0" borderId="0" xfId="0" applyBorder="1"/>
    <xf numFmtId="0" fontId="0" fillId="14" borderId="0" xfId="0" applyFill="1" applyBorder="1"/>
    <xf numFmtId="0" fontId="0" fillId="0" borderId="0" xfId="0" applyBorder="1" applyAlignment="1">
      <alignment horizontal="right"/>
    </xf>
    <xf numFmtId="0" fontId="0" fillId="0" borderId="0" xfId="0" applyFill="1" applyBorder="1"/>
    <xf numFmtId="0" fontId="0" fillId="0" borderId="34" xfId="0" applyBorder="1"/>
    <xf numFmtId="0" fontId="0" fillId="14" borderId="34" xfId="0" applyFill="1" applyBorder="1"/>
    <xf numFmtId="0" fontId="0" fillId="0" borderId="34" xfId="0" applyBorder="1" applyAlignment="1">
      <alignment horizontal="right"/>
    </xf>
    <xf numFmtId="0" fontId="0" fillId="0" borderId="34" xfId="0" applyFill="1" applyBorder="1"/>
    <xf numFmtId="0" fontId="0" fillId="0" borderId="35" xfId="0" applyBorder="1"/>
    <xf numFmtId="0" fontId="0" fillId="14" borderId="35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FBFBF"/>
      <rgbColor rgb="FF808080"/>
      <rgbColor rgb="FF729FCF"/>
      <rgbColor rgb="FF993366"/>
      <rgbColor rgb="FFFFFFCC"/>
      <rgbColor rgb="FFD9D9D9"/>
      <rgbColor rgb="FF660066"/>
      <rgbColor rgb="FFFF8080"/>
      <rgbColor rgb="FF0066CC"/>
      <rgbColor rgb="FFD0D0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DDDDD"/>
      <rgbColor rgb="FFAFD095"/>
      <rgbColor rgb="FFB4C7DC"/>
      <rgbColor rgb="FFFFAA95"/>
      <rgbColor rgb="FFCC99FF"/>
      <rgbColor rgb="FFFFB66C"/>
      <rgbColor rgb="FF3366FF"/>
      <rgbColor rgb="FF33CCCC"/>
      <rgbColor rgb="FF77BC65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2021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5" Type="http://schemas.openxmlformats.org/officeDocument/2006/relationships/image" Target="../media/image5.tmp"/><Relationship Id="rId4" Type="http://schemas.openxmlformats.org/officeDocument/2006/relationships/image" Target="../media/image4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142875</xdr:colOff>
      <xdr:row>9</xdr:row>
      <xdr:rowOff>19050</xdr:rowOff>
    </xdr:from>
    <xdr:to>
      <xdr:col>14</xdr:col>
      <xdr:colOff>209550</xdr:colOff>
      <xdr:row>17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DF064F-E0EE-AFCD-7A2B-E8983678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86825" y="1647825"/>
          <a:ext cx="3590925" cy="1466850"/>
        </a:xfrm>
        <a:prstGeom prst="rect">
          <a:avLst/>
        </a:prstGeom>
      </xdr:spPr>
    </xdr:pic>
    <xdr:clientData/>
  </xdr:twoCellAnchor>
  <xdr:twoCellAnchor editAs="oneCell">
    <xdr:from>
      <xdr:col>9</xdr:col>
      <xdr:colOff>47625</xdr:colOff>
      <xdr:row>17</xdr:row>
      <xdr:rowOff>57150</xdr:rowOff>
    </xdr:from>
    <xdr:to>
      <xdr:col>14</xdr:col>
      <xdr:colOff>295275</xdr:colOff>
      <xdr:row>24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500D012-E22E-8282-5655-816265CD03A5}"/>
            </a:ext>
            <a:ext uri="{147F2762-F138-4A5C-976F-8EAC2B608ADB}">
              <a16:predDERef xmlns:a16="http://schemas.microsoft.com/office/drawing/2014/main" pred="{D2DF064F-E0EE-AFCD-7A2B-E89836782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91575" y="3133725"/>
          <a:ext cx="3771900" cy="1209675"/>
        </a:xfrm>
        <a:prstGeom prst="rect">
          <a:avLst/>
        </a:prstGeom>
      </xdr:spPr>
    </xdr:pic>
    <xdr:clientData/>
  </xdr:twoCellAnchor>
  <xdr:twoCellAnchor editAs="oneCell">
    <xdr:from>
      <xdr:col>6</xdr:col>
      <xdr:colOff>142875</xdr:colOff>
      <xdr:row>3</xdr:row>
      <xdr:rowOff>47625</xdr:rowOff>
    </xdr:from>
    <xdr:to>
      <xdr:col>8</xdr:col>
      <xdr:colOff>809625</xdr:colOff>
      <xdr:row>4</xdr:row>
      <xdr:rowOff>161925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EA9CB1-5090-4E96-4754-EB1FD3EB4AE1}"/>
            </a:ext>
            <a:ext uri="{147F2762-F138-4A5C-976F-8EAC2B608ADB}">
              <a16:predDERef xmlns:a16="http://schemas.microsoft.com/office/drawing/2014/main" pred="{8500D012-E22E-8282-5655-816265CD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34150" y="590550"/>
          <a:ext cx="2200275" cy="29527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3</xdr:row>
      <xdr:rowOff>28575</xdr:rowOff>
    </xdr:from>
    <xdr:to>
      <xdr:col>10</xdr:col>
      <xdr:colOff>514350</xdr:colOff>
      <xdr:row>5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71EC94B-D21C-34BE-23C3-2EDFBB2114F3}"/>
            </a:ext>
            <a:ext uri="{147F2762-F138-4A5C-976F-8EAC2B608ADB}">
              <a16:predDERef xmlns:a16="http://schemas.microsoft.com/office/drawing/2014/main" pred="{00EA9CB1-5090-4E96-4754-EB1FD3EB4A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91600" y="571500"/>
          <a:ext cx="942975" cy="447675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</xdr:colOff>
      <xdr:row>3</xdr:row>
      <xdr:rowOff>57150</xdr:rowOff>
    </xdr:from>
    <xdr:to>
      <xdr:col>13</xdr:col>
      <xdr:colOff>361950</xdr:colOff>
      <xdr:row>5</xdr:row>
      <xdr:rowOff>66675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94017D1-5155-148E-258E-A7AA7067BA40}"/>
            </a:ext>
            <a:ext uri="{147F2762-F138-4A5C-976F-8EAC2B608ADB}">
              <a16:predDERef xmlns:a16="http://schemas.microsoft.com/office/drawing/2014/main" pred="{471EC94B-D21C-34BE-23C3-2EDFBB2114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258425" y="600075"/>
          <a:ext cx="1695450" cy="37147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L37"/>
  <sheetViews>
    <sheetView workbookViewId="0">
      <selection activeCell="BX10" sqref="BX10:BZ10"/>
    </sheetView>
    <sheetView workbookViewId="1">
      <selection sqref="A1:A2"/>
    </sheetView>
  </sheetViews>
  <sheetFormatPr baseColWidth="10" defaultColWidth="8.5703125" defaultRowHeight="15" customHeight="1" x14ac:dyDescent="0.25"/>
  <cols>
    <col min="1" max="1" width="33.42578125" bestFit="1" customWidth="1"/>
    <col min="2" max="2" width="14" bestFit="1" customWidth="1"/>
    <col min="3" max="4" width="10.42578125" bestFit="1" customWidth="1"/>
    <col min="5" max="5" width="9" bestFit="1" customWidth="1"/>
    <col min="6" max="90" width="1.7109375" customWidth="1"/>
  </cols>
  <sheetData>
    <row r="1" spans="1:90" ht="15" customHeight="1" x14ac:dyDescent="0.25">
      <c r="A1" s="97" t="s">
        <v>0</v>
      </c>
      <c r="B1" s="97" t="s">
        <v>1</v>
      </c>
      <c r="C1" s="97" t="s">
        <v>2</v>
      </c>
      <c r="D1" s="97" t="s">
        <v>3</v>
      </c>
      <c r="E1" s="97" t="s">
        <v>4</v>
      </c>
      <c r="F1" s="95">
        <v>45698</v>
      </c>
      <c r="G1" s="96"/>
      <c r="H1" s="96"/>
      <c r="I1" s="96"/>
      <c r="J1" s="96"/>
      <c r="K1" s="93">
        <v>45705</v>
      </c>
      <c r="L1" s="94"/>
      <c r="M1" s="94"/>
      <c r="N1" s="94"/>
      <c r="O1" s="94"/>
      <c r="P1" s="93">
        <v>45712</v>
      </c>
      <c r="Q1" s="94"/>
      <c r="R1" s="94"/>
      <c r="S1" s="94"/>
      <c r="T1" s="94"/>
      <c r="U1" s="93">
        <v>45719</v>
      </c>
      <c r="V1" s="94"/>
      <c r="W1" s="94"/>
      <c r="X1" s="94"/>
      <c r="Y1" s="94"/>
      <c r="Z1" s="93">
        <v>45726</v>
      </c>
      <c r="AA1" s="94"/>
      <c r="AB1" s="94"/>
      <c r="AC1" s="94"/>
      <c r="AD1" s="94"/>
      <c r="AE1" s="93">
        <v>45733</v>
      </c>
      <c r="AF1" s="94"/>
      <c r="AG1" s="94"/>
      <c r="AH1" s="94"/>
      <c r="AI1" s="94"/>
      <c r="AJ1" s="95">
        <v>45740</v>
      </c>
      <c r="AK1" s="96"/>
      <c r="AL1" s="96"/>
      <c r="AM1" s="96"/>
      <c r="AN1" s="96"/>
      <c r="AO1" s="95">
        <v>45747</v>
      </c>
      <c r="AP1" s="96"/>
      <c r="AQ1" s="96"/>
      <c r="AR1" s="96"/>
      <c r="AS1" s="96"/>
      <c r="AT1" s="95">
        <v>45754</v>
      </c>
      <c r="AU1" s="96"/>
      <c r="AV1" s="96"/>
      <c r="AW1" s="96"/>
      <c r="AX1" s="96"/>
      <c r="AY1" s="95">
        <v>45761</v>
      </c>
      <c r="AZ1" s="96"/>
      <c r="BA1" s="96"/>
      <c r="BB1" s="96"/>
      <c r="BC1" s="96"/>
      <c r="BD1" s="95">
        <v>45768</v>
      </c>
      <c r="BE1" s="96"/>
      <c r="BF1" s="96"/>
      <c r="BG1" s="96"/>
      <c r="BH1" s="96"/>
      <c r="BI1" s="95">
        <v>45775</v>
      </c>
      <c r="BJ1" s="96"/>
      <c r="BK1" s="96"/>
      <c r="BL1" s="96"/>
      <c r="BM1" s="96"/>
      <c r="BN1" s="95">
        <v>45782</v>
      </c>
      <c r="BO1" s="96"/>
      <c r="BP1" s="96"/>
      <c r="BQ1" s="96"/>
      <c r="BR1" s="96"/>
      <c r="BS1" s="95">
        <v>45789</v>
      </c>
      <c r="BT1" s="96"/>
      <c r="BU1" s="96"/>
      <c r="BV1" s="96"/>
      <c r="BW1" s="96"/>
      <c r="BX1" s="95">
        <v>45796</v>
      </c>
      <c r="BY1" s="96"/>
      <c r="BZ1" s="96"/>
      <c r="CA1" s="96"/>
      <c r="CB1" s="96"/>
      <c r="CC1" s="95">
        <v>45803</v>
      </c>
      <c r="CD1" s="96"/>
      <c r="CE1" s="96"/>
      <c r="CF1" s="96"/>
      <c r="CG1" s="96"/>
      <c r="CH1" s="95">
        <v>45810</v>
      </c>
      <c r="CI1" s="96"/>
      <c r="CJ1" s="96"/>
      <c r="CK1" s="96"/>
      <c r="CL1" s="96"/>
    </row>
    <row r="2" spans="1:90" ht="15" customHeight="1" x14ac:dyDescent="0.25">
      <c r="A2" s="98"/>
      <c r="B2" s="98"/>
      <c r="C2" s="98"/>
      <c r="D2" s="98"/>
      <c r="E2" s="98"/>
      <c r="F2" s="5" t="s">
        <v>5</v>
      </c>
      <c r="G2" s="6" t="s">
        <v>6</v>
      </c>
      <c r="H2" s="6" t="s">
        <v>7</v>
      </c>
      <c r="I2" s="6" t="s">
        <v>6</v>
      </c>
      <c r="J2" s="7" t="s">
        <v>8</v>
      </c>
      <c r="K2" s="8" t="s">
        <v>5</v>
      </c>
      <c r="L2" s="4" t="s">
        <v>6</v>
      </c>
      <c r="M2" s="4" t="s">
        <v>7</v>
      </c>
      <c r="N2" s="4" t="s">
        <v>6</v>
      </c>
      <c r="O2" s="9" t="s">
        <v>8</v>
      </c>
      <c r="P2" s="8" t="s">
        <v>5</v>
      </c>
      <c r="Q2" s="4" t="s">
        <v>6</v>
      </c>
      <c r="R2" s="4" t="s">
        <v>7</v>
      </c>
      <c r="S2" s="4" t="s">
        <v>6</v>
      </c>
      <c r="T2" s="9" t="s">
        <v>8</v>
      </c>
      <c r="U2" s="8" t="s">
        <v>5</v>
      </c>
      <c r="V2" s="4" t="s">
        <v>6</v>
      </c>
      <c r="W2" s="4" t="s">
        <v>7</v>
      </c>
      <c r="X2" s="4" t="s">
        <v>6</v>
      </c>
      <c r="Y2" s="9" t="s">
        <v>8</v>
      </c>
      <c r="Z2" s="8" t="s">
        <v>5</v>
      </c>
      <c r="AA2" s="4" t="s">
        <v>6</v>
      </c>
      <c r="AB2" s="4" t="s">
        <v>7</v>
      </c>
      <c r="AC2" s="4" t="s">
        <v>6</v>
      </c>
      <c r="AD2" s="9" t="s">
        <v>8</v>
      </c>
      <c r="AE2" s="8" t="s">
        <v>5</v>
      </c>
      <c r="AF2" s="4" t="s">
        <v>6</v>
      </c>
      <c r="AG2" s="4" t="s">
        <v>7</v>
      </c>
      <c r="AH2" s="4" t="s">
        <v>6</v>
      </c>
      <c r="AI2" s="9" t="s">
        <v>8</v>
      </c>
      <c r="AJ2" s="5" t="s">
        <v>5</v>
      </c>
      <c r="AK2" s="6" t="s">
        <v>6</v>
      </c>
      <c r="AL2" s="6" t="s">
        <v>7</v>
      </c>
      <c r="AM2" s="4" t="s">
        <v>6</v>
      </c>
      <c r="AN2" s="7" t="s">
        <v>8</v>
      </c>
      <c r="AO2" s="5" t="s">
        <v>5</v>
      </c>
      <c r="AP2" s="6" t="s">
        <v>6</v>
      </c>
      <c r="AQ2" s="6" t="s">
        <v>7</v>
      </c>
      <c r="AR2" s="6" t="s">
        <v>6</v>
      </c>
      <c r="AS2" s="7" t="s">
        <v>8</v>
      </c>
      <c r="AT2" s="5" t="s">
        <v>5</v>
      </c>
      <c r="AU2" s="6" t="s">
        <v>6</v>
      </c>
      <c r="AV2" s="6" t="s">
        <v>7</v>
      </c>
      <c r="AW2" s="6" t="s">
        <v>6</v>
      </c>
      <c r="AX2" s="9" t="s">
        <v>8</v>
      </c>
      <c r="AY2" s="8" t="s">
        <v>5</v>
      </c>
      <c r="AZ2" s="4" t="s">
        <v>6</v>
      </c>
      <c r="BA2" s="4" t="s">
        <v>7</v>
      </c>
      <c r="BB2" s="4" t="s">
        <v>6</v>
      </c>
      <c r="BC2" s="9" t="s">
        <v>8</v>
      </c>
      <c r="BD2" s="8" t="s">
        <v>5</v>
      </c>
      <c r="BE2" s="4" t="s">
        <v>6</v>
      </c>
      <c r="BF2" s="4" t="s">
        <v>7</v>
      </c>
      <c r="BG2" s="4" t="s">
        <v>6</v>
      </c>
      <c r="BH2" s="9" t="s">
        <v>8</v>
      </c>
      <c r="BI2" s="5" t="s">
        <v>5</v>
      </c>
      <c r="BJ2" s="6" t="s">
        <v>6</v>
      </c>
      <c r="BK2" s="6" t="s">
        <v>7</v>
      </c>
      <c r="BL2" s="6" t="s">
        <v>6</v>
      </c>
      <c r="BM2" s="7" t="s">
        <v>8</v>
      </c>
      <c r="BN2" s="5" t="s">
        <v>5</v>
      </c>
      <c r="BO2" s="6" t="s">
        <v>6</v>
      </c>
      <c r="BP2" s="6" t="s">
        <v>7</v>
      </c>
      <c r="BQ2" s="6" t="s">
        <v>6</v>
      </c>
      <c r="BR2" s="7" t="s">
        <v>8</v>
      </c>
      <c r="BS2" s="5" t="s">
        <v>5</v>
      </c>
      <c r="BT2" s="6" t="s">
        <v>6</v>
      </c>
      <c r="BU2" s="6" t="s">
        <v>7</v>
      </c>
      <c r="BV2" s="6" t="s">
        <v>6</v>
      </c>
      <c r="BW2" s="7" t="s">
        <v>8</v>
      </c>
      <c r="BX2" s="5" t="s">
        <v>5</v>
      </c>
      <c r="BY2" s="6" t="s">
        <v>6</v>
      </c>
      <c r="BZ2" s="6" t="s">
        <v>7</v>
      </c>
      <c r="CA2" s="6" t="s">
        <v>6</v>
      </c>
      <c r="CB2" s="7" t="s">
        <v>8</v>
      </c>
      <c r="CC2" s="5" t="s">
        <v>5</v>
      </c>
      <c r="CD2" s="6" t="s">
        <v>6</v>
      </c>
      <c r="CE2" s="6" t="s">
        <v>7</v>
      </c>
      <c r="CF2" s="4" t="s">
        <v>6</v>
      </c>
      <c r="CG2" s="7" t="s">
        <v>8</v>
      </c>
      <c r="CH2" s="5" t="s">
        <v>5</v>
      </c>
      <c r="CI2" s="6" t="s">
        <v>6</v>
      </c>
      <c r="CJ2" s="6" t="s">
        <v>7</v>
      </c>
      <c r="CK2" s="6" t="s">
        <v>6</v>
      </c>
      <c r="CL2" s="9" t="s">
        <v>8</v>
      </c>
    </row>
    <row r="3" spans="1:90" ht="15" customHeight="1" x14ac:dyDescent="0.25">
      <c r="A3" s="10" t="s">
        <v>9</v>
      </c>
      <c r="B3" s="1"/>
      <c r="C3" s="1"/>
      <c r="D3" s="1"/>
      <c r="E3" s="1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  <c r="T3" s="11"/>
      <c r="U3" s="99"/>
      <c r="V3" s="99"/>
      <c r="W3" s="99"/>
      <c r="X3" s="99"/>
      <c r="Y3" s="99"/>
      <c r="Z3" s="99"/>
      <c r="AA3" s="99"/>
      <c r="AB3" s="99"/>
      <c r="AC3" s="99"/>
      <c r="AD3" s="99"/>
      <c r="AE3" s="99"/>
      <c r="AF3" s="99"/>
      <c r="AG3" s="99"/>
      <c r="AH3" s="99"/>
      <c r="AI3" s="99"/>
      <c r="AJ3" s="99"/>
      <c r="AK3" s="99"/>
      <c r="AL3" s="99"/>
      <c r="AM3" s="11"/>
      <c r="AN3" s="99"/>
      <c r="AO3" s="99"/>
      <c r="AP3" s="99"/>
      <c r="AQ3" s="99"/>
      <c r="AR3" s="99"/>
      <c r="AS3" s="99"/>
      <c r="AT3" s="99"/>
      <c r="AU3" s="99"/>
      <c r="AV3" s="99"/>
      <c r="AW3" s="1"/>
      <c r="AX3" s="12"/>
      <c r="AY3" s="104"/>
      <c r="AZ3" s="105"/>
      <c r="BA3" s="105"/>
      <c r="BB3" s="105"/>
      <c r="BC3" s="105"/>
      <c r="BD3" s="105"/>
      <c r="BE3" s="105"/>
      <c r="BF3" s="105"/>
      <c r="BG3" s="105"/>
      <c r="BH3" s="13"/>
      <c r="BI3" s="99"/>
      <c r="BJ3" s="99"/>
      <c r="BK3" s="99"/>
      <c r="BL3" s="99"/>
      <c r="BM3" s="99"/>
      <c r="BN3" s="99"/>
      <c r="BO3" s="99"/>
      <c r="BP3" s="99"/>
      <c r="BQ3" s="99"/>
      <c r="BR3" s="99"/>
      <c r="BS3" s="99"/>
      <c r="BT3" s="99"/>
      <c r="BU3" s="99"/>
      <c r="BV3" s="99"/>
      <c r="BW3" s="99"/>
      <c r="BX3" s="99"/>
      <c r="BY3" s="99"/>
      <c r="BZ3" s="99"/>
      <c r="CA3" s="99"/>
      <c r="CB3" s="99"/>
      <c r="CC3" s="99"/>
      <c r="CD3" s="99"/>
      <c r="CE3" s="99"/>
      <c r="CF3" s="11"/>
      <c r="CG3" s="99"/>
      <c r="CH3" s="99"/>
      <c r="CI3" s="99"/>
      <c r="CJ3" s="99"/>
      <c r="CK3" s="99"/>
      <c r="CL3" s="11"/>
    </row>
    <row r="4" spans="1:90" ht="15" customHeight="1" x14ac:dyDescent="0.25">
      <c r="A4" s="1" t="s">
        <v>10</v>
      </c>
      <c r="B4" s="1">
        <v>10</v>
      </c>
      <c r="C4" s="14">
        <v>45698</v>
      </c>
      <c r="D4" s="14">
        <v>45708</v>
      </c>
      <c r="E4" s="15" t="s">
        <v>11</v>
      </c>
      <c r="F4" s="100"/>
      <c r="G4" s="101"/>
      <c r="H4" s="101"/>
      <c r="I4" s="101"/>
      <c r="J4" s="101"/>
      <c r="K4" s="101"/>
      <c r="L4" s="102"/>
      <c r="M4" s="102"/>
      <c r="N4" s="99"/>
      <c r="O4" s="99"/>
      <c r="P4" s="99"/>
      <c r="Q4" s="99"/>
      <c r="R4" s="99"/>
      <c r="S4" s="99"/>
      <c r="T4" s="16"/>
      <c r="U4" s="99"/>
      <c r="V4" s="99"/>
      <c r="W4" s="99"/>
      <c r="X4" s="99"/>
      <c r="Y4" s="99"/>
      <c r="Z4" s="99"/>
      <c r="AA4" s="99"/>
      <c r="AB4" s="99"/>
      <c r="AC4" s="99"/>
      <c r="AD4" s="99"/>
      <c r="AE4" s="99"/>
      <c r="AF4" s="99"/>
      <c r="AG4" s="99"/>
      <c r="AH4" s="99"/>
      <c r="AI4" s="99"/>
      <c r="AJ4" s="99"/>
      <c r="AK4" s="99"/>
      <c r="AL4" s="99"/>
      <c r="AM4" s="16"/>
      <c r="AN4" s="99"/>
      <c r="AO4" s="99"/>
      <c r="AP4" s="99"/>
      <c r="AQ4" s="99"/>
      <c r="AR4" s="99"/>
      <c r="AS4" s="99"/>
      <c r="AT4" s="99"/>
      <c r="AU4" s="99"/>
      <c r="AV4" s="99"/>
      <c r="AW4" s="1"/>
      <c r="AX4" s="17"/>
      <c r="AY4" s="106"/>
      <c r="AZ4" s="103"/>
      <c r="BA4" s="103"/>
      <c r="BB4" s="103"/>
      <c r="BC4" s="103"/>
      <c r="BD4" s="103"/>
      <c r="BE4" s="103"/>
      <c r="BF4" s="103"/>
      <c r="BG4" s="103"/>
      <c r="BH4" s="19"/>
      <c r="BI4" s="99"/>
      <c r="BJ4" s="99"/>
      <c r="BK4" s="99"/>
      <c r="BL4" s="99"/>
      <c r="BM4" s="99"/>
      <c r="BN4" s="99"/>
      <c r="BO4" s="99"/>
      <c r="BP4" s="99"/>
      <c r="BQ4" s="99"/>
      <c r="BR4" s="99"/>
      <c r="BS4" s="99"/>
      <c r="BT4" s="99"/>
      <c r="BU4" s="99"/>
      <c r="BV4" s="99"/>
      <c r="BW4" s="99"/>
      <c r="BX4" s="99"/>
      <c r="BY4" s="99"/>
      <c r="BZ4" s="99"/>
      <c r="CA4" s="99"/>
      <c r="CB4" s="99"/>
      <c r="CC4" s="99"/>
      <c r="CD4" s="99"/>
      <c r="CE4" s="99"/>
      <c r="CF4" s="16"/>
      <c r="CG4" s="99"/>
      <c r="CH4" s="99"/>
      <c r="CI4" s="99"/>
      <c r="CJ4" s="99"/>
      <c r="CK4" s="99"/>
      <c r="CL4" s="16"/>
    </row>
    <row r="5" spans="1:90" ht="15" customHeight="1" x14ac:dyDescent="0.25">
      <c r="A5" s="1" t="s">
        <v>12</v>
      </c>
      <c r="B5" s="1">
        <v>12</v>
      </c>
      <c r="C5" s="14">
        <v>45702</v>
      </c>
      <c r="D5" s="14">
        <v>45714</v>
      </c>
      <c r="E5" s="1" t="s">
        <v>13</v>
      </c>
      <c r="F5" s="99"/>
      <c r="G5" s="99"/>
      <c r="H5" s="99"/>
      <c r="I5" s="1"/>
      <c r="J5" s="107"/>
      <c r="K5" s="108"/>
      <c r="L5" s="108"/>
      <c r="M5" s="108"/>
      <c r="N5" s="108"/>
      <c r="O5" s="108"/>
      <c r="P5" s="108"/>
      <c r="Q5" s="108"/>
      <c r="R5" s="108"/>
      <c r="S5" s="20"/>
      <c r="T5" s="16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16"/>
      <c r="AN5" s="99"/>
      <c r="AO5" s="99"/>
      <c r="AP5" s="99"/>
      <c r="AQ5" s="99"/>
      <c r="AR5" s="99"/>
      <c r="AS5" s="99"/>
      <c r="AT5" s="99"/>
      <c r="AU5" s="99"/>
      <c r="AV5" s="99"/>
      <c r="AW5" s="1"/>
      <c r="AX5" s="17"/>
      <c r="AY5" s="106"/>
      <c r="AZ5" s="103"/>
      <c r="BA5" s="103"/>
      <c r="BB5" s="103"/>
      <c r="BC5" s="103"/>
      <c r="BD5" s="103"/>
      <c r="BE5" s="103"/>
      <c r="BF5" s="103"/>
      <c r="BG5" s="103"/>
      <c r="BH5" s="19"/>
      <c r="BI5" s="99"/>
      <c r="BJ5" s="99"/>
      <c r="BK5" s="99"/>
      <c r="BL5" s="99"/>
      <c r="BM5" s="99"/>
      <c r="BN5" s="99"/>
      <c r="BO5" s="99"/>
      <c r="BP5" s="99"/>
      <c r="BQ5" s="99"/>
      <c r="BR5" s="99"/>
      <c r="BS5" s="99"/>
      <c r="BT5" s="99"/>
      <c r="BU5" s="99"/>
      <c r="BV5" s="99"/>
      <c r="BW5" s="99"/>
      <c r="BX5" s="99"/>
      <c r="BY5" s="99"/>
      <c r="BZ5" s="99"/>
      <c r="CA5" s="99"/>
      <c r="CB5" s="99"/>
      <c r="CC5" s="99"/>
      <c r="CD5" s="99"/>
      <c r="CE5" s="99"/>
      <c r="CF5" s="16"/>
      <c r="CG5" s="99"/>
      <c r="CH5" s="99"/>
      <c r="CI5" s="99"/>
      <c r="CJ5" s="99"/>
      <c r="CK5" s="99"/>
      <c r="CL5" s="16"/>
    </row>
    <row r="6" spans="1:90" ht="15" customHeight="1" x14ac:dyDescent="0.25">
      <c r="A6" s="1" t="s">
        <v>14</v>
      </c>
      <c r="B6" s="1">
        <v>2</v>
      </c>
      <c r="C6" s="14">
        <v>45706</v>
      </c>
      <c r="D6" s="14">
        <v>45708</v>
      </c>
      <c r="E6" s="1" t="s">
        <v>15</v>
      </c>
      <c r="F6" s="99"/>
      <c r="G6" s="99"/>
      <c r="H6" s="99"/>
      <c r="I6" s="99"/>
      <c r="J6" s="99"/>
      <c r="K6" s="99"/>
      <c r="L6" s="107"/>
      <c r="M6" s="108"/>
      <c r="N6" s="99"/>
      <c r="O6" s="99"/>
      <c r="P6" s="99"/>
      <c r="Q6" s="99"/>
      <c r="R6" s="99"/>
      <c r="S6" s="99"/>
      <c r="T6" s="16"/>
      <c r="U6" s="99"/>
      <c r="V6" s="99"/>
      <c r="W6" s="99"/>
      <c r="X6" s="99"/>
      <c r="Y6" s="99"/>
      <c r="Z6" s="99"/>
      <c r="AA6" s="99"/>
      <c r="AB6" s="99"/>
      <c r="AC6" s="99"/>
      <c r="AD6" s="99"/>
      <c r="AE6" s="99"/>
      <c r="AF6" s="99"/>
      <c r="AG6" s="99"/>
      <c r="AH6" s="99"/>
      <c r="AI6" s="99"/>
      <c r="AJ6" s="99"/>
      <c r="AK6" s="99"/>
      <c r="AL6" s="99"/>
      <c r="AM6" s="16"/>
      <c r="AN6" s="99"/>
      <c r="AO6" s="99"/>
      <c r="AP6" s="99"/>
      <c r="AQ6" s="99"/>
      <c r="AR6" s="99"/>
      <c r="AS6" s="99"/>
      <c r="AT6" s="99"/>
      <c r="AU6" s="99"/>
      <c r="AV6" s="99"/>
      <c r="AW6" s="1"/>
      <c r="AX6" s="17"/>
      <c r="AY6" s="106"/>
      <c r="AZ6" s="103"/>
      <c r="BA6" s="103"/>
      <c r="BB6" s="103"/>
      <c r="BC6" s="103"/>
      <c r="BD6" s="103"/>
      <c r="BE6" s="103"/>
      <c r="BF6" s="103"/>
      <c r="BG6" s="103"/>
      <c r="BH6" s="19"/>
      <c r="BI6" s="99"/>
      <c r="BJ6" s="99"/>
      <c r="BK6" s="99"/>
      <c r="BL6" s="99"/>
      <c r="BM6" s="99"/>
      <c r="BN6" s="99"/>
      <c r="BO6" s="99"/>
      <c r="BP6" s="99"/>
      <c r="BQ6" s="99"/>
      <c r="BR6" s="99"/>
      <c r="BS6" s="99"/>
      <c r="BT6" s="99"/>
      <c r="BU6" s="99"/>
      <c r="BV6" s="99"/>
      <c r="BW6" s="99"/>
      <c r="BX6" s="99"/>
      <c r="BY6" s="99"/>
      <c r="BZ6" s="99"/>
      <c r="CA6" s="99"/>
      <c r="CB6" s="99"/>
      <c r="CC6" s="99"/>
      <c r="CD6" s="99"/>
      <c r="CE6" s="99"/>
      <c r="CF6" s="16"/>
      <c r="CG6" s="99"/>
      <c r="CH6" s="99"/>
      <c r="CI6" s="99"/>
      <c r="CJ6" s="99"/>
      <c r="CK6" s="99"/>
      <c r="CL6" s="16"/>
    </row>
    <row r="7" spans="1:90" ht="15" customHeight="1" x14ac:dyDescent="0.25">
      <c r="A7" s="1" t="s">
        <v>16</v>
      </c>
      <c r="B7" s="1">
        <v>2</v>
      </c>
      <c r="C7" s="14">
        <v>45706</v>
      </c>
      <c r="D7" s="14">
        <v>45708</v>
      </c>
      <c r="E7" s="1" t="s">
        <v>15</v>
      </c>
      <c r="F7" s="99"/>
      <c r="G7" s="99"/>
      <c r="H7" s="99"/>
      <c r="I7" s="99"/>
      <c r="J7" s="99"/>
      <c r="K7" s="99"/>
      <c r="L7" s="109"/>
      <c r="M7" s="110"/>
      <c r="N7" s="99"/>
      <c r="O7" s="99"/>
      <c r="P7" s="99"/>
      <c r="Q7" s="99"/>
      <c r="R7" s="99"/>
      <c r="S7" s="99"/>
      <c r="T7" s="16"/>
      <c r="U7" s="99"/>
      <c r="V7" s="99"/>
      <c r="W7" s="99"/>
      <c r="X7" s="99"/>
      <c r="Y7" s="99"/>
      <c r="Z7" s="99"/>
      <c r="AA7" s="99"/>
      <c r="AB7" s="99"/>
      <c r="AC7" s="99"/>
      <c r="AD7" s="99"/>
      <c r="AE7" s="99"/>
      <c r="AF7" s="99"/>
      <c r="AG7" s="99"/>
      <c r="AH7" s="99"/>
      <c r="AI7" s="99"/>
      <c r="AJ7" s="99"/>
      <c r="AK7" s="99"/>
      <c r="AL7" s="99"/>
      <c r="AM7" s="16"/>
      <c r="AN7" s="99"/>
      <c r="AO7" s="99"/>
      <c r="AP7" s="99"/>
      <c r="AQ7" s="99"/>
      <c r="AR7" s="99"/>
      <c r="AS7" s="99"/>
      <c r="AT7" s="99"/>
      <c r="AU7" s="99"/>
      <c r="AV7" s="99"/>
      <c r="AW7" s="1"/>
      <c r="AX7" s="17"/>
      <c r="AY7" s="106"/>
      <c r="AZ7" s="103"/>
      <c r="BA7" s="103"/>
      <c r="BB7" s="103"/>
      <c r="BC7" s="103"/>
      <c r="BD7" s="103"/>
      <c r="BE7" s="103"/>
      <c r="BF7" s="103"/>
      <c r="BG7" s="103"/>
      <c r="BH7" s="19"/>
      <c r="BI7" s="99"/>
      <c r="BJ7" s="99"/>
      <c r="BK7" s="99"/>
      <c r="BL7" s="99"/>
      <c r="BM7" s="99"/>
      <c r="BN7" s="99"/>
      <c r="BO7" s="99"/>
      <c r="BP7" s="99"/>
      <c r="BQ7" s="99"/>
      <c r="BR7" s="99"/>
      <c r="BS7" s="99"/>
      <c r="BT7" s="99"/>
      <c r="BU7" s="99"/>
      <c r="BV7" s="99"/>
      <c r="BW7" s="99"/>
      <c r="BX7" s="99"/>
      <c r="BY7" s="99"/>
      <c r="BZ7" s="99"/>
      <c r="CA7" s="99"/>
      <c r="CB7" s="99"/>
      <c r="CC7" s="99"/>
      <c r="CD7" s="99"/>
      <c r="CE7" s="99"/>
      <c r="CF7" s="16"/>
      <c r="CG7" s="99"/>
      <c r="CH7" s="99"/>
      <c r="CI7" s="99"/>
      <c r="CJ7" s="99"/>
      <c r="CK7" s="99"/>
      <c r="CL7" s="16"/>
    </row>
    <row r="8" spans="1:90" ht="15" customHeight="1" x14ac:dyDescent="0.25">
      <c r="A8" s="1" t="s">
        <v>17</v>
      </c>
      <c r="B8" s="1">
        <v>15</v>
      </c>
      <c r="C8" s="14">
        <v>45700</v>
      </c>
      <c r="D8" s="14">
        <v>45715</v>
      </c>
      <c r="E8" s="15" t="s">
        <v>11</v>
      </c>
      <c r="F8" s="99"/>
      <c r="G8" s="99"/>
      <c r="H8" s="107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6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K8" s="99"/>
      <c r="AL8" s="99"/>
      <c r="AM8" s="16"/>
      <c r="AN8" s="99"/>
      <c r="AO8" s="99"/>
      <c r="AP8" s="99"/>
      <c r="AQ8" s="99"/>
      <c r="AR8" s="99"/>
      <c r="AS8" s="99"/>
      <c r="AT8" s="99"/>
      <c r="AU8" s="99"/>
      <c r="AV8" s="99"/>
      <c r="AW8" s="1"/>
      <c r="AX8" s="17"/>
      <c r="AY8" s="106"/>
      <c r="AZ8" s="103"/>
      <c r="BA8" s="103"/>
      <c r="BB8" s="103"/>
      <c r="BC8" s="103"/>
      <c r="BD8" s="103"/>
      <c r="BE8" s="103"/>
      <c r="BF8" s="103"/>
      <c r="BG8" s="103"/>
      <c r="BH8" s="19"/>
      <c r="BI8" s="99"/>
      <c r="BJ8" s="99"/>
      <c r="BK8" s="99"/>
      <c r="BL8" s="99"/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99"/>
      <c r="BX8" s="99"/>
      <c r="BY8" s="99"/>
      <c r="BZ8" s="99"/>
      <c r="CA8" s="99"/>
      <c r="CB8" s="99"/>
      <c r="CC8" s="99"/>
      <c r="CD8" s="99"/>
      <c r="CE8" s="99"/>
      <c r="CF8" s="16"/>
      <c r="CG8" s="99"/>
      <c r="CH8" s="99"/>
      <c r="CI8" s="99"/>
      <c r="CJ8" s="99"/>
      <c r="CK8" s="99"/>
      <c r="CL8" s="16"/>
    </row>
    <row r="9" spans="1:90" ht="15" customHeight="1" x14ac:dyDescent="0.25">
      <c r="A9" s="10" t="s">
        <v>18</v>
      </c>
      <c r="B9" s="1"/>
      <c r="C9" s="1"/>
      <c r="D9" s="1"/>
      <c r="E9" s="1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16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16"/>
      <c r="AN9" s="99"/>
      <c r="AO9" s="99"/>
      <c r="AP9" s="99"/>
      <c r="AQ9" s="99"/>
      <c r="AR9" s="99"/>
      <c r="AS9" s="99"/>
      <c r="AT9" s="99"/>
      <c r="AU9" s="99"/>
      <c r="AV9" s="99"/>
      <c r="AW9" s="1"/>
      <c r="AX9" s="17"/>
      <c r="AY9" s="106"/>
      <c r="AZ9" s="103"/>
      <c r="BA9" s="103"/>
      <c r="BB9" s="103"/>
      <c r="BC9" s="103"/>
      <c r="BD9" s="103"/>
      <c r="BE9" s="103"/>
      <c r="BF9" s="103"/>
      <c r="BG9" s="103"/>
      <c r="BH9" s="19"/>
      <c r="BI9" s="99"/>
      <c r="BJ9" s="99"/>
      <c r="BK9" s="99"/>
      <c r="BL9" s="99"/>
      <c r="BM9" s="99"/>
      <c r="BN9" s="99"/>
      <c r="BO9" s="99"/>
      <c r="BP9" s="99"/>
      <c r="BQ9" s="99"/>
      <c r="BR9" s="99"/>
      <c r="BS9" s="99"/>
      <c r="BT9" s="99"/>
      <c r="BU9" s="99"/>
      <c r="BV9" s="99"/>
      <c r="BW9" s="99"/>
      <c r="BX9" s="99"/>
      <c r="BY9" s="99"/>
      <c r="BZ9" s="99"/>
      <c r="CA9" s="99"/>
      <c r="CB9" s="99"/>
      <c r="CC9" s="99"/>
      <c r="CD9" s="99"/>
      <c r="CE9" s="99"/>
      <c r="CF9" s="16"/>
      <c r="CG9" s="99"/>
      <c r="CH9" s="99"/>
      <c r="CI9" s="99"/>
      <c r="CJ9" s="99"/>
      <c r="CK9" s="99"/>
      <c r="CL9" s="16"/>
    </row>
    <row r="10" spans="1:90" ht="15" customHeight="1" x14ac:dyDescent="0.25">
      <c r="A10" s="21" t="s">
        <v>19</v>
      </c>
      <c r="B10" s="1">
        <v>3</v>
      </c>
      <c r="C10" s="14">
        <v>45713</v>
      </c>
      <c r="D10" s="14">
        <v>45716</v>
      </c>
      <c r="E10" s="1" t="s">
        <v>15</v>
      </c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9"/>
      <c r="Q10" s="111"/>
      <c r="R10" s="112"/>
      <c r="S10" s="112"/>
      <c r="T10" s="16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16"/>
      <c r="AN10" s="99"/>
      <c r="AO10" s="99"/>
      <c r="AP10" s="99"/>
      <c r="AQ10" s="99"/>
      <c r="AR10" s="99"/>
      <c r="AS10" s="99"/>
      <c r="AT10" s="99"/>
      <c r="AU10" s="99"/>
      <c r="AV10" s="99"/>
      <c r="AW10" s="1"/>
      <c r="AX10" s="17"/>
      <c r="AY10" s="106"/>
      <c r="AZ10" s="103"/>
      <c r="BA10" s="103"/>
      <c r="BB10" s="103"/>
      <c r="BC10" s="103"/>
      <c r="BD10" s="103"/>
      <c r="BE10" s="103"/>
      <c r="BF10" s="103"/>
      <c r="BG10" s="103"/>
      <c r="BH10" s="19"/>
      <c r="BI10" s="99"/>
      <c r="BJ10" s="99"/>
      <c r="BK10" s="99"/>
      <c r="BL10" s="99"/>
      <c r="BM10" s="99"/>
      <c r="BN10" s="99"/>
      <c r="BO10" s="99"/>
      <c r="BP10" s="99"/>
      <c r="BQ10" s="99"/>
      <c r="BR10" s="99"/>
      <c r="BS10" s="99"/>
      <c r="BT10" s="99"/>
      <c r="BU10" s="99"/>
      <c r="BV10" s="99"/>
      <c r="BW10" s="99"/>
      <c r="BX10" s="99"/>
      <c r="BY10" s="99"/>
      <c r="BZ10" s="99"/>
      <c r="CA10" s="99"/>
      <c r="CB10" s="99"/>
      <c r="CC10" s="99"/>
      <c r="CD10" s="99"/>
      <c r="CE10" s="99"/>
      <c r="CF10" s="16"/>
      <c r="CG10" s="99"/>
      <c r="CH10" s="99"/>
      <c r="CI10" s="99"/>
      <c r="CJ10" s="99"/>
      <c r="CK10" s="99"/>
      <c r="CL10" s="16"/>
    </row>
    <row r="11" spans="1:90" ht="15" customHeight="1" x14ac:dyDescent="0.25">
      <c r="A11" s="1" t="s">
        <v>20</v>
      </c>
      <c r="B11" s="1">
        <v>18</v>
      </c>
      <c r="C11" s="14">
        <v>45719</v>
      </c>
      <c r="D11" s="14">
        <v>45737</v>
      </c>
      <c r="E11" s="23" t="s">
        <v>21</v>
      </c>
      <c r="F11" s="99"/>
      <c r="G11" s="99"/>
      <c r="H11" s="99"/>
      <c r="I11" s="99"/>
      <c r="J11" s="99"/>
      <c r="K11" s="99"/>
      <c r="L11" s="99"/>
      <c r="M11" s="99"/>
      <c r="N11" s="99"/>
      <c r="O11" s="99"/>
      <c r="P11" s="99"/>
      <c r="Q11" s="99"/>
      <c r="R11" s="99"/>
      <c r="S11" s="99"/>
      <c r="T11" s="16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99"/>
      <c r="AK11" s="99"/>
      <c r="AL11" s="99"/>
      <c r="AM11" s="16"/>
      <c r="AN11" s="99"/>
      <c r="AO11" s="99"/>
      <c r="AP11" s="99"/>
      <c r="AQ11" s="99"/>
      <c r="AR11" s="99"/>
      <c r="AS11" s="99"/>
      <c r="AT11" s="99"/>
      <c r="AU11" s="99"/>
      <c r="AV11" s="99"/>
      <c r="AW11" s="1"/>
      <c r="AX11" s="17"/>
      <c r="AY11" s="106"/>
      <c r="AZ11" s="103"/>
      <c r="BA11" s="103"/>
      <c r="BB11" s="103"/>
      <c r="BC11" s="103"/>
      <c r="BD11" s="103"/>
      <c r="BE11" s="103"/>
      <c r="BF11" s="103"/>
      <c r="BG11" s="103"/>
      <c r="BH11" s="19"/>
      <c r="BI11" s="99"/>
      <c r="BJ11" s="99"/>
      <c r="BK11" s="99"/>
      <c r="BL11" s="99"/>
      <c r="BM11" s="99"/>
      <c r="BN11" s="99"/>
      <c r="BO11" s="99"/>
      <c r="BP11" s="99"/>
      <c r="BQ11" s="99"/>
      <c r="BR11" s="99"/>
      <c r="BS11" s="99"/>
      <c r="BT11" s="99"/>
      <c r="BU11" s="99"/>
      <c r="BV11" s="99"/>
      <c r="BW11" s="99"/>
      <c r="BX11" s="99"/>
      <c r="BY11" s="99"/>
      <c r="BZ11" s="99"/>
      <c r="CA11" s="99"/>
      <c r="CB11" s="99"/>
      <c r="CC11" s="99"/>
      <c r="CD11" s="99"/>
      <c r="CE11" s="99"/>
      <c r="CF11" s="16"/>
      <c r="CG11" s="99"/>
      <c r="CH11" s="99"/>
      <c r="CI11" s="99"/>
      <c r="CJ11" s="99"/>
      <c r="CK11" s="99"/>
      <c r="CL11" s="16"/>
    </row>
    <row r="12" spans="1:90" ht="15" customHeight="1" x14ac:dyDescent="0.25">
      <c r="A12" s="1" t="s">
        <v>22</v>
      </c>
      <c r="B12" s="1">
        <v>9</v>
      </c>
      <c r="C12" s="14">
        <v>45719</v>
      </c>
      <c r="D12" s="14">
        <v>45728</v>
      </c>
      <c r="E12" s="1" t="s">
        <v>23</v>
      </c>
      <c r="F12" s="99"/>
      <c r="G12" s="99"/>
      <c r="H12" s="99"/>
      <c r="I12" s="99"/>
      <c r="J12" s="99"/>
      <c r="K12" s="99"/>
      <c r="L12" s="99"/>
      <c r="M12" s="99"/>
      <c r="N12" s="99"/>
      <c r="O12" s="99"/>
      <c r="P12" s="99"/>
      <c r="Q12" s="99"/>
      <c r="R12" s="99"/>
      <c r="S12" s="99"/>
      <c r="T12" s="16"/>
      <c r="U12" s="113"/>
      <c r="V12" s="113"/>
      <c r="W12" s="113"/>
      <c r="X12" s="113"/>
      <c r="Y12" s="113"/>
      <c r="Z12" s="113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16"/>
      <c r="AN12" s="99"/>
      <c r="AO12" s="99"/>
      <c r="AP12" s="99"/>
      <c r="AQ12" s="99"/>
      <c r="AR12" s="99"/>
      <c r="AS12" s="99"/>
      <c r="AT12" s="99"/>
      <c r="AU12" s="99"/>
      <c r="AV12" s="99"/>
      <c r="AW12" s="1"/>
      <c r="AX12" s="17"/>
      <c r="AY12" s="106"/>
      <c r="AZ12" s="103"/>
      <c r="BA12" s="103"/>
      <c r="BB12" s="103"/>
      <c r="BC12" s="103"/>
      <c r="BD12" s="103"/>
      <c r="BE12" s="103"/>
      <c r="BF12" s="103"/>
      <c r="BG12" s="103"/>
      <c r="BH12" s="19"/>
      <c r="BI12" s="99"/>
      <c r="BJ12" s="99"/>
      <c r="BK12" s="99"/>
      <c r="BL12" s="99"/>
      <c r="BM12" s="99"/>
      <c r="BN12" s="99"/>
      <c r="BO12" s="99"/>
      <c r="BP12" s="99"/>
      <c r="BQ12" s="99"/>
      <c r="BR12" s="99"/>
      <c r="BS12" s="99"/>
      <c r="BT12" s="99"/>
      <c r="BU12" s="99"/>
      <c r="BV12" s="99"/>
      <c r="BW12" s="99"/>
      <c r="BX12" s="99"/>
      <c r="BY12" s="99"/>
      <c r="BZ12" s="99"/>
      <c r="CA12" s="99"/>
      <c r="CB12" s="99"/>
      <c r="CC12" s="99"/>
      <c r="CD12" s="99"/>
      <c r="CE12" s="99"/>
      <c r="CF12" s="16"/>
      <c r="CG12" s="99"/>
      <c r="CH12" s="99"/>
      <c r="CI12" s="99"/>
      <c r="CJ12" s="99"/>
      <c r="CK12" s="99"/>
      <c r="CL12" s="16"/>
    </row>
    <row r="13" spans="1:90" ht="15" customHeight="1" x14ac:dyDescent="0.25">
      <c r="A13" s="1" t="s">
        <v>24</v>
      </c>
      <c r="B13" s="1">
        <v>18</v>
      </c>
      <c r="C13" s="14">
        <v>45719</v>
      </c>
      <c r="D13" s="14">
        <v>45737</v>
      </c>
      <c r="E13" s="1" t="s">
        <v>13</v>
      </c>
      <c r="F13" s="99"/>
      <c r="G13" s="99"/>
      <c r="H13" s="99"/>
      <c r="I13" s="99"/>
      <c r="J13" s="99"/>
      <c r="K13" s="99"/>
      <c r="L13" s="99"/>
      <c r="M13" s="99"/>
      <c r="N13" s="99"/>
      <c r="O13" s="99"/>
      <c r="P13" s="99"/>
      <c r="Q13" s="99"/>
      <c r="R13" s="99"/>
      <c r="S13" s="99"/>
      <c r="T13" s="16"/>
      <c r="U13" s="111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99"/>
      <c r="AK13" s="99"/>
      <c r="AL13" s="99"/>
      <c r="AM13" s="16"/>
      <c r="AN13" s="99"/>
      <c r="AO13" s="99"/>
      <c r="AP13" s="99"/>
      <c r="AQ13" s="99"/>
      <c r="AR13" s="99"/>
      <c r="AS13" s="99"/>
      <c r="AT13" s="99"/>
      <c r="AU13" s="99"/>
      <c r="AV13" s="99"/>
      <c r="AW13" s="1"/>
      <c r="AX13" s="17"/>
      <c r="AY13" s="106"/>
      <c r="AZ13" s="103"/>
      <c r="BA13" s="103"/>
      <c r="BB13" s="103"/>
      <c r="BC13" s="103"/>
      <c r="BD13" s="103"/>
      <c r="BE13" s="103"/>
      <c r="BF13" s="103"/>
      <c r="BG13" s="103"/>
      <c r="BH13" s="19"/>
      <c r="BI13" s="99"/>
      <c r="BJ13" s="99"/>
      <c r="BK13" s="99"/>
      <c r="BL13" s="99"/>
      <c r="BM13" s="99"/>
      <c r="BN13" s="99"/>
      <c r="BO13" s="99"/>
      <c r="BP13" s="99"/>
      <c r="BQ13" s="99"/>
      <c r="BR13" s="99"/>
      <c r="BS13" s="99"/>
      <c r="BT13" s="99"/>
      <c r="BU13" s="99"/>
      <c r="BV13" s="99"/>
      <c r="BW13" s="99"/>
      <c r="BX13" s="99"/>
      <c r="BY13" s="99"/>
      <c r="BZ13" s="99"/>
      <c r="CA13" s="99"/>
      <c r="CB13" s="99"/>
      <c r="CC13" s="99"/>
      <c r="CD13" s="99"/>
      <c r="CE13" s="99"/>
      <c r="CF13" s="16"/>
      <c r="CG13" s="99"/>
      <c r="CH13" s="99"/>
      <c r="CI13" s="99"/>
      <c r="CJ13" s="99"/>
      <c r="CK13" s="99"/>
      <c r="CL13" s="16"/>
    </row>
    <row r="14" spans="1:90" ht="15" customHeight="1" x14ac:dyDescent="0.25">
      <c r="A14" s="1" t="s">
        <v>25</v>
      </c>
      <c r="B14" s="1">
        <v>9</v>
      </c>
      <c r="C14" s="14">
        <v>45719</v>
      </c>
      <c r="D14" s="14">
        <v>45728</v>
      </c>
      <c r="E14" s="1" t="s">
        <v>15</v>
      </c>
      <c r="F14" s="99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99"/>
      <c r="S14" s="99"/>
      <c r="T14" s="16"/>
      <c r="U14" s="114"/>
      <c r="V14" s="114"/>
      <c r="W14" s="114"/>
      <c r="X14" s="114"/>
      <c r="Y14" s="114"/>
      <c r="Z14" s="114"/>
      <c r="AA14" s="114"/>
      <c r="AB14" s="114"/>
      <c r="AC14" s="99"/>
      <c r="AD14" s="99"/>
      <c r="AE14" s="99"/>
      <c r="AF14" s="99"/>
      <c r="AG14" s="99"/>
      <c r="AH14" s="99"/>
      <c r="AI14" s="99"/>
      <c r="AJ14" s="99"/>
      <c r="AK14" s="99"/>
      <c r="AL14" s="1"/>
      <c r="AM14" s="16"/>
      <c r="AN14" s="99"/>
      <c r="AO14" s="99"/>
      <c r="AP14" s="99"/>
      <c r="AQ14" s="99"/>
      <c r="AR14" s="99"/>
      <c r="AS14" s="99"/>
      <c r="AT14" s="99"/>
      <c r="AU14" s="99"/>
      <c r="AV14" s="99"/>
      <c r="AW14" s="1"/>
      <c r="AX14" s="17"/>
      <c r="AY14" s="106"/>
      <c r="AZ14" s="103"/>
      <c r="BA14" s="103"/>
      <c r="BB14" s="103"/>
      <c r="BC14" s="103"/>
      <c r="BD14" s="103"/>
      <c r="BE14" s="103"/>
      <c r="BF14" s="103"/>
      <c r="BG14" s="103"/>
      <c r="BH14" s="19"/>
      <c r="BI14" s="99"/>
      <c r="BJ14" s="99"/>
      <c r="BK14" s="99"/>
      <c r="BL14" s="99"/>
      <c r="BM14" s="99"/>
      <c r="BN14" s="99"/>
      <c r="BO14" s="99"/>
      <c r="BP14" s="99"/>
      <c r="BQ14" s="99"/>
      <c r="BR14" s="99"/>
      <c r="BS14" s="99"/>
      <c r="BT14" s="99"/>
      <c r="BU14" s="99"/>
      <c r="BV14" s="99"/>
      <c r="BW14" s="99"/>
      <c r="BX14" s="99"/>
      <c r="BY14" s="99"/>
      <c r="BZ14" s="99"/>
      <c r="CA14" s="99"/>
      <c r="CB14" s="99"/>
      <c r="CC14" s="99"/>
      <c r="CD14" s="99"/>
      <c r="CE14" s="99"/>
      <c r="CF14" s="16"/>
      <c r="CG14" s="99"/>
      <c r="CH14" s="99"/>
      <c r="CI14" s="99"/>
      <c r="CJ14" s="99"/>
      <c r="CK14" s="99"/>
      <c r="CL14" s="16"/>
    </row>
    <row r="15" spans="1:90" ht="15" customHeight="1" x14ac:dyDescent="0.25">
      <c r="A15" s="1" t="s">
        <v>26</v>
      </c>
      <c r="B15" s="1">
        <v>15</v>
      </c>
      <c r="C15" s="14">
        <v>45726</v>
      </c>
      <c r="D15" s="14">
        <v>45741</v>
      </c>
      <c r="E15" s="1" t="s">
        <v>15</v>
      </c>
      <c r="F15" s="99"/>
      <c r="G15" s="99"/>
      <c r="H15" s="99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16"/>
      <c r="U15" s="99"/>
      <c r="V15" s="99"/>
      <c r="W15" s="99"/>
      <c r="X15" s="99"/>
      <c r="Y15" s="99"/>
      <c r="Z15" s="116"/>
      <c r="AA15" s="114"/>
      <c r="AB15" s="114"/>
      <c r="AC15" s="112"/>
      <c r="AD15" s="112"/>
      <c r="AE15" s="112"/>
      <c r="AF15" s="112"/>
      <c r="AG15" s="112"/>
      <c r="AH15" s="112"/>
      <c r="AI15" s="112"/>
      <c r="AJ15" s="112"/>
      <c r="AK15" s="112"/>
      <c r="AL15" s="1"/>
      <c r="AM15" s="16"/>
      <c r="AN15" s="99"/>
      <c r="AO15" s="99"/>
      <c r="AP15" s="99"/>
      <c r="AQ15" s="99"/>
      <c r="AR15" s="99"/>
      <c r="AS15" s="99"/>
      <c r="AT15" s="99"/>
      <c r="AU15" s="99"/>
      <c r="AV15" s="99"/>
      <c r="AW15" s="1"/>
      <c r="AX15" s="17"/>
      <c r="AY15" s="106"/>
      <c r="AZ15" s="103"/>
      <c r="BA15" s="103"/>
      <c r="BB15" s="103"/>
      <c r="BC15" s="103"/>
      <c r="BD15" s="103"/>
      <c r="BE15" s="103"/>
      <c r="BF15" s="103"/>
      <c r="BG15" s="103"/>
      <c r="BH15" s="19"/>
      <c r="BI15" s="99"/>
      <c r="BJ15" s="99"/>
      <c r="BK15" s="99"/>
      <c r="BL15" s="99"/>
      <c r="BM15" s="99"/>
      <c r="BN15" s="99"/>
      <c r="BO15" s="99"/>
      <c r="BP15" s="99"/>
      <c r="BQ15" s="99"/>
      <c r="BR15" s="99"/>
      <c r="BS15" s="99"/>
      <c r="BT15" s="99"/>
      <c r="BU15" s="99"/>
      <c r="BV15" s="99"/>
      <c r="BW15" s="99"/>
      <c r="BX15" s="99"/>
      <c r="BY15" s="99"/>
      <c r="BZ15" s="99"/>
      <c r="CA15" s="99"/>
      <c r="CB15" s="99"/>
      <c r="CC15" s="99"/>
      <c r="CD15" s="99"/>
      <c r="CE15" s="99"/>
      <c r="CF15" s="16"/>
      <c r="CG15" s="99"/>
      <c r="CH15" s="99"/>
      <c r="CI15" s="99"/>
      <c r="CJ15" s="99"/>
      <c r="CK15" s="99"/>
      <c r="CL15" s="16"/>
    </row>
    <row r="16" spans="1:90" ht="15" customHeight="1" x14ac:dyDescent="0.25">
      <c r="A16" s="1" t="s">
        <v>27</v>
      </c>
      <c r="B16" s="1">
        <v>25</v>
      </c>
      <c r="C16" s="14">
        <v>45719</v>
      </c>
      <c r="D16" s="14">
        <v>45744</v>
      </c>
      <c r="E16" s="1" t="s">
        <v>21</v>
      </c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16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6"/>
      <c r="AN16" s="24"/>
      <c r="AO16" s="99"/>
      <c r="AP16" s="99"/>
      <c r="AQ16" s="99"/>
      <c r="AR16" s="99"/>
      <c r="AS16" s="99"/>
      <c r="AT16" s="99"/>
      <c r="AU16" s="99"/>
      <c r="AV16" s="99"/>
      <c r="AW16" s="99"/>
      <c r="AX16" s="17"/>
      <c r="AY16" s="106"/>
      <c r="AZ16" s="103"/>
      <c r="BA16" s="103"/>
      <c r="BB16" s="103"/>
      <c r="BC16" s="103"/>
      <c r="BD16" s="103"/>
      <c r="BE16" s="103"/>
      <c r="BF16" s="103"/>
      <c r="BG16" s="103"/>
      <c r="BH16" s="19"/>
      <c r="BI16" s="99"/>
      <c r="BJ16" s="99"/>
      <c r="BK16" s="99"/>
      <c r="BL16" s="99"/>
      <c r="BM16" s="99"/>
      <c r="BN16" s="99"/>
      <c r="BO16" s="99"/>
      <c r="BP16" s="99"/>
      <c r="BQ16" s="99"/>
      <c r="BR16" s="99"/>
      <c r="BS16" s="99"/>
      <c r="BT16" s="99"/>
      <c r="BU16" s="99"/>
      <c r="BV16" s="99"/>
      <c r="BW16" s="99"/>
      <c r="BX16" s="99"/>
      <c r="BY16" s="99"/>
      <c r="BZ16" s="99"/>
      <c r="CA16" s="99"/>
      <c r="CB16" s="99"/>
      <c r="CC16" s="99"/>
      <c r="CD16" s="99"/>
      <c r="CE16" s="99"/>
      <c r="CF16" s="16"/>
      <c r="CG16" s="99"/>
      <c r="CH16" s="99"/>
      <c r="CI16" s="99"/>
      <c r="CJ16" s="99"/>
      <c r="CK16" s="99"/>
      <c r="CL16" s="16"/>
    </row>
    <row r="17" spans="1:90" ht="15" customHeight="1" x14ac:dyDescent="0.25">
      <c r="A17" s="1" t="s">
        <v>28</v>
      </c>
      <c r="B17" s="1">
        <v>13</v>
      </c>
      <c r="C17" s="14">
        <v>45727</v>
      </c>
      <c r="D17" s="14">
        <v>45740</v>
      </c>
      <c r="E17" s="1" t="s">
        <v>13</v>
      </c>
      <c r="F17" s="99"/>
      <c r="G17" s="99"/>
      <c r="H17" s="99"/>
      <c r="I17" s="99"/>
      <c r="J17" s="99"/>
      <c r="K17" s="99"/>
      <c r="L17" s="99"/>
      <c r="M17" s="99"/>
      <c r="N17" s="99"/>
      <c r="O17" s="99"/>
      <c r="P17" s="99"/>
      <c r="Q17" s="99"/>
      <c r="R17" s="99"/>
      <c r="S17" s="99"/>
      <c r="T17" s="16"/>
      <c r="U17" s="99"/>
      <c r="V17" s="99"/>
      <c r="W17" s="99"/>
      <c r="X17" s="99"/>
      <c r="Y17" s="99"/>
      <c r="Z17" s="99"/>
      <c r="AA17" s="111"/>
      <c r="AB17" s="112"/>
      <c r="AC17" s="112"/>
      <c r="AD17" s="112"/>
      <c r="AE17" s="112"/>
      <c r="AF17" s="112"/>
      <c r="AG17" s="112"/>
      <c r="AH17" s="112"/>
      <c r="AI17" s="112"/>
      <c r="AJ17" s="25"/>
      <c r="AK17" s="99"/>
      <c r="AL17" s="99"/>
      <c r="AM17" s="16"/>
      <c r="AN17" s="99"/>
      <c r="AO17" s="99"/>
      <c r="AP17" s="99"/>
      <c r="AQ17" s="99"/>
      <c r="AR17" s="99"/>
      <c r="AS17" s="99"/>
      <c r="AT17" s="99"/>
      <c r="AU17" s="99"/>
      <c r="AV17" s="99"/>
      <c r="AW17" s="1"/>
      <c r="AX17" s="17"/>
      <c r="AY17" s="106"/>
      <c r="AZ17" s="103"/>
      <c r="BA17" s="103"/>
      <c r="BB17" s="103"/>
      <c r="BC17" s="103"/>
      <c r="BD17" s="103"/>
      <c r="BE17" s="103"/>
      <c r="BF17" s="103"/>
      <c r="BG17" s="103"/>
      <c r="BH17" s="19"/>
      <c r="BI17" s="99"/>
      <c r="BJ17" s="99"/>
      <c r="BK17" s="99"/>
      <c r="BL17" s="99"/>
      <c r="BM17" s="99"/>
      <c r="BN17" s="99"/>
      <c r="BO17" s="99"/>
      <c r="BP17" s="99"/>
      <c r="BQ17" s="99"/>
      <c r="BR17" s="99"/>
      <c r="BS17" s="99"/>
      <c r="BT17" s="99"/>
      <c r="BU17" s="99"/>
      <c r="BV17" s="99"/>
      <c r="BW17" s="99"/>
      <c r="BX17" s="99"/>
      <c r="BY17" s="99"/>
      <c r="BZ17" s="99"/>
      <c r="CA17" s="99"/>
      <c r="CB17" s="99"/>
      <c r="CC17" s="99"/>
      <c r="CD17" s="99"/>
      <c r="CE17" s="99"/>
      <c r="CF17" s="16"/>
      <c r="CG17" s="99"/>
      <c r="CH17" s="99"/>
      <c r="CI17" s="99"/>
      <c r="CJ17" s="99"/>
      <c r="CK17" s="99"/>
      <c r="CL17" s="16"/>
    </row>
    <row r="18" spans="1:90" ht="15" customHeight="1" x14ac:dyDescent="0.25">
      <c r="A18" s="1" t="s">
        <v>29</v>
      </c>
      <c r="B18" s="1">
        <v>44</v>
      </c>
      <c r="C18" s="14">
        <v>45713</v>
      </c>
      <c r="D18" s="14">
        <v>45757</v>
      </c>
      <c r="E18" s="15" t="s">
        <v>11</v>
      </c>
      <c r="F18" s="99"/>
      <c r="G18" s="99"/>
      <c r="H18" s="99"/>
      <c r="I18" s="99"/>
      <c r="J18" s="99"/>
      <c r="K18" s="99"/>
      <c r="L18" s="99"/>
      <c r="M18" s="99"/>
      <c r="N18" s="99"/>
      <c r="O18" s="99"/>
      <c r="P18" s="99"/>
      <c r="Q18" s="111"/>
      <c r="R18" s="112"/>
      <c r="S18" s="112"/>
      <c r="T18" s="16"/>
      <c r="U18" s="112"/>
      <c r="V18" s="112"/>
      <c r="W18" s="112"/>
      <c r="X18" s="112"/>
      <c r="Y18" s="112"/>
      <c r="Z18" s="112"/>
      <c r="AA18" s="112"/>
      <c r="AB18" s="112"/>
      <c r="AC18" s="112"/>
      <c r="AD18" s="112"/>
      <c r="AE18" s="112"/>
      <c r="AF18" s="112"/>
      <c r="AG18" s="112"/>
      <c r="AH18" s="112"/>
      <c r="AI18" s="112"/>
      <c r="AJ18" s="112"/>
      <c r="AK18" s="112"/>
      <c r="AL18" s="112"/>
      <c r="AM18" s="16"/>
      <c r="AN18" s="112"/>
      <c r="AO18" s="112"/>
      <c r="AP18" s="112"/>
      <c r="AQ18" s="112"/>
      <c r="AR18" s="112"/>
      <c r="AS18" s="112"/>
      <c r="AT18" s="112"/>
      <c r="AU18" s="112"/>
      <c r="AV18" s="112"/>
      <c r="AW18" s="22"/>
      <c r="AX18" s="17"/>
      <c r="AY18" s="106"/>
      <c r="AZ18" s="103"/>
      <c r="BA18" s="103"/>
      <c r="BB18" s="103"/>
      <c r="BC18" s="103"/>
      <c r="BD18" s="103"/>
      <c r="BE18" s="103"/>
      <c r="BF18" s="103"/>
      <c r="BG18" s="103"/>
      <c r="BH18" s="19"/>
      <c r="BI18" s="99"/>
      <c r="BJ18" s="99"/>
      <c r="BK18" s="99"/>
      <c r="BL18" s="99"/>
      <c r="BM18" s="99"/>
      <c r="BN18" s="99"/>
      <c r="BO18" s="99"/>
      <c r="BP18" s="99"/>
      <c r="BQ18" s="99"/>
      <c r="BR18" s="99"/>
      <c r="BS18" s="99"/>
      <c r="BT18" s="99"/>
      <c r="BU18" s="99"/>
      <c r="BV18" s="99"/>
      <c r="BW18" s="99"/>
      <c r="BX18" s="99"/>
      <c r="BY18" s="99"/>
      <c r="BZ18" s="99"/>
      <c r="CA18" s="99"/>
      <c r="CB18" s="99"/>
      <c r="CC18" s="99"/>
      <c r="CD18" s="99"/>
      <c r="CE18" s="99"/>
      <c r="CF18" s="16"/>
      <c r="CG18" s="99"/>
      <c r="CH18" s="99"/>
      <c r="CI18" s="99"/>
      <c r="CJ18" s="99"/>
      <c r="CK18" s="99"/>
      <c r="CL18" s="16"/>
    </row>
    <row r="19" spans="1:90" ht="15" customHeight="1" x14ac:dyDescent="0.25">
      <c r="A19" s="10" t="s">
        <v>30</v>
      </c>
      <c r="B19" s="1"/>
      <c r="C19" s="1"/>
      <c r="D19" s="1"/>
      <c r="E19" s="1"/>
      <c r="F19" s="99"/>
      <c r="G19" s="99"/>
      <c r="H19" s="99"/>
      <c r="I19" s="99"/>
      <c r="J19" s="99"/>
      <c r="K19" s="99"/>
      <c r="L19" s="99"/>
      <c r="M19" s="99"/>
      <c r="N19" s="99"/>
      <c r="O19" s="99"/>
      <c r="P19" s="99"/>
      <c r="Q19" s="99"/>
      <c r="R19" s="99"/>
      <c r="S19" s="99"/>
      <c r="T19" s="16"/>
      <c r="U19" s="99"/>
      <c r="V19" s="99"/>
      <c r="W19" s="99"/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6"/>
      <c r="AN19" s="99"/>
      <c r="AO19" s="99"/>
      <c r="AP19" s="99"/>
      <c r="AQ19" s="99"/>
      <c r="AR19" s="99"/>
      <c r="AS19" s="99"/>
      <c r="AT19" s="99"/>
      <c r="AU19" s="99"/>
      <c r="AV19" s="99"/>
      <c r="AW19" s="1"/>
      <c r="AX19" s="17"/>
      <c r="AY19" s="106"/>
      <c r="AZ19" s="103"/>
      <c r="BA19" s="103"/>
      <c r="BB19" s="103"/>
      <c r="BC19" s="103"/>
      <c r="BD19" s="103"/>
      <c r="BE19" s="103"/>
      <c r="BF19" s="103"/>
      <c r="BG19" s="103"/>
      <c r="BH19" s="19"/>
      <c r="BI19" s="99"/>
      <c r="BJ19" s="99"/>
      <c r="BK19" s="99"/>
      <c r="BL19" s="99"/>
      <c r="BM19" s="99"/>
      <c r="BN19" s="99"/>
      <c r="BO19" s="99"/>
      <c r="BP19" s="99"/>
      <c r="BQ19" s="99"/>
      <c r="BR19" s="99"/>
      <c r="BS19" s="99"/>
      <c r="BT19" s="99"/>
      <c r="BU19" s="99"/>
      <c r="BV19" s="99"/>
      <c r="BW19" s="99"/>
      <c r="BX19" s="99"/>
      <c r="BY19" s="99"/>
      <c r="BZ19" s="99"/>
      <c r="CA19" s="99"/>
      <c r="CB19" s="99"/>
      <c r="CC19" s="99"/>
      <c r="CD19" s="99"/>
      <c r="CE19" s="99"/>
      <c r="CF19" s="16"/>
      <c r="CG19" s="99"/>
      <c r="CH19" s="99"/>
      <c r="CI19" s="99"/>
      <c r="CJ19" s="99"/>
      <c r="CK19" s="99"/>
      <c r="CL19" s="16"/>
    </row>
    <row r="20" spans="1:90" ht="15" customHeight="1" x14ac:dyDescent="0.25">
      <c r="A20" s="1" t="s">
        <v>31</v>
      </c>
      <c r="B20" s="1">
        <v>65</v>
      </c>
      <c r="C20" s="14">
        <v>45740</v>
      </c>
      <c r="D20" s="14">
        <v>45805</v>
      </c>
      <c r="E20" s="15" t="s">
        <v>11</v>
      </c>
      <c r="F20" s="99"/>
      <c r="G20" s="99"/>
      <c r="H20" s="99"/>
      <c r="I20" s="99"/>
      <c r="J20" s="99"/>
      <c r="K20" s="99"/>
      <c r="L20" s="99"/>
      <c r="M20" s="99"/>
      <c r="N20" s="99"/>
      <c r="O20" s="99"/>
      <c r="P20" s="99"/>
      <c r="Q20" s="99"/>
      <c r="R20" s="99"/>
      <c r="S20" s="99"/>
      <c r="T20" s="16"/>
      <c r="U20" s="99"/>
      <c r="V20" s="99"/>
      <c r="W20" s="99"/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111"/>
      <c r="AK20" s="112"/>
      <c r="AL20" s="112"/>
      <c r="AM20" s="17"/>
      <c r="AN20" s="111"/>
      <c r="AO20" s="112"/>
      <c r="AP20" s="112"/>
      <c r="AQ20" s="112"/>
      <c r="AR20" s="112"/>
      <c r="AS20" s="112"/>
      <c r="AT20" s="112"/>
      <c r="AU20" s="112"/>
      <c r="AV20" s="112"/>
      <c r="AW20" s="25"/>
      <c r="AX20" s="17"/>
      <c r="AY20" s="106"/>
      <c r="AZ20" s="103"/>
      <c r="BA20" s="103"/>
      <c r="BB20" s="103"/>
      <c r="BC20" s="103"/>
      <c r="BD20" s="103"/>
      <c r="BE20" s="103"/>
      <c r="BF20" s="103"/>
      <c r="BG20" s="103"/>
      <c r="BH20" s="19"/>
      <c r="BI20" s="111"/>
      <c r="BJ20" s="112"/>
      <c r="BK20" s="112"/>
      <c r="BL20" s="112"/>
      <c r="BM20" s="112"/>
      <c r="BN20" s="112"/>
      <c r="BO20" s="112"/>
      <c r="BP20" s="112"/>
      <c r="BQ20" s="112"/>
      <c r="BR20" s="112"/>
      <c r="BS20" s="112"/>
      <c r="BT20" s="112"/>
      <c r="BU20" s="112"/>
      <c r="BV20" s="112"/>
      <c r="BW20" s="112"/>
      <c r="BX20" s="112"/>
      <c r="BY20" s="112"/>
      <c r="BZ20" s="112"/>
      <c r="CA20" s="112"/>
      <c r="CB20" s="112"/>
      <c r="CC20" s="112"/>
      <c r="CD20" s="112"/>
      <c r="CE20" s="112"/>
      <c r="CF20" s="16"/>
      <c r="CG20" s="99"/>
      <c r="CH20" s="99"/>
      <c r="CI20" s="99"/>
      <c r="CJ20" s="99"/>
      <c r="CK20" s="99"/>
      <c r="CL20" s="16"/>
    </row>
    <row r="21" spans="1:90" ht="15" customHeight="1" x14ac:dyDescent="0.25">
      <c r="A21" s="1" t="s">
        <v>32</v>
      </c>
      <c r="B21" s="1">
        <v>65</v>
      </c>
      <c r="C21" s="14">
        <v>45740</v>
      </c>
      <c r="D21" s="14">
        <v>45805</v>
      </c>
      <c r="E21" s="15" t="s">
        <v>11</v>
      </c>
      <c r="F21" s="99"/>
      <c r="G21" s="99"/>
      <c r="H21" s="99"/>
      <c r="I21" s="99"/>
      <c r="J21" s="99"/>
      <c r="K21" s="99"/>
      <c r="L21" s="99"/>
      <c r="M21" s="99"/>
      <c r="N21" s="99"/>
      <c r="O21" s="99"/>
      <c r="P21" s="99"/>
      <c r="Q21" s="99"/>
      <c r="R21" s="99"/>
      <c r="S21" s="99"/>
      <c r="T21" s="16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117"/>
      <c r="AK21" s="115"/>
      <c r="AL21" s="115"/>
      <c r="AM21" s="17"/>
      <c r="AN21" s="117"/>
      <c r="AO21" s="115"/>
      <c r="AP21" s="115"/>
      <c r="AQ21" s="115"/>
      <c r="AR21" s="115"/>
      <c r="AS21" s="115"/>
      <c r="AT21" s="115"/>
      <c r="AU21" s="115"/>
      <c r="AV21" s="115"/>
      <c r="AW21" s="24"/>
      <c r="AX21" s="17"/>
      <c r="AY21" s="106"/>
      <c r="AZ21" s="103"/>
      <c r="BA21" s="103"/>
      <c r="BB21" s="103"/>
      <c r="BC21" s="103"/>
      <c r="BD21" s="103"/>
      <c r="BE21" s="103"/>
      <c r="BF21" s="103"/>
      <c r="BG21" s="103"/>
      <c r="BH21" s="18"/>
      <c r="BI21" s="117"/>
      <c r="BJ21" s="115"/>
      <c r="BK21" s="115"/>
      <c r="BL21" s="115"/>
      <c r="BM21" s="115"/>
      <c r="BN21" s="115"/>
      <c r="BO21" s="115"/>
      <c r="BP21" s="115"/>
      <c r="BQ21" s="115"/>
      <c r="BR21" s="115"/>
      <c r="BS21" s="115"/>
      <c r="BT21" s="115"/>
      <c r="BU21" s="115"/>
      <c r="BV21" s="115"/>
      <c r="BW21" s="115"/>
      <c r="BX21" s="115"/>
      <c r="BY21" s="115"/>
      <c r="BZ21" s="115"/>
      <c r="CA21" s="115"/>
      <c r="CB21" s="115"/>
      <c r="CC21" s="115"/>
      <c r="CD21" s="115"/>
      <c r="CE21" s="115"/>
      <c r="CF21" s="16"/>
      <c r="CG21" s="99"/>
      <c r="CH21" s="99"/>
      <c r="CI21" s="99"/>
      <c r="CJ21" s="99"/>
      <c r="CK21" s="99"/>
      <c r="CL21" s="16"/>
    </row>
    <row r="22" spans="1:90" ht="15" customHeight="1" x14ac:dyDescent="0.25">
      <c r="A22" s="1" t="s">
        <v>29</v>
      </c>
      <c r="B22" s="1">
        <v>65</v>
      </c>
      <c r="C22" s="14">
        <v>45740</v>
      </c>
      <c r="D22" s="14">
        <v>45805</v>
      </c>
      <c r="E22" s="15" t="s">
        <v>11</v>
      </c>
      <c r="F22" s="99"/>
      <c r="G22" s="99"/>
      <c r="H22" s="99"/>
      <c r="I22" s="99"/>
      <c r="J22" s="99"/>
      <c r="K22" s="99"/>
      <c r="L22" s="99"/>
      <c r="M22" s="99"/>
      <c r="N22" s="99"/>
      <c r="O22" s="99"/>
      <c r="P22" s="99"/>
      <c r="Q22" s="99"/>
      <c r="R22" s="99"/>
      <c r="S22" s="99"/>
      <c r="T22" s="16"/>
      <c r="U22" s="99"/>
      <c r="V22" s="99"/>
      <c r="W22" s="99"/>
      <c r="X22" s="99"/>
      <c r="Y22" s="99"/>
      <c r="Z22" s="99"/>
      <c r="AA22" s="99"/>
      <c r="AB22" s="99"/>
      <c r="AC22" s="99"/>
      <c r="AD22" s="99"/>
      <c r="AE22" s="99"/>
      <c r="AF22" s="99"/>
      <c r="AG22" s="99"/>
      <c r="AH22" s="99"/>
      <c r="AI22" s="99"/>
      <c r="AJ22" s="111"/>
      <c r="AK22" s="112"/>
      <c r="AL22" s="112"/>
      <c r="AM22" s="17"/>
      <c r="AN22" s="111"/>
      <c r="AO22" s="112"/>
      <c r="AP22" s="112"/>
      <c r="AQ22" s="112"/>
      <c r="AR22" s="112"/>
      <c r="AS22" s="112"/>
      <c r="AT22" s="112"/>
      <c r="AU22" s="112"/>
      <c r="AV22" s="112"/>
      <c r="AW22" s="25"/>
      <c r="AX22" s="17"/>
      <c r="AY22" s="106"/>
      <c r="AZ22" s="103"/>
      <c r="BA22" s="103"/>
      <c r="BB22" s="103"/>
      <c r="BC22" s="103"/>
      <c r="BD22" s="103"/>
      <c r="BE22" s="103"/>
      <c r="BF22" s="103"/>
      <c r="BG22" s="103"/>
      <c r="BH22" s="18"/>
      <c r="BI22" s="111"/>
      <c r="BJ22" s="112"/>
      <c r="BK22" s="112"/>
      <c r="BL22" s="112"/>
      <c r="BM22" s="112"/>
      <c r="BN22" s="112"/>
      <c r="BO22" s="112"/>
      <c r="BP22" s="112"/>
      <c r="BQ22" s="112"/>
      <c r="BR22" s="112"/>
      <c r="BS22" s="112"/>
      <c r="BT22" s="112"/>
      <c r="BU22" s="112"/>
      <c r="BV22" s="112"/>
      <c r="BW22" s="112"/>
      <c r="BX22" s="112"/>
      <c r="BY22" s="112"/>
      <c r="BZ22" s="112"/>
      <c r="CA22" s="112"/>
      <c r="CB22" s="112"/>
      <c r="CC22" s="112"/>
      <c r="CD22" s="112"/>
      <c r="CE22" s="112"/>
      <c r="CF22" s="16"/>
      <c r="CG22" s="99"/>
      <c r="CH22" s="99"/>
      <c r="CI22" s="99"/>
      <c r="CJ22" s="99"/>
      <c r="CK22" s="99"/>
      <c r="CL22" s="16"/>
    </row>
    <row r="23" spans="1:90" ht="15" customHeight="1" x14ac:dyDescent="0.25">
      <c r="A23" s="10" t="s">
        <v>33</v>
      </c>
      <c r="B23" s="1"/>
      <c r="C23" s="1"/>
      <c r="D23" s="1"/>
      <c r="E23" s="1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16"/>
      <c r="U23" s="99"/>
      <c r="V23" s="99"/>
      <c r="W23" s="99"/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6"/>
      <c r="AN23" s="99"/>
      <c r="AO23" s="99"/>
      <c r="AP23" s="99"/>
      <c r="AQ23" s="99"/>
      <c r="AR23" s="99"/>
      <c r="AS23" s="99"/>
      <c r="AT23" s="99"/>
      <c r="AU23" s="99"/>
      <c r="AV23" s="99"/>
      <c r="AW23" s="1"/>
      <c r="AX23" s="17"/>
      <c r="AY23" s="106"/>
      <c r="AZ23" s="103"/>
      <c r="BA23" s="103"/>
      <c r="BB23" s="103"/>
      <c r="BC23" s="103"/>
      <c r="BD23" s="103"/>
      <c r="BE23" s="103"/>
      <c r="BF23" s="103"/>
      <c r="BG23" s="103"/>
      <c r="BH23" s="19"/>
      <c r="BI23" s="99"/>
      <c r="BJ23" s="99"/>
      <c r="BK23" s="99"/>
      <c r="BL23" s="99"/>
      <c r="BM23" s="99"/>
      <c r="BN23" s="99"/>
      <c r="BO23" s="99"/>
      <c r="BP23" s="99"/>
      <c r="BQ23" s="99"/>
      <c r="BR23" s="99"/>
      <c r="BS23" s="99"/>
      <c r="BT23" s="99"/>
      <c r="BU23" s="99"/>
      <c r="BV23" s="99"/>
      <c r="BW23" s="99"/>
      <c r="BX23" s="99"/>
      <c r="BY23" s="99"/>
      <c r="BZ23" s="99"/>
      <c r="CA23" s="99"/>
      <c r="CB23" s="99"/>
      <c r="CC23" s="99"/>
      <c r="CD23" s="99"/>
      <c r="CE23" s="99"/>
      <c r="CF23" s="16"/>
      <c r="CG23" s="99"/>
      <c r="CH23" s="99"/>
      <c r="CI23" s="99"/>
      <c r="CJ23" s="99"/>
      <c r="CK23" s="99"/>
      <c r="CL23" s="16"/>
    </row>
    <row r="24" spans="1:90" ht="15" customHeight="1" x14ac:dyDescent="0.25">
      <c r="A24" s="1" t="s">
        <v>34</v>
      </c>
      <c r="B24" s="1">
        <v>18</v>
      </c>
      <c r="C24" s="14">
        <v>45719</v>
      </c>
      <c r="D24" s="14">
        <v>45737</v>
      </c>
      <c r="E24" s="15" t="s">
        <v>11</v>
      </c>
      <c r="F24" s="99"/>
      <c r="G24" s="99"/>
      <c r="H24" s="99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16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99"/>
      <c r="AK24" s="99"/>
      <c r="AL24" s="99"/>
      <c r="AM24" s="16"/>
      <c r="AN24" s="99"/>
      <c r="AO24" s="99"/>
      <c r="AP24" s="99"/>
      <c r="AQ24" s="99"/>
      <c r="AR24" s="99"/>
      <c r="AS24" s="99"/>
      <c r="AT24" s="99"/>
      <c r="AU24" s="99"/>
      <c r="AV24" s="99"/>
      <c r="AW24" s="1"/>
      <c r="AX24" s="17"/>
      <c r="AY24" s="106"/>
      <c r="AZ24" s="103"/>
      <c r="BA24" s="103"/>
      <c r="BB24" s="103"/>
      <c r="BC24" s="103"/>
      <c r="BD24" s="103"/>
      <c r="BE24" s="103"/>
      <c r="BF24" s="103"/>
      <c r="BG24" s="103"/>
      <c r="BH24" s="19"/>
      <c r="BI24" s="99"/>
      <c r="BJ24" s="99"/>
      <c r="BK24" s="99"/>
      <c r="BL24" s="99"/>
      <c r="BM24" s="99"/>
      <c r="BN24" s="99"/>
      <c r="BO24" s="99"/>
      <c r="BP24" s="99"/>
      <c r="BQ24" s="99"/>
      <c r="BR24" s="99"/>
      <c r="BS24" s="99"/>
      <c r="BT24" s="99"/>
      <c r="BU24" s="99"/>
      <c r="BV24" s="99"/>
      <c r="BW24" s="99"/>
      <c r="BX24" s="99"/>
      <c r="BY24" s="99"/>
      <c r="BZ24" s="99"/>
      <c r="CA24" s="99"/>
      <c r="CB24" s="99"/>
      <c r="CC24" s="99"/>
      <c r="CD24" s="99"/>
      <c r="CE24" s="99"/>
      <c r="CF24" s="16"/>
      <c r="CG24" s="99"/>
      <c r="CH24" s="99"/>
      <c r="CI24" s="99"/>
      <c r="CJ24" s="99"/>
      <c r="CK24" s="99"/>
      <c r="CL24" s="16"/>
    </row>
    <row r="25" spans="1:90" ht="15" customHeight="1" x14ac:dyDescent="0.25">
      <c r="A25" s="1" t="s">
        <v>35</v>
      </c>
      <c r="B25" s="1">
        <v>86</v>
      </c>
      <c r="C25" s="14">
        <v>45719</v>
      </c>
      <c r="D25" s="14">
        <v>45805</v>
      </c>
      <c r="E25" s="15" t="s">
        <v>11</v>
      </c>
      <c r="F25" s="99"/>
      <c r="G25" s="99"/>
      <c r="H25" s="99"/>
      <c r="I25" s="99"/>
      <c r="J25" s="99"/>
      <c r="K25" s="99"/>
      <c r="L25" s="99"/>
      <c r="M25" s="99"/>
      <c r="N25" s="99"/>
      <c r="O25" s="99"/>
      <c r="P25" s="99"/>
      <c r="Q25" s="99"/>
      <c r="R25" s="99"/>
      <c r="S25" s="99"/>
      <c r="T25" s="16"/>
      <c r="U25" s="111"/>
      <c r="V25" s="112"/>
      <c r="W25" s="112"/>
      <c r="X25" s="112"/>
      <c r="Y25" s="112"/>
      <c r="Z25" s="112"/>
      <c r="AA25" s="112"/>
      <c r="AB25" s="112"/>
      <c r="AC25" s="112"/>
      <c r="AD25" s="112"/>
      <c r="AE25" s="112"/>
      <c r="AF25" s="112"/>
      <c r="AG25" s="112"/>
      <c r="AH25" s="112"/>
      <c r="AI25" s="112"/>
      <c r="AJ25" s="112"/>
      <c r="AK25" s="112"/>
      <c r="AL25" s="112"/>
      <c r="AM25" s="16"/>
      <c r="AN25" s="111"/>
      <c r="AO25" s="112"/>
      <c r="AP25" s="112"/>
      <c r="AQ25" s="112"/>
      <c r="AR25" s="112"/>
      <c r="AS25" s="112"/>
      <c r="AT25" s="112"/>
      <c r="AU25" s="112"/>
      <c r="AV25" s="112"/>
      <c r="AW25" s="25"/>
      <c r="AX25" s="17"/>
      <c r="AY25" s="106"/>
      <c r="AZ25" s="103"/>
      <c r="BA25" s="103"/>
      <c r="BB25" s="103"/>
      <c r="BC25" s="103"/>
      <c r="BD25" s="103"/>
      <c r="BE25" s="103"/>
      <c r="BF25" s="103"/>
      <c r="BG25" s="103"/>
      <c r="BH25" s="19"/>
      <c r="BI25" s="111"/>
      <c r="BJ25" s="112"/>
      <c r="BK25" s="112"/>
      <c r="BL25" s="112"/>
      <c r="BM25" s="112"/>
      <c r="BN25" s="112"/>
      <c r="BO25" s="112"/>
      <c r="BP25" s="112"/>
      <c r="BQ25" s="112"/>
      <c r="BR25" s="112"/>
      <c r="BS25" s="112"/>
      <c r="BT25" s="112"/>
      <c r="BU25" s="112"/>
      <c r="BV25" s="112"/>
      <c r="BW25" s="112"/>
      <c r="BX25" s="112"/>
      <c r="BY25" s="112"/>
      <c r="BZ25" s="112"/>
      <c r="CA25" s="112"/>
      <c r="CB25" s="112"/>
      <c r="CC25" s="112"/>
      <c r="CD25" s="112"/>
      <c r="CE25" s="112"/>
      <c r="CF25" s="16"/>
      <c r="CG25" s="99"/>
      <c r="CH25" s="99"/>
      <c r="CI25" s="99"/>
      <c r="CJ25" s="99"/>
      <c r="CK25" s="99"/>
      <c r="CL25" s="16"/>
    </row>
    <row r="26" spans="1:90" ht="15" customHeight="1" x14ac:dyDescent="0.25">
      <c r="A26" s="1" t="s">
        <v>36</v>
      </c>
      <c r="B26" s="1">
        <v>61</v>
      </c>
      <c r="C26" s="14">
        <v>45744</v>
      </c>
      <c r="D26" s="14">
        <v>45805</v>
      </c>
      <c r="E26" s="15" t="s">
        <v>11</v>
      </c>
      <c r="F26" s="99"/>
      <c r="G26" s="99"/>
      <c r="H26" s="99"/>
      <c r="I26" s="99"/>
      <c r="J26" s="99"/>
      <c r="K26" s="99"/>
      <c r="L26" s="99"/>
      <c r="M26" s="99"/>
      <c r="N26" s="99"/>
      <c r="O26" s="99"/>
      <c r="P26" s="99"/>
      <c r="Q26" s="99"/>
      <c r="R26" s="99"/>
      <c r="S26" s="99"/>
      <c r="T26" s="16"/>
      <c r="U26" s="99"/>
      <c r="V26" s="99"/>
      <c r="W26" s="99"/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99"/>
      <c r="AM26" s="16"/>
      <c r="AN26" s="111"/>
      <c r="AO26" s="112"/>
      <c r="AP26" s="112"/>
      <c r="AQ26" s="112"/>
      <c r="AR26" s="112"/>
      <c r="AS26" s="112"/>
      <c r="AT26" s="115"/>
      <c r="AU26" s="115"/>
      <c r="AV26" s="115"/>
      <c r="AW26" s="24"/>
      <c r="AX26" s="17"/>
      <c r="AY26" s="106"/>
      <c r="AZ26" s="103"/>
      <c r="BA26" s="103"/>
      <c r="BB26" s="103"/>
      <c r="BC26" s="103"/>
      <c r="BD26" s="103"/>
      <c r="BE26" s="103"/>
      <c r="BF26" s="103"/>
      <c r="BG26" s="103"/>
      <c r="BH26" s="19"/>
      <c r="BI26" s="111"/>
      <c r="BJ26" s="112"/>
      <c r="BK26" s="112"/>
      <c r="BL26" s="112"/>
      <c r="BM26" s="112"/>
      <c r="BN26" s="112"/>
      <c r="BO26" s="112"/>
      <c r="BP26" s="112"/>
      <c r="BQ26" s="112"/>
      <c r="BR26" s="112"/>
      <c r="BS26" s="112"/>
      <c r="BT26" s="112"/>
      <c r="BU26" s="112"/>
      <c r="BV26" s="112"/>
      <c r="BW26" s="112"/>
      <c r="BX26" s="112"/>
      <c r="BY26" s="112"/>
      <c r="BZ26" s="112"/>
      <c r="CA26" s="112"/>
      <c r="CB26" s="112"/>
      <c r="CC26" s="112"/>
      <c r="CD26" s="112"/>
      <c r="CE26" s="112"/>
      <c r="CF26" s="16"/>
      <c r="CG26" s="99"/>
      <c r="CH26" s="99"/>
      <c r="CI26" s="99"/>
      <c r="CJ26" s="99"/>
      <c r="CK26" s="99"/>
      <c r="CL26" s="16"/>
    </row>
    <row r="27" spans="1:90" ht="15" customHeight="1" x14ac:dyDescent="0.25">
      <c r="A27" s="1" t="s">
        <v>37</v>
      </c>
      <c r="B27" s="1">
        <v>51</v>
      </c>
      <c r="C27" s="14">
        <v>45754</v>
      </c>
      <c r="D27" s="14">
        <v>45805</v>
      </c>
      <c r="E27" s="1" t="s">
        <v>23</v>
      </c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16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6"/>
      <c r="AN27" s="99"/>
      <c r="AO27" s="99"/>
      <c r="AP27" s="99"/>
      <c r="AQ27" s="99"/>
      <c r="AR27" s="99"/>
      <c r="AS27" s="99"/>
      <c r="AT27" s="111"/>
      <c r="AU27" s="112"/>
      <c r="AV27" s="112"/>
      <c r="AW27" s="25"/>
      <c r="AX27" s="26"/>
      <c r="AY27" s="106"/>
      <c r="AZ27" s="103"/>
      <c r="BA27" s="103"/>
      <c r="BB27" s="103"/>
      <c r="BC27" s="103"/>
      <c r="BD27" s="103"/>
      <c r="BE27" s="103"/>
      <c r="BF27" s="103"/>
      <c r="BG27" s="103"/>
      <c r="BH27" s="18"/>
      <c r="BI27" s="111"/>
      <c r="BJ27" s="112"/>
      <c r="BK27" s="112"/>
      <c r="BL27" s="112"/>
      <c r="BM27" s="112"/>
      <c r="BN27" s="112"/>
      <c r="BO27" s="112"/>
      <c r="BP27" s="112"/>
      <c r="BQ27" s="112"/>
      <c r="BR27" s="112"/>
      <c r="BS27" s="112"/>
      <c r="BT27" s="112"/>
      <c r="BU27" s="112"/>
      <c r="BV27" s="112"/>
      <c r="BW27" s="112"/>
      <c r="BX27" s="112"/>
      <c r="BY27" s="112"/>
      <c r="BZ27" s="112"/>
      <c r="CA27" s="112"/>
      <c r="CB27" s="112"/>
      <c r="CC27" s="112"/>
      <c r="CD27" s="112"/>
      <c r="CE27" s="112"/>
      <c r="CF27" s="27"/>
      <c r="CG27" s="99"/>
      <c r="CH27" s="99"/>
      <c r="CI27" s="99"/>
      <c r="CJ27" s="99"/>
      <c r="CK27" s="99"/>
      <c r="CL27" s="16"/>
    </row>
    <row r="28" spans="1:90" ht="15" customHeight="1" x14ac:dyDescent="0.25">
      <c r="A28" s="10" t="s">
        <v>38</v>
      </c>
      <c r="B28" s="1"/>
      <c r="C28" s="1"/>
      <c r="D28" s="1"/>
      <c r="E28" s="1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16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99"/>
      <c r="AM28" s="16"/>
      <c r="AN28" s="99"/>
      <c r="AO28" s="99"/>
      <c r="AP28" s="99"/>
      <c r="AQ28" s="99"/>
      <c r="AR28" s="99"/>
      <c r="AS28" s="99"/>
      <c r="AT28" s="99"/>
      <c r="AU28" s="99"/>
      <c r="AV28" s="99"/>
      <c r="AW28" s="1"/>
      <c r="AX28" s="17"/>
      <c r="AY28" s="106"/>
      <c r="AZ28" s="103"/>
      <c r="BA28" s="103"/>
      <c r="BB28" s="103"/>
      <c r="BC28" s="103"/>
      <c r="BD28" s="103"/>
      <c r="BE28" s="103"/>
      <c r="BF28" s="103"/>
      <c r="BG28" s="103"/>
      <c r="BH28" s="19"/>
      <c r="BI28" s="99"/>
      <c r="BJ28" s="99"/>
      <c r="BK28" s="99"/>
      <c r="BL28" s="99"/>
      <c r="BM28" s="99"/>
      <c r="BN28" s="99"/>
      <c r="BO28" s="99"/>
      <c r="BP28" s="99"/>
      <c r="BQ28" s="99"/>
      <c r="BR28" s="99"/>
      <c r="BS28" s="99"/>
      <c r="BT28" s="99"/>
      <c r="BU28" s="99"/>
      <c r="BV28" s="99"/>
      <c r="BW28" s="99"/>
      <c r="BX28" s="99"/>
      <c r="BY28" s="99"/>
      <c r="BZ28" s="99"/>
      <c r="CA28" s="99"/>
      <c r="CB28" s="99"/>
      <c r="CC28" s="99"/>
      <c r="CD28" s="99"/>
      <c r="CE28" s="99"/>
      <c r="CF28" s="16"/>
      <c r="CG28" s="99"/>
      <c r="CH28" s="99"/>
      <c r="CI28" s="99"/>
      <c r="CJ28" s="99"/>
      <c r="CK28" s="99"/>
      <c r="CL28" s="16"/>
    </row>
    <row r="29" spans="1:90" ht="15" customHeight="1" x14ac:dyDescent="0.25">
      <c r="A29" s="1" t="s">
        <v>39</v>
      </c>
      <c r="B29" s="1">
        <v>65</v>
      </c>
      <c r="C29" s="14">
        <v>45740</v>
      </c>
      <c r="D29" s="14">
        <v>45805</v>
      </c>
      <c r="E29" s="1" t="s">
        <v>21</v>
      </c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16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117"/>
      <c r="AK29" s="115"/>
      <c r="AL29" s="115"/>
      <c r="AM29" s="17"/>
      <c r="AN29" s="117"/>
      <c r="AO29" s="115"/>
      <c r="AP29" s="115"/>
      <c r="AQ29" s="115"/>
      <c r="AR29" s="115"/>
      <c r="AS29" s="115"/>
      <c r="AT29" s="115"/>
      <c r="AU29" s="115"/>
      <c r="AV29" s="115"/>
      <c r="AW29" s="24"/>
      <c r="AX29" s="17"/>
      <c r="AY29" s="106"/>
      <c r="AZ29" s="103"/>
      <c r="BA29" s="103"/>
      <c r="BB29" s="103"/>
      <c r="BC29" s="103"/>
      <c r="BD29" s="103"/>
      <c r="BE29" s="103"/>
      <c r="BF29" s="103"/>
      <c r="BG29" s="103"/>
      <c r="BH29" s="18"/>
      <c r="BI29" s="111"/>
      <c r="BJ29" s="112"/>
      <c r="BK29" s="112"/>
      <c r="BL29" s="112"/>
      <c r="BM29" s="112"/>
      <c r="BN29" s="112"/>
      <c r="BO29" s="112"/>
      <c r="BP29" s="112"/>
      <c r="BQ29" s="112"/>
      <c r="BR29" s="112"/>
      <c r="BS29" s="112"/>
      <c r="BT29" s="112"/>
      <c r="BU29" s="112"/>
      <c r="BV29" s="112"/>
      <c r="BW29" s="112"/>
      <c r="BX29" s="112"/>
      <c r="BY29" s="112"/>
      <c r="BZ29" s="112"/>
      <c r="CA29" s="112"/>
      <c r="CB29" s="112"/>
      <c r="CC29" s="112"/>
      <c r="CD29" s="112"/>
      <c r="CE29" s="112"/>
      <c r="CF29" s="16"/>
      <c r="CG29" s="99"/>
      <c r="CH29" s="99"/>
      <c r="CI29" s="99"/>
      <c r="CJ29" s="99"/>
      <c r="CK29" s="99"/>
      <c r="CL29" s="16"/>
    </row>
    <row r="30" spans="1:90" ht="15" customHeight="1" x14ac:dyDescent="0.25">
      <c r="A30" s="1" t="s">
        <v>40</v>
      </c>
      <c r="B30" s="1">
        <v>65</v>
      </c>
      <c r="C30" s="14">
        <v>45740</v>
      </c>
      <c r="D30" s="14">
        <v>45805</v>
      </c>
      <c r="E30" s="1" t="s">
        <v>23</v>
      </c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16"/>
      <c r="U30" s="99"/>
      <c r="V30" s="99"/>
      <c r="W30" s="99"/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111"/>
      <c r="AK30" s="112"/>
      <c r="AL30" s="112"/>
      <c r="AM30" s="17"/>
      <c r="AN30" s="111"/>
      <c r="AO30" s="112"/>
      <c r="AP30" s="112"/>
      <c r="AQ30" s="112"/>
      <c r="AR30" s="112"/>
      <c r="AS30" s="112"/>
      <c r="AT30" s="112"/>
      <c r="AU30" s="112"/>
      <c r="AV30" s="112"/>
      <c r="AW30" s="25"/>
      <c r="AX30" s="17"/>
      <c r="AY30" s="106"/>
      <c r="AZ30" s="103"/>
      <c r="BA30" s="103"/>
      <c r="BB30" s="103"/>
      <c r="BC30" s="103"/>
      <c r="BD30" s="103"/>
      <c r="BE30" s="103"/>
      <c r="BF30" s="103"/>
      <c r="BG30" s="103"/>
      <c r="BH30" s="18"/>
      <c r="BI30" s="111"/>
      <c r="BJ30" s="112"/>
      <c r="BK30" s="112"/>
      <c r="BL30" s="112"/>
      <c r="BM30" s="112"/>
      <c r="BN30" s="112"/>
      <c r="BO30" s="112"/>
      <c r="BP30" s="112"/>
      <c r="BQ30" s="112"/>
      <c r="BR30" s="112"/>
      <c r="BS30" s="112"/>
      <c r="BT30" s="112"/>
      <c r="BU30" s="112"/>
      <c r="BV30" s="112"/>
      <c r="BW30" s="112"/>
      <c r="BX30" s="112"/>
      <c r="BY30" s="112"/>
      <c r="BZ30" s="112"/>
      <c r="CA30" s="112"/>
      <c r="CB30" s="112"/>
      <c r="CC30" s="112"/>
      <c r="CD30" s="112"/>
      <c r="CE30" s="112"/>
      <c r="CF30" s="16"/>
      <c r="CG30" s="99"/>
      <c r="CH30" s="99"/>
      <c r="CI30" s="99"/>
      <c r="CJ30" s="99"/>
      <c r="CK30" s="99"/>
      <c r="CL30" s="16"/>
    </row>
    <row r="31" spans="1:90" ht="15" customHeight="1" x14ac:dyDescent="0.25">
      <c r="A31" s="1" t="s">
        <v>41</v>
      </c>
      <c r="B31" s="1">
        <v>65</v>
      </c>
      <c r="C31" s="14">
        <v>45740</v>
      </c>
      <c r="D31" s="14">
        <v>45805</v>
      </c>
      <c r="E31" s="1" t="s">
        <v>13</v>
      </c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16"/>
      <c r="U31" s="99"/>
      <c r="V31" s="99"/>
      <c r="W31" s="99"/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111"/>
      <c r="AK31" s="112"/>
      <c r="AL31" s="112"/>
      <c r="AM31" s="17"/>
      <c r="AN31" s="111"/>
      <c r="AO31" s="112"/>
      <c r="AP31" s="112"/>
      <c r="AQ31" s="112"/>
      <c r="AR31" s="112"/>
      <c r="AS31" s="112"/>
      <c r="AT31" s="112"/>
      <c r="AU31" s="112"/>
      <c r="AV31" s="112"/>
      <c r="AW31" s="25"/>
      <c r="AX31" s="17"/>
      <c r="AY31" s="106"/>
      <c r="AZ31" s="103"/>
      <c r="BA31" s="103"/>
      <c r="BB31" s="103"/>
      <c r="BC31" s="103"/>
      <c r="BD31" s="103"/>
      <c r="BE31" s="103"/>
      <c r="BF31" s="103"/>
      <c r="BG31" s="103"/>
      <c r="BH31" s="18"/>
      <c r="BI31" s="111"/>
      <c r="BJ31" s="112"/>
      <c r="BK31" s="112"/>
      <c r="BL31" s="112"/>
      <c r="BM31" s="112"/>
      <c r="BN31" s="112"/>
      <c r="BO31" s="112"/>
      <c r="BP31" s="112"/>
      <c r="BQ31" s="112"/>
      <c r="BR31" s="112"/>
      <c r="BS31" s="112"/>
      <c r="BT31" s="112"/>
      <c r="BU31" s="112"/>
      <c r="BV31" s="112"/>
      <c r="BW31" s="112"/>
      <c r="BX31" s="112"/>
      <c r="BY31" s="112"/>
      <c r="BZ31" s="112"/>
      <c r="CA31" s="112"/>
      <c r="CB31" s="112"/>
      <c r="CC31" s="112"/>
      <c r="CD31" s="112"/>
      <c r="CE31" s="112"/>
      <c r="CF31" s="16"/>
      <c r="CG31" s="99"/>
      <c r="CH31" s="99"/>
      <c r="CI31" s="99"/>
      <c r="CJ31" s="99"/>
      <c r="CK31" s="99"/>
      <c r="CL31" s="16"/>
    </row>
    <row r="32" spans="1:90" ht="15" customHeight="1" x14ac:dyDescent="0.25">
      <c r="A32" s="1" t="s">
        <v>42</v>
      </c>
      <c r="B32" s="1">
        <v>56</v>
      </c>
      <c r="C32" s="14">
        <v>45749</v>
      </c>
      <c r="D32" s="14">
        <v>45805</v>
      </c>
      <c r="E32" s="1" t="s">
        <v>15</v>
      </c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16"/>
      <c r="U32" s="99"/>
      <c r="V32" s="99"/>
      <c r="W32" s="99"/>
      <c r="X32" s="99"/>
      <c r="Y32" s="99"/>
      <c r="Z32" s="99"/>
      <c r="AA32" s="99"/>
      <c r="AB32" s="99"/>
      <c r="AC32" s="99"/>
      <c r="AD32" s="99"/>
      <c r="AE32" s="99"/>
      <c r="AF32" s="99"/>
      <c r="AG32" s="99"/>
      <c r="AH32" s="99"/>
      <c r="AI32" s="99"/>
      <c r="AJ32" s="99"/>
      <c r="AK32" s="99"/>
      <c r="AL32" s="99"/>
      <c r="AM32" s="16"/>
      <c r="AN32" s="99"/>
      <c r="AO32" s="99"/>
      <c r="AP32" s="99"/>
      <c r="AQ32" s="111"/>
      <c r="AR32" s="112"/>
      <c r="AS32" s="112"/>
      <c r="AT32" s="112"/>
      <c r="AU32" s="112"/>
      <c r="AV32" s="112"/>
      <c r="AW32" s="25"/>
      <c r="AX32" s="17"/>
      <c r="AY32" s="106"/>
      <c r="AZ32" s="103"/>
      <c r="BA32" s="103"/>
      <c r="BB32" s="103"/>
      <c r="BC32" s="103"/>
      <c r="BD32" s="103"/>
      <c r="BE32" s="103"/>
      <c r="BF32" s="103"/>
      <c r="BG32" s="103"/>
      <c r="BH32" s="18"/>
      <c r="BI32" s="111"/>
      <c r="BJ32" s="112"/>
      <c r="BK32" s="112"/>
      <c r="BL32" s="112"/>
      <c r="BM32" s="112"/>
      <c r="BN32" s="112"/>
      <c r="BO32" s="112"/>
      <c r="BP32" s="112"/>
      <c r="BQ32" s="112"/>
      <c r="BR32" s="112"/>
      <c r="BS32" s="112"/>
      <c r="BT32" s="112"/>
      <c r="BU32" s="112"/>
      <c r="BV32" s="112"/>
      <c r="BW32" s="112"/>
      <c r="BX32" s="112"/>
      <c r="BY32" s="112"/>
      <c r="BZ32" s="112"/>
      <c r="CA32" s="112"/>
      <c r="CB32" s="112"/>
      <c r="CC32" s="112"/>
      <c r="CD32" s="112"/>
      <c r="CE32" s="112"/>
      <c r="CF32" s="16"/>
      <c r="CG32" s="99"/>
      <c r="CH32" s="99"/>
      <c r="CI32" s="99"/>
      <c r="CJ32" s="99"/>
      <c r="CK32" s="99"/>
      <c r="CL32" s="16"/>
    </row>
    <row r="33" spans="1:90" ht="15" customHeight="1" x14ac:dyDescent="0.25">
      <c r="A33" s="1" t="s">
        <v>43</v>
      </c>
      <c r="B33" s="1">
        <v>51</v>
      </c>
      <c r="C33" s="14">
        <v>45754</v>
      </c>
      <c r="D33" s="14">
        <v>45805</v>
      </c>
      <c r="E33" s="1" t="s">
        <v>15</v>
      </c>
      <c r="F33" s="99"/>
      <c r="G33" s="99"/>
      <c r="H33" s="99"/>
      <c r="I33" s="99"/>
      <c r="J33" s="99"/>
      <c r="K33" s="99"/>
      <c r="L33" s="99"/>
      <c r="M33" s="99"/>
      <c r="N33" s="99"/>
      <c r="O33" s="99"/>
      <c r="P33" s="99"/>
      <c r="Q33" s="99"/>
      <c r="R33" s="99"/>
      <c r="S33" s="99"/>
      <c r="T33" s="16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16"/>
      <c r="AN33" s="99"/>
      <c r="AO33" s="99"/>
      <c r="AP33" s="99"/>
      <c r="AQ33" s="99"/>
      <c r="AR33" s="99"/>
      <c r="AS33" s="99"/>
      <c r="AT33" s="111"/>
      <c r="AU33" s="112"/>
      <c r="AV33" s="112"/>
      <c r="AW33" s="25"/>
      <c r="AX33" s="17"/>
      <c r="AY33" s="106"/>
      <c r="AZ33" s="103"/>
      <c r="BA33" s="103"/>
      <c r="BB33" s="103"/>
      <c r="BC33" s="103"/>
      <c r="BD33" s="103"/>
      <c r="BE33" s="103"/>
      <c r="BF33" s="103"/>
      <c r="BG33" s="103"/>
      <c r="BH33" s="18"/>
      <c r="BI33" s="111"/>
      <c r="BJ33" s="112"/>
      <c r="BK33" s="112"/>
      <c r="BL33" s="112"/>
      <c r="BM33" s="112"/>
      <c r="BN33" s="112"/>
      <c r="BO33" s="112"/>
      <c r="BP33" s="112"/>
      <c r="BQ33" s="112"/>
      <c r="BR33" s="112"/>
      <c r="BS33" s="112"/>
      <c r="BT33" s="112"/>
      <c r="BU33" s="112"/>
      <c r="BV33" s="112"/>
      <c r="BW33" s="112"/>
      <c r="BX33" s="112"/>
      <c r="BY33" s="112"/>
      <c r="BZ33" s="112"/>
      <c r="CA33" s="112"/>
      <c r="CB33" s="112"/>
      <c r="CC33" s="112"/>
      <c r="CD33" s="112"/>
      <c r="CE33" s="112"/>
      <c r="CF33" s="16"/>
      <c r="CG33" s="99"/>
      <c r="CH33" s="99"/>
      <c r="CI33" s="99"/>
      <c r="CJ33" s="99"/>
      <c r="CK33" s="99"/>
      <c r="CL33" s="16"/>
    </row>
    <row r="34" spans="1:90" ht="15" customHeight="1" x14ac:dyDescent="0.25">
      <c r="A34" s="10" t="s">
        <v>44</v>
      </c>
      <c r="B34" s="1"/>
      <c r="C34" s="1"/>
      <c r="D34" s="1"/>
      <c r="E34" s="1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16"/>
      <c r="U34" s="99"/>
      <c r="V34" s="99"/>
      <c r="W34" s="99"/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99"/>
      <c r="AM34" s="16"/>
      <c r="AN34" s="99"/>
      <c r="AO34" s="99"/>
      <c r="AP34" s="99"/>
      <c r="AQ34" s="99"/>
      <c r="AR34" s="99"/>
      <c r="AS34" s="99"/>
      <c r="AT34" s="99"/>
      <c r="AU34" s="99"/>
      <c r="AV34" s="99"/>
      <c r="AW34" s="1"/>
      <c r="AX34" s="17"/>
      <c r="AY34" s="106"/>
      <c r="AZ34" s="103"/>
      <c r="BA34" s="103"/>
      <c r="BB34" s="103"/>
      <c r="BC34" s="103"/>
      <c r="BD34" s="103"/>
      <c r="BE34" s="103"/>
      <c r="BF34" s="103"/>
      <c r="BG34" s="103"/>
      <c r="BH34" s="19"/>
      <c r="BI34" s="99"/>
      <c r="BJ34" s="99"/>
      <c r="BK34" s="99"/>
      <c r="BL34" s="99"/>
      <c r="BM34" s="99"/>
      <c r="BN34" s="99"/>
      <c r="BO34" s="99"/>
      <c r="BP34" s="99"/>
      <c r="BQ34" s="99"/>
      <c r="BR34" s="99"/>
      <c r="BS34" s="99"/>
      <c r="BT34" s="99"/>
      <c r="BU34" s="99"/>
      <c r="BV34" s="99"/>
      <c r="BW34" s="99"/>
      <c r="BX34" s="99"/>
      <c r="BY34" s="99"/>
      <c r="BZ34" s="99"/>
      <c r="CA34" s="99"/>
      <c r="CB34" s="99"/>
      <c r="CC34" s="99"/>
      <c r="CD34" s="99"/>
      <c r="CE34" s="99"/>
      <c r="CF34" s="16"/>
      <c r="CG34" s="99"/>
      <c r="CH34" s="99"/>
      <c r="CI34" s="99"/>
      <c r="CJ34" s="99"/>
      <c r="CK34" s="99"/>
      <c r="CL34" s="16"/>
    </row>
    <row r="35" spans="1:90" ht="15" customHeight="1" x14ac:dyDescent="0.25">
      <c r="A35" s="1" t="s">
        <v>45</v>
      </c>
      <c r="B35" s="1">
        <v>6</v>
      </c>
      <c r="C35" s="14">
        <v>45807</v>
      </c>
      <c r="D35" s="14">
        <v>45813</v>
      </c>
      <c r="E35" s="1" t="s">
        <v>23</v>
      </c>
      <c r="F35" s="99"/>
      <c r="G35" s="99"/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T35" s="16"/>
      <c r="U35" s="99"/>
      <c r="V35" s="99"/>
      <c r="W35" s="99"/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6"/>
      <c r="AN35" s="99"/>
      <c r="AO35" s="99"/>
      <c r="AP35" s="99"/>
      <c r="AQ35" s="99"/>
      <c r="AR35" s="99"/>
      <c r="AS35" s="99"/>
      <c r="AT35" s="99"/>
      <c r="AU35" s="99"/>
      <c r="AV35" s="99"/>
      <c r="AW35" s="1"/>
      <c r="AX35" s="17"/>
      <c r="AY35" s="106"/>
      <c r="AZ35" s="103"/>
      <c r="BA35" s="103"/>
      <c r="BB35" s="103"/>
      <c r="BC35" s="103"/>
      <c r="BD35" s="103"/>
      <c r="BE35" s="103"/>
      <c r="BF35" s="103"/>
      <c r="BG35" s="103"/>
      <c r="BH35" s="19"/>
      <c r="BI35" s="99"/>
      <c r="BJ35" s="99"/>
      <c r="BK35" s="99"/>
      <c r="BL35" s="99"/>
      <c r="BM35" s="99"/>
      <c r="BN35" s="99"/>
      <c r="BO35" s="99"/>
      <c r="BP35" s="99"/>
      <c r="BQ35" s="99"/>
      <c r="BR35" s="99"/>
      <c r="BS35" s="99"/>
      <c r="BT35" s="99"/>
      <c r="BU35" s="99"/>
      <c r="BV35" s="99"/>
      <c r="BW35" s="99"/>
      <c r="BX35" s="99"/>
      <c r="BY35" s="99"/>
      <c r="BZ35" s="99"/>
      <c r="CA35" s="99"/>
      <c r="CB35" s="99"/>
      <c r="CC35" s="99"/>
      <c r="CD35" s="99"/>
      <c r="CE35" s="99"/>
      <c r="CF35" s="16"/>
      <c r="CG35" s="111"/>
      <c r="CH35" s="112"/>
      <c r="CI35" s="112"/>
      <c r="CJ35" s="112"/>
      <c r="CK35" s="112"/>
      <c r="CL35" s="16"/>
    </row>
    <row r="36" spans="1:90" ht="15" customHeight="1" x14ac:dyDescent="0.25">
      <c r="A36" s="1" t="s">
        <v>46</v>
      </c>
      <c r="B36" s="1">
        <v>6</v>
      </c>
      <c r="C36" s="14">
        <v>45807</v>
      </c>
      <c r="D36" s="14">
        <v>45813</v>
      </c>
      <c r="E36" s="1" t="s">
        <v>21</v>
      </c>
      <c r="F36" s="99"/>
      <c r="G36" s="99"/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T36" s="16"/>
      <c r="U36" s="99"/>
      <c r="V36" s="99"/>
      <c r="W36" s="99"/>
      <c r="X36" s="99"/>
      <c r="Y36" s="99"/>
      <c r="Z36" s="99"/>
      <c r="AA36" s="99"/>
      <c r="AB36" s="99"/>
      <c r="AC36" s="99"/>
      <c r="AD36" s="99"/>
      <c r="AE36" s="99"/>
      <c r="AF36" s="99"/>
      <c r="AG36" s="99"/>
      <c r="AH36" s="99"/>
      <c r="AI36" s="99"/>
      <c r="AJ36" s="99"/>
      <c r="AK36" s="99"/>
      <c r="AL36" s="99"/>
      <c r="AM36" s="16"/>
      <c r="AN36" s="99"/>
      <c r="AO36" s="99"/>
      <c r="AP36" s="99"/>
      <c r="AQ36" s="99"/>
      <c r="AR36" s="99"/>
      <c r="AS36" s="99"/>
      <c r="AT36" s="99"/>
      <c r="AU36" s="99"/>
      <c r="AV36" s="99"/>
      <c r="AW36" s="1"/>
      <c r="AX36" s="17"/>
      <c r="AY36" s="106"/>
      <c r="AZ36" s="103"/>
      <c r="BA36" s="103"/>
      <c r="BB36" s="103"/>
      <c r="BC36" s="103"/>
      <c r="BD36" s="103"/>
      <c r="BE36" s="103"/>
      <c r="BF36" s="103"/>
      <c r="BG36" s="103"/>
      <c r="BH36" s="19"/>
      <c r="BI36" s="99"/>
      <c r="BJ36" s="99"/>
      <c r="BK36" s="99"/>
      <c r="BL36" s="99"/>
      <c r="BM36" s="99"/>
      <c r="BN36" s="99"/>
      <c r="BO36" s="99"/>
      <c r="BP36" s="99"/>
      <c r="BQ36" s="99"/>
      <c r="BR36" s="99"/>
      <c r="BS36" s="99"/>
      <c r="BT36" s="99"/>
      <c r="BU36" s="99"/>
      <c r="BV36" s="99"/>
      <c r="BW36" s="99"/>
      <c r="BX36" s="99"/>
      <c r="BY36" s="99"/>
      <c r="BZ36" s="99"/>
      <c r="CA36" s="99"/>
      <c r="CB36" s="99"/>
      <c r="CC36" s="99"/>
      <c r="CD36" s="99"/>
      <c r="CE36" s="99"/>
      <c r="CF36" s="16"/>
      <c r="CG36" s="111"/>
      <c r="CH36" s="112"/>
      <c r="CI36" s="112"/>
      <c r="CJ36" s="112"/>
      <c r="CK36" s="112"/>
      <c r="CL36" s="16"/>
    </row>
    <row r="37" spans="1:90" ht="15" customHeight="1" x14ac:dyDescent="0.25">
      <c r="A37" s="1" t="s">
        <v>47</v>
      </c>
      <c r="B37" s="1">
        <v>59</v>
      </c>
      <c r="C37" s="14">
        <v>45754</v>
      </c>
      <c r="D37" s="14">
        <v>45813</v>
      </c>
      <c r="E37" s="15" t="s">
        <v>11</v>
      </c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28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16"/>
      <c r="AN37" s="99"/>
      <c r="AO37" s="99"/>
      <c r="AP37" s="99"/>
      <c r="AQ37" s="99"/>
      <c r="AR37" s="99"/>
      <c r="AS37" s="99"/>
      <c r="AT37" s="111"/>
      <c r="AU37" s="112"/>
      <c r="AV37" s="112"/>
      <c r="AW37" s="25"/>
      <c r="AX37" s="17"/>
      <c r="AY37" s="106"/>
      <c r="AZ37" s="103"/>
      <c r="BA37" s="103"/>
      <c r="BB37" s="103"/>
      <c r="BC37" s="103"/>
      <c r="BD37" s="103"/>
      <c r="BE37" s="103"/>
      <c r="BF37" s="103"/>
      <c r="BG37" s="103"/>
      <c r="BH37" s="18"/>
      <c r="BI37" s="111"/>
      <c r="BJ37" s="112"/>
      <c r="BK37" s="112"/>
      <c r="BL37" s="112"/>
      <c r="BM37" s="112"/>
      <c r="BN37" s="112"/>
      <c r="BO37" s="112"/>
      <c r="BP37" s="112"/>
      <c r="BQ37" s="112"/>
      <c r="BR37" s="112"/>
      <c r="BS37" s="112"/>
      <c r="BT37" s="112"/>
      <c r="BU37" s="112"/>
      <c r="BV37" s="112"/>
      <c r="BW37" s="112"/>
      <c r="BX37" s="112"/>
      <c r="BY37" s="112"/>
      <c r="BZ37" s="112"/>
      <c r="CA37" s="112"/>
      <c r="CB37" s="112"/>
      <c r="CC37" s="112"/>
      <c r="CD37" s="112"/>
      <c r="CE37" s="112"/>
      <c r="CF37" s="28"/>
      <c r="CG37" s="111"/>
      <c r="CH37" s="112"/>
      <c r="CI37" s="112"/>
      <c r="CJ37" s="112"/>
      <c r="CK37" s="112"/>
      <c r="CL37" s="28"/>
    </row>
  </sheetData>
  <mergeCells count="966">
    <mergeCell ref="BU37:BW37"/>
    <mergeCell ref="BX37:BZ37"/>
    <mergeCell ref="CA37:CC37"/>
    <mergeCell ref="CD37:CE37"/>
    <mergeCell ref="CG37:CI37"/>
    <mergeCell ref="CJ37:CK37"/>
    <mergeCell ref="BB37:BD37"/>
    <mergeCell ref="BE37:BG37"/>
    <mergeCell ref="BI37:BK37"/>
    <mergeCell ref="BL37:BN37"/>
    <mergeCell ref="BO37:BQ37"/>
    <mergeCell ref="BR37:BT37"/>
    <mergeCell ref="AG37:AI37"/>
    <mergeCell ref="AJ37:AL37"/>
    <mergeCell ref="AN37:AP37"/>
    <mergeCell ref="AQ37:AS37"/>
    <mergeCell ref="AT37:AV37"/>
    <mergeCell ref="AY37:BA37"/>
    <mergeCell ref="CJ36:CK36"/>
    <mergeCell ref="F37:H37"/>
    <mergeCell ref="I37:K37"/>
    <mergeCell ref="L37:N37"/>
    <mergeCell ref="O37:Q37"/>
    <mergeCell ref="R37:S37"/>
    <mergeCell ref="U37:W37"/>
    <mergeCell ref="X37:Z37"/>
    <mergeCell ref="AA37:AC37"/>
    <mergeCell ref="AD37:AF37"/>
    <mergeCell ref="BR36:BT36"/>
    <mergeCell ref="BU36:BW36"/>
    <mergeCell ref="BX36:BZ36"/>
    <mergeCell ref="CA36:CC36"/>
    <mergeCell ref="CD36:CE36"/>
    <mergeCell ref="CG36:CI36"/>
    <mergeCell ref="AY36:BA36"/>
    <mergeCell ref="BB36:BD36"/>
    <mergeCell ref="BE36:BG36"/>
    <mergeCell ref="BI36:BK36"/>
    <mergeCell ref="BL36:BN36"/>
    <mergeCell ref="BO36:BQ36"/>
    <mergeCell ref="AD36:AF36"/>
    <mergeCell ref="AG36:AI36"/>
    <mergeCell ref="AJ36:AL36"/>
    <mergeCell ref="AN36:AP36"/>
    <mergeCell ref="AQ36:AS36"/>
    <mergeCell ref="AT36:AV36"/>
    <mergeCell ref="CG35:CI35"/>
    <mergeCell ref="CJ35:CK35"/>
    <mergeCell ref="F36:H36"/>
    <mergeCell ref="I36:K36"/>
    <mergeCell ref="L36:N36"/>
    <mergeCell ref="O36:Q36"/>
    <mergeCell ref="R36:S36"/>
    <mergeCell ref="U36:W36"/>
    <mergeCell ref="X36:Z36"/>
    <mergeCell ref="AA36:AC36"/>
    <mergeCell ref="BO35:BQ35"/>
    <mergeCell ref="BR35:BT35"/>
    <mergeCell ref="BU35:BW35"/>
    <mergeCell ref="BX35:BZ35"/>
    <mergeCell ref="CA35:CC35"/>
    <mergeCell ref="CD35:CE35"/>
    <mergeCell ref="AT35:AV35"/>
    <mergeCell ref="AY35:BA35"/>
    <mergeCell ref="BB35:BD35"/>
    <mergeCell ref="BE35:BG35"/>
    <mergeCell ref="BI35:BK35"/>
    <mergeCell ref="BL35:BN35"/>
    <mergeCell ref="AA35:AC35"/>
    <mergeCell ref="AD35:AF35"/>
    <mergeCell ref="AG35:AI35"/>
    <mergeCell ref="AJ35:AL35"/>
    <mergeCell ref="AN35:AP35"/>
    <mergeCell ref="AQ35:AS35"/>
    <mergeCell ref="CD34:CE34"/>
    <mergeCell ref="CG34:CI34"/>
    <mergeCell ref="CJ34:CK34"/>
    <mergeCell ref="F35:H35"/>
    <mergeCell ref="I35:K35"/>
    <mergeCell ref="L35:N35"/>
    <mergeCell ref="O35:Q35"/>
    <mergeCell ref="R35:S35"/>
    <mergeCell ref="U35:W35"/>
    <mergeCell ref="X35:Z35"/>
    <mergeCell ref="BL34:BN34"/>
    <mergeCell ref="BO34:BQ34"/>
    <mergeCell ref="BR34:BT34"/>
    <mergeCell ref="BU34:BW34"/>
    <mergeCell ref="BX34:BZ34"/>
    <mergeCell ref="CA34:CC34"/>
    <mergeCell ref="AQ34:AS34"/>
    <mergeCell ref="AT34:AV34"/>
    <mergeCell ref="AY34:BA34"/>
    <mergeCell ref="BB34:BD34"/>
    <mergeCell ref="BE34:BG34"/>
    <mergeCell ref="BI34:BK34"/>
    <mergeCell ref="X34:Z34"/>
    <mergeCell ref="AA34:AC34"/>
    <mergeCell ref="AD34:AF34"/>
    <mergeCell ref="AG34:AI34"/>
    <mergeCell ref="AJ34:AL34"/>
    <mergeCell ref="AN34:AP34"/>
    <mergeCell ref="F34:H34"/>
    <mergeCell ref="I34:K34"/>
    <mergeCell ref="L34:N34"/>
    <mergeCell ref="O34:Q34"/>
    <mergeCell ref="R34:S34"/>
    <mergeCell ref="U34:W34"/>
    <mergeCell ref="BU33:BW33"/>
    <mergeCell ref="BX33:BZ33"/>
    <mergeCell ref="CA33:CC33"/>
    <mergeCell ref="CD33:CE33"/>
    <mergeCell ref="CG33:CI33"/>
    <mergeCell ref="CJ33:CK33"/>
    <mergeCell ref="BB33:BD33"/>
    <mergeCell ref="BE33:BG33"/>
    <mergeCell ref="BI33:BK33"/>
    <mergeCell ref="BL33:BN33"/>
    <mergeCell ref="BO33:BQ33"/>
    <mergeCell ref="BR33:BT33"/>
    <mergeCell ref="AG33:AI33"/>
    <mergeCell ref="AJ33:AL33"/>
    <mergeCell ref="AN33:AP33"/>
    <mergeCell ref="AQ33:AS33"/>
    <mergeCell ref="AT33:AV33"/>
    <mergeCell ref="AY33:BA33"/>
    <mergeCell ref="CJ32:CK32"/>
    <mergeCell ref="F33:H33"/>
    <mergeCell ref="I33:K33"/>
    <mergeCell ref="L33:N33"/>
    <mergeCell ref="O33:Q33"/>
    <mergeCell ref="R33:S33"/>
    <mergeCell ref="U33:W33"/>
    <mergeCell ref="X33:Z33"/>
    <mergeCell ref="AA33:AC33"/>
    <mergeCell ref="AD33:AF33"/>
    <mergeCell ref="BR32:BT32"/>
    <mergeCell ref="BU32:BW32"/>
    <mergeCell ref="BX32:BZ32"/>
    <mergeCell ref="CA32:CC32"/>
    <mergeCell ref="CD32:CE32"/>
    <mergeCell ref="CG32:CI32"/>
    <mergeCell ref="AY32:BA32"/>
    <mergeCell ref="BB32:BD32"/>
    <mergeCell ref="BE32:BG32"/>
    <mergeCell ref="BI32:BK32"/>
    <mergeCell ref="BL32:BN32"/>
    <mergeCell ref="BO32:BQ32"/>
    <mergeCell ref="AD32:AF32"/>
    <mergeCell ref="AG32:AI32"/>
    <mergeCell ref="AJ32:AL32"/>
    <mergeCell ref="AN32:AP32"/>
    <mergeCell ref="AQ32:AS32"/>
    <mergeCell ref="AT32:AV32"/>
    <mergeCell ref="CG31:CI31"/>
    <mergeCell ref="CJ31:CK31"/>
    <mergeCell ref="F32:H32"/>
    <mergeCell ref="I32:K32"/>
    <mergeCell ref="L32:N32"/>
    <mergeCell ref="O32:Q32"/>
    <mergeCell ref="R32:S32"/>
    <mergeCell ref="U32:W32"/>
    <mergeCell ref="X32:Z32"/>
    <mergeCell ref="AA32:AC32"/>
    <mergeCell ref="BO31:BQ31"/>
    <mergeCell ref="BR31:BT31"/>
    <mergeCell ref="BU31:BW31"/>
    <mergeCell ref="BX31:BZ31"/>
    <mergeCell ref="CA31:CC31"/>
    <mergeCell ref="CD31:CE31"/>
    <mergeCell ref="AT31:AV31"/>
    <mergeCell ref="AY31:BA31"/>
    <mergeCell ref="BB31:BD31"/>
    <mergeCell ref="BE31:BG31"/>
    <mergeCell ref="BI31:BK31"/>
    <mergeCell ref="BL31:BN31"/>
    <mergeCell ref="AA31:AC31"/>
    <mergeCell ref="AD31:AF31"/>
    <mergeCell ref="AG31:AI31"/>
    <mergeCell ref="AJ31:AL31"/>
    <mergeCell ref="AN31:AP31"/>
    <mergeCell ref="AQ31:AS31"/>
    <mergeCell ref="CD30:CE30"/>
    <mergeCell ref="CG30:CI30"/>
    <mergeCell ref="CJ30:CK30"/>
    <mergeCell ref="F31:H31"/>
    <mergeCell ref="I31:K31"/>
    <mergeCell ref="L31:N31"/>
    <mergeCell ref="O31:Q31"/>
    <mergeCell ref="R31:S31"/>
    <mergeCell ref="U31:W31"/>
    <mergeCell ref="X31:Z31"/>
    <mergeCell ref="BL30:BN30"/>
    <mergeCell ref="BO30:BQ30"/>
    <mergeCell ref="BR30:BT30"/>
    <mergeCell ref="BU30:BW30"/>
    <mergeCell ref="BX30:BZ30"/>
    <mergeCell ref="CA30:CC30"/>
    <mergeCell ref="AQ30:AS30"/>
    <mergeCell ref="AT30:AV30"/>
    <mergeCell ref="AY30:BA30"/>
    <mergeCell ref="BB30:BD30"/>
    <mergeCell ref="BE30:BG30"/>
    <mergeCell ref="BI30:BK30"/>
    <mergeCell ref="X30:Z30"/>
    <mergeCell ref="AA30:AC30"/>
    <mergeCell ref="AD30:AF30"/>
    <mergeCell ref="AG30:AI30"/>
    <mergeCell ref="AJ30:AL30"/>
    <mergeCell ref="AN30:AP30"/>
    <mergeCell ref="F30:H30"/>
    <mergeCell ref="I30:K30"/>
    <mergeCell ref="L30:N30"/>
    <mergeCell ref="O30:Q30"/>
    <mergeCell ref="R30:S30"/>
    <mergeCell ref="U30:W30"/>
    <mergeCell ref="BU29:BW29"/>
    <mergeCell ref="BX29:BZ29"/>
    <mergeCell ref="CA29:CC29"/>
    <mergeCell ref="CD29:CE29"/>
    <mergeCell ref="CG29:CI29"/>
    <mergeCell ref="CJ29:CK29"/>
    <mergeCell ref="BB29:BD29"/>
    <mergeCell ref="BE29:BG29"/>
    <mergeCell ref="BI29:BK29"/>
    <mergeCell ref="BL29:BN29"/>
    <mergeCell ref="BO29:BQ29"/>
    <mergeCell ref="BR29:BT29"/>
    <mergeCell ref="AG29:AI29"/>
    <mergeCell ref="AJ29:AL29"/>
    <mergeCell ref="AN29:AP29"/>
    <mergeCell ref="AQ29:AS29"/>
    <mergeCell ref="AT29:AV29"/>
    <mergeCell ref="AY29:BA29"/>
    <mergeCell ref="CJ28:CK28"/>
    <mergeCell ref="F29:H29"/>
    <mergeCell ref="I29:K29"/>
    <mergeCell ref="L29:N29"/>
    <mergeCell ref="O29:Q29"/>
    <mergeCell ref="R29:S29"/>
    <mergeCell ref="U29:W29"/>
    <mergeCell ref="X29:Z29"/>
    <mergeCell ref="AA29:AC29"/>
    <mergeCell ref="AD29:AF29"/>
    <mergeCell ref="BR28:BT28"/>
    <mergeCell ref="BU28:BW28"/>
    <mergeCell ref="BX28:BZ28"/>
    <mergeCell ref="CA28:CC28"/>
    <mergeCell ref="CD28:CE28"/>
    <mergeCell ref="CG28:CI28"/>
    <mergeCell ref="AY28:BA28"/>
    <mergeCell ref="BB28:BD28"/>
    <mergeCell ref="BE28:BG28"/>
    <mergeCell ref="BI28:BK28"/>
    <mergeCell ref="BL28:BN28"/>
    <mergeCell ref="BO28:BQ28"/>
    <mergeCell ref="AD28:AF28"/>
    <mergeCell ref="AG28:AI28"/>
    <mergeCell ref="AJ28:AL28"/>
    <mergeCell ref="AN28:AP28"/>
    <mergeCell ref="AQ28:AS28"/>
    <mergeCell ref="AT28:AV28"/>
    <mergeCell ref="CG27:CI27"/>
    <mergeCell ref="CJ27:CK27"/>
    <mergeCell ref="F28:H28"/>
    <mergeCell ref="I28:K28"/>
    <mergeCell ref="L28:N28"/>
    <mergeCell ref="O28:Q28"/>
    <mergeCell ref="R28:S28"/>
    <mergeCell ref="U28:W28"/>
    <mergeCell ref="X28:Z28"/>
    <mergeCell ref="AA28:AC28"/>
    <mergeCell ref="BO27:BQ27"/>
    <mergeCell ref="BR27:BT27"/>
    <mergeCell ref="BU27:BW27"/>
    <mergeCell ref="BX27:BZ27"/>
    <mergeCell ref="CA27:CC27"/>
    <mergeCell ref="CD27:CE27"/>
    <mergeCell ref="AT27:AV27"/>
    <mergeCell ref="AY27:BA27"/>
    <mergeCell ref="BB27:BD27"/>
    <mergeCell ref="BE27:BG27"/>
    <mergeCell ref="BI27:BK27"/>
    <mergeCell ref="BL27:BN27"/>
    <mergeCell ref="AA27:AC27"/>
    <mergeCell ref="AD27:AF27"/>
    <mergeCell ref="AG27:AI27"/>
    <mergeCell ref="AJ27:AL27"/>
    <mergeCell ref="AN27:AP27"/>
    <mergeCell ref="AQ27:AS27"/>
    <mergeCell ref="CD26:CE26"/>
    <mergeCell ref="CG26:CI26"/>
    <mergeCell ref="CJ26:CK26"/>
    <mergeCell ref="F27:H27"/>
    <mergeCell ref="I27:K27"/>
    <mergeCell ref="L27:N27"/>
    <mergeCell ref="O27:Q27"/>
    <mergeCell ref="R27:S27"/>
    <mergeCell ref="U27:W27"/>
    <mergeCell ref="X27:Z27"/>
    <mergeCell ref="BL26:BN26"/>
    <mergeCell ref="BO26:BQ26"/>
    <mergeCell ref="BR26:BT26"/>
    <mergeCell ref="BU26:BW26"/>
    <mergeCell ref="BX26:BZ26"/>
    <mergeCell ref="CA26:CC26"/>
    <mergeCell ref="AQ26:AS26"/>
    <mergeCell ref="AT26:AV26"/>
    <mergeCell ref="AY26:BA26"/>
    <mergeCell ref="BB26:BD26"/>
    <mergeCell ref="BE26:BG26"/>
    <mergeCell ref="BI26:BK26"/>
    <mergeCell ref="X26:Z26"/>
    <mergeCell ref="AA26:AC26"/>
    <mergeCell ref="AD26:AF26"/>
    <mergeCell ref="AG26:AI26"/>
    <mergeCell ref="AJ26:AL26"/>
    <mergeCell ref="AN26:AP26"/>
    <mergeCell ref="F26:H26"/>
    <mergeCell ref="I26:K26"/>
    <mergeCell ref="L26:N26"/>
    <mergeCell ref="O26:Q26"/>
    <mergeCell ref="R26:S26"/>
    <mergeCell ref="U26:W26"/>
    <mergeCell ref="BU25:BW25"/>
    <mergeCell ref="BX25:BZ25"/>
    <mergeCell ref="CA25:CC25"/>
    <mergeCell ref="CD25:CE25"/>
    <mergeCell ref="CG25:CI25"/>
    <mergeCell ref="CJ25:CK25"/>
    <mergeCell ref="BB25:BD25"/>
    <mergeCell ref="BE25:BG25"/>
    <mergeCell ref="BI25:BK25"/>
    <mergeCell ref="BL25:BN25"/>
    <mergeCell ref="BO25:BQ25"/>
    <mergeCell ref="BR25:BT25"/>
    <mergeCell ref="AG25:AI25"/>
    <mergeCell ref="AJ25:AL25"/>
    <mergeCell ref="AN25:AP25"/>
    <mergeCell ref="AQ25:AS25"/>
    <mergeCell ref="AT25:AV25"/>
    <mergeCell ref="AY25:BA25"/>
    <mergeCell ref="CJ24:CK24"/>
    <mergeCell ref="F25:H25"/>
    <mergeCell ref="I25:K25"/>
    <mergeCell ref="L25:N25"/>
    <mergeCell ref="O25:Q25"/>
    <mergeCell ref="R25:S25"/>
    <mergeCell ref="U25:W25"/>
    <mergeCell ref="X25:Z25"/>
    <mergeCell ref="AA25:AC25"/>
    <mergeCell ref="AD25:AF25"/>
    <mergeCell ref="BR24:BT24"/>
    <mergeCell ref="BU24:BW24"/>
    <mergeCell ref="BX24:BZ24"/>
    <mergeCell ref="CA24:CC24"/>
    <mergeCell ref="CD24:CE24"/>
    <mergeCell ref="CG24:CI24"/>
    <mergeCell ref="AY24:BA24"/>
    <mergeCell ref="BB24:BD24"/>
    <mergeCell ref="BE24:BG24"/>
    <mergeCell ref="BI24:BK24"/>
    <mergeCell ref="BL24:BN24"/>
    <mergeCell ref="BO24:BQ24"/>
    <mergeCell ref="AD24:AF24"/>
    <mergeCell ref="AG24:AI24"/>
    <mergeCell ref="AJ24:AL24"/>
    <mergeCell ref="AN24:AP24"/>
    <mergeCell ref="AQ24:AS24"/>
    <mergeCell ref="AT24:AV24"/>
    <mergeCell ref="CG23:CI23"/>
    <mergeCell ref="CJ23:CK23"/>
    <mergeCell ref="F24:H24"/>
    <mergeCell ref="I24:K24"/>
    <mergeCell ref="L24:N24"/>
    <mergeCell ref="O24:Q24"/>
    <mergeCell ref="R24:S24"/>
    <mergeCell ref="U24:W24"/>
    <mergeCell ref="X24:Z24"/>
    <mergeCell ref="AA24:AC24"/>
    <mergeCell ref="BO23:BQ23"/>
    <mergeCell ref="BR23:BT23"/>
    <mergeCell ref="BU23:BW23"/>
    <mergeCell ref="BX23:BZ23"/>
    <mergeCell ref="CA23:CC23"/>
    <mergeCell ref="CD23:CE23"/>
    <mergeCell ref="AT23:AV23"/>
    <mergeCell ref="AY23:BA23"/>
    <mergeCell ref="BB23:BD23"/>
    <mergeCell ref="BE23:BG23"/>
    <mergeCell ref="BI23:BK23"/>
    <mergeCell ref="BL23:BN23"/>
    <mergeCell ref="AA23:AC23"/>
    <mergeCell ref="AD23:AF23"/>
    <mergeCell ref="AG23:AI23"/>
    <mergeCell ref="AJ23:AL23"/>
    <mergeCell ref="AN23:AP23"/>
    <mergeCell ref="AQ23:AS23"/>
    <mergeCell ref="CD22:CE22"/>
    <mergeCell ref="CG22:CI22"/>
    <mergeCell ref="CJ22:CK22"/>
    <mergeCell ref="F23:H23"/>
    <mergeCell ref="I23:K23"/>
    <mergeCell ref="L23:N23"/>
    <mergeCell ref="O23:Q23"/>
    <mergeCell ref="R23:S23"/>
    <mergeCell ref="U23:W23"/>
    <mergeCell ref="X23:Z23"/>
    <mergeCell ref="BL22:BN22"/>
    <mergeCell ref="BO22:BQ22"/>
    <mergeCell ref="BR22:BT22"/>
    <mergeCell ref="BU22:BW22"/>
    <mergeCell ref="BX22:BZ22"/>
    <mergeCell ref="CA22:CC22"/>
    <mergeCell ref="AQ22:AS22"/>
    <mergeCell ref="AT22:AV22"/>
    <mergeCell ref="AY22:BA22"/>
    <mergeCell ref="BB22:BD22"/>
    <mergeCell ref="BE22:BG22"/>
    <mergeCell ref="BI22:BK22"/>
    <mergeCell ref="X22:Z22"/>
    <mergeCell ref="AA22:AC22"/>
    <mergeCell ref="AD22:AF22"/>
    <mergeCell ref="AG22:AI22"/>
    <mergeCell ref="AJ22:AL22"/>
    <mergeCell ref="AN22:AP22"/>
    <mergeCell ref="F22:H22"/>
    <mergeCell ref="I22:K22"/>
    <mergeCell ref="L22:N22"/>
    <mergeCell ref="O22:Q22"/>
    <mergeCell ref="R22:S22"/>
    <mergeCell ref="U22:W22"/>
    <mergeCell ref="BU21:BW21"/>
    <mergeCell ref="BX21:BZ21"/>
    <mergeCell ref="CA21:CC21"/>
    <mergeCell ref="CD21:CE21"/>
    <mergeCell ref="CG21:CI21"/>
    <mergeCell ref="CJ21:CK21"/>
    <mergeCell ref="BB21:BD21"/>
    <mergeCell ref="BE21:BG21"/>
    <mergeCell ref="BI21:BK21"/>
    <mergeCell ref="BL21:BN21"/>
    <mergeCell ref="BO21:BQ21"/>
    <mergeCell ref="BR21:BT21"/>
    <mergeCell ref="AG21:AI21"/>
    <mergeCell ref="AJ21:AL21"/>
    <mergeCell ref="AN21:AP21"/>
    <mergeCell ref="AQ21:AS21"/>
    <mergeCell ref="AT21:AV21"/>
    <mergeCell ref="AY21:BA21"/>
    <mergeCell ref="CJ20:CK20"/>
    <mergeCell ref="F21:H21"/>
    <mergeCell ref="I21:K21"/>
    <mergeCell ref="L21:N21"/>
    <mergeCell ref="O21:Q21"/>
    <mergeCell ref="R21:S21"/>
    <mergeCell ref="U21:W21"/>
    <mergeCell ref="X21:Z21"/>
    <mergeCell ref="AA21:AC21"/>
    <mergeCell ref="AD21:AF21"/>
    <mergeCell ref="BR20:BT20"/>
    <mergeCell ref="BU20:BW20"/>
    <mergeCell ref="BX20:BZ20"/>
    <mergeCell ref="CA20:CC20"/>
    <mergeCell ref="CD20:CE20"/>
    <mergeCell ref="CG20:CI20"/>
    <mergeCell ref="AY20:BA20"/>
    <mergeCell ref="BB20:BD20"/>
    <mergeCell ref="BE20:BG20"/>
    <mergeCell ref="BI20:BK20"/>
    <mergeCell ref="BL20:BN20"/>
    <mergeCell ref="BO20:BQ20"/>
    <mergeCell ref="AD20:AF20"/>
    <mergeCell ref="AG20:AI20"/>
    <mergeCell ref="AJ20:AL20"/>
    <mergeCell ref="AN20:AP20"/>
    <mergeCell ref="AQ20:AS20"/>
    <mergeCell ref="AT20:AV20"/>
    <mergeCell ref="CG19:CI19"/>
    <mergeCell ref="CJ19:CK19"/>
    <mergeCell ref="F20:H20"/>
    <mergeCell ref="I20:K20"/>
    <mergeCell ref="L20:N20"/>
    <mergeCell ref="O20:Q20"/>
    <mergeCell ref="R20:S20"/>
    <mergeCell ref="U20:W20"/>
    <mergeCell ref="X20:Z20"/>
    <mergeCell ref="AA20:AC20"/>
    <mergeCell ref="BO19:BQ19"/>
    <mergeCell ref="BR19:BT19"/>
    <mergeCell ref="BU19:BW19"/>
    <mergeCell ref="BX19:BZ19"/>
    <mergeCell ref="CA19:CC19"/>
    <mergeCell ref="CD19:CE19"/>
    <mergeCell ref="AT19:AV19"/>
    <mergeCell ref="AY19:BA19"/>
    <mergeCell ref="BB19:BD19"/>
    <mergeCell ref="BE19:BG19"/>
    <mergeCell ref="BI19:BK19"/>
    <mergeCell ref="BL19:BN19"/>
    <mergeCell ref="AA19:AC19"/>
    <mergeCell ref="AD19:AF19"/>
    <mergeCell ref="AG19:AI19"/>
    <mergeCell ref="AJ19:AL19"/>
    <mergeCell ref="AN19:AP19"/>
    <mergeCell ref="AQ19:AS19"/>
    <mergeCell ref="CD18:CE18"/>
    <mergeCell ref="CG18:CI18"/>
    <mergeCell ref="CJ18:CK18"/>
    <mergeCell ref="F19:H19"/>
    <mergeCell ref="I19:K19"/>
    <mergeCell ref="L19:N19"/>
    <mergeCell ref="O19:Q19"/>
    <mergeCell ref="R19:S19"/>
    <mergeCell ref="U19:W19"/>
    <mergeCell ref="X19:Z19"/>
    <mergeCell ref="BL18:BN18"/>
    <mergeCell ref="BO18:BQ18"/>
    <mergeCell ref="BR18:BT18"/>
    <mergeCell ref="BU18:BW18"/>
    <mergeCell ref="BX18:BZ18"/>
    <mergeCell ref="CA18:CC18"/>
    <mergeCell ref="AQ18:AS18"/>
    <mergeCell ref="AT18:AV18"/>
    <mergeCell ref="AY18:BA18"/>
    <mergeCell ref="BB18:BD18"/>
    <mergeCell ref="BE18:BG18"/>
    <mergeCell ref="BI18:BK18"/>
    <mergeCell ref="X18:Z18"/>
    <mergeCell ref="AA18:AC18"/>
    <mergeCell ref="AD18:AF18"/>
    <mergeCell ref="AG18:AI18"/>
    <mergeCell ref="AJ18:AL18"/>
    <mergeCell ref="AN18:AP18"/>
    <mergeCell ref="F18:H18"/>
    <mergeCell ref="I18:K18"/>
    <mergeCell ref="L18:N18"/>
    <mergeCell ref="O18:P18"/>
    <mergeCell ref="Q18:S18"/>
    <mergeCell ref="U18:W18"/>
    <mergeCell ref="BU17:BW17"/>
    <mergeCell ref="BX17:BZ17"/>
    <mergeCell ref="CA17:CC17"/>
    <mergeCell ref="CD17:CE17"/>
    <mergeCell ref="CG17:CI17"/>
    <mergeCell ref="CJ17:CK17"/>
    <mergeCell ref="BB17:BD17"/>
    <mergeCell ref="BE17:BG17"/>
    <mergeCell ref="BI17:BK17"/>
    <mergeCell ref="BL17:BN17"/>
    <mergeCell ref="BO17:BQ17"/>
    <mergeCell ref="BR17:BT17"/>
    <mergeCell ref="AG17:AI17"/>
    <mergeCell ref="AK17:AL17"/>
    <mergeCell ref="AN17:AP17"/>
    <mergeCell ref="AQ17:AS17"/>
    <mergeCell ref="AT17:AV17"/>
    <mergeCell ref="AY17:BA17"/>
    <mergeCell ref="CJ16:CK16"/>
    <mergeCell ref="F17:H17"/>
    <mergeCell ref="I17:K17"/>
    <mergeCell ref="L17:N17"/>
    <mergeCell ref="O17:Q17"/>
    <mergeCell ref="R17:S17"/>
    <mergeCell ref="U17:W17"/>
    <mergeCell ref="X17:Z17"/>
    <mergeCell ref="AA17:AC17"/>
    <mergeCell ref="AD17:AF17"/>
    <mergeCell ref="BR16:BT16"/>
    <mergeCell ref="BU16:BW16"/>
    <mergeCell ref="BX16:BZ16"/>
    <mergeCell ref="CA16:CC16"/>
    <mergeCell ref="CD16:CE16"/>
    <mergeCell ref="CG16:CI16"/>
    <mergeCell ref="AY16:BA16"/>
    <mergeCell ref="BB16:BD16"/>
    <mergeCell ref="BE16:BG16"/>
    <mergeCell ref="BI16:BK16"/>
    <mergeCell ref="BL16:BN16"/>
    <mergeCell ref="BO16:BQ16"/>
    <mergeCell ref="AD16:AF16"/>
    <mergeCell ref="AG16:AI16"/>
    <mergeCell ref="AJ16:AL16"/>
    <mergeCell ref="AO16:AQ16"/>
    <mergeCell ref="AR16:AT16"/>
    <mergeCell ref="AU16:AW16"/>
    <mergeCell ref="CG15:CI15"/>
    <mergeCell ref="CJ15:CK15"/>
    <mergeCell ref="F16:H16"/>
    <mergeCell ref="I16:K16"/>
    <mergeCell ref="L16:N16"/>
    <mergeCell ref="O16:Q16"/>
    <mergeCell ref="R16:S16"/>
    <mergeCell ref="U16:W16"/>
    <mergeCell ref="X16:Z16"/>
    <mergeCell ref="AA16:AC16"/>
    <mergeCell ref="BO15:BQ15"/>
    <mergeCell ref="BR15:BT15"/>
    <mergeCell ref="BU15:BW15"/>
    <mergeCell ref="BX15:BZ15"/>
    <mergeCell ref="CA15:CC15"/>
    <mergeCell ref="CD15:CE15"/>
    <mergeCell ref="AT15:AV15"/>
    <mergeCell ref="AY15:BA15"/>
    <mergeCell ref="BB15:BD15"/>
    <mergeCell ref="BE15:BG15"/>
    <mergeCell ref="BI15:BK15"/>
    <mergeCell ref="BL15:BN15"/>
    <mergeCell ref="Z15:AB15"/>
    <mergeCell ref="AC15:AE15"/>
    <mergeCell ref="AF15:AH15"/>
    <mergeCell ref="AI15:AK15"/>
    <mergeCell ref="AN15:AP15"/>
    <mergeCell ref="AQ15:AS15"/>
    <mergeCell ref="CD14:CE14"/>
    <mergeCell ref="CG14:CI14"/>
    <mergeCell ref="CJ14:CK14"/>
    <mergeCell ref="F15:H15"/>
    <mergeCell ref="I15:K15"/>
    <mergeCell ref="L15:N15"/>
    <mergeCell ref="O15:Q15"/>
    <mergeCell ref="R15:S15"/>
    <mergeCell ref="U15:W15"/>
    <mergeCell ref="X15:Y15"/>
    <mergeCell ref="BL14:BN14"/>
    <mergeCell ref="BO14:BQ14"/>
    <mergeCell ref="BR14:BT14"/>
    <mergeCell ref="BU14:BW14"/>
    <mergeCell ref="BX14:BZ14"/>
    <mergeCell ref="CA14:CC14"/>
    <mergeCell ref="AQ14:AS14"/>
    <mergeCell ref="AT14:AV14"/>
    <mergeCell ref="AY14:BA14"/>
    <mergeCell ref="BB14:BD14"/>
    <mergeCell ref="BE14:BG14"/>
    <mergeCell ref="BI14:BK14"/>
    <mergeCell ref="X14:Z14"/>
    <mergeCell ref="AA14:AB14"/>
    <mergeCell ref="AC14:AE14"/>
    <mergeCell ref="AF14:AH14"/>
    <mergeCell ref="AI14:AK14"/>
    <mergeCell ref="AN14:AP14"/>
    <mergeCell ref="F14:H14"/>
    <mergeCell ref="I14:K14"/>
    <mergeCell ref="L14:N14"/>
    <mergeCell ref="O14:Q14"/>
    <mergeCell ref="R14:S14"/>
    <mergeCell ref="U14:W14"/>
    <mergeCell ref="BU13:BW13"/>
    <mergeCell ref="BX13:BZ13"/>
    <mergeCell ref="CA13:CC13"/>
    <mergeCell ref="CD13:CE13"/>
    <mergeCell ref="CG13:CI13"/>
    <mergeCell ref="CJ13:CK13"/>
    <mergeCell ref="BB13:BD13"/>
    <mergeCell ref="BE13:BG13"/>
    <mergeCell ref="BI13:BK13"/>
    <mergeCell ref="BL13:BN13"/>
    <mergeCell ref="BO13:BQ13"/>
    <mergeCell ref="BR13:BT13"/>
    <mergeCell ref="AG13:AI13"/>
    <mergeCell ref="AJ13:AL13"/>
    <mergeCell ref="AN13:AP13"/>
    <mergeCell ref="AQ13:AS13"/>
    <mergeCell ref="AT13:AV13"/>
    <mergeCell ref="AY13:BA13"/>
    <mergeCell ref="CJ12:CK12"/>
    <mergeCell ref="F13:H13"/>
    <mergeCell ref="I13:K13"/>
    <mergeCell ref="L13:N13"/>
    <mergeCell ref="O13:Q13"/>
    <mergeCell ref="R13:S13"/>
    <mergeCell ref="U13:W13"/>
    <mergeCell ref="X13:Z13"/>
    <mergeCell ref="AA13:AC13"/>
    <mergeCell ref="AD13:AF13"/>
    <mergeCell ref="BR12:BT12"/>
    <mergeCell ref="BU12:BW12"/>
    <mergeCell ref="BX12:BZ12"/>
    <mergeCell ref="CA12:CC12"/>
    <mergeCell ref="CD12:CE12"/>
    <mergeCell ref="CG12:CI12"/>
    <mergeCell ref="AY12:BA12"/>
    <mergeCell ref="BB12:BD12"/>
    <mergeCell ref="BE12:BG12"/>
    <mergeCell ref="BI12:BK12"/>
    <mergeCell ref="BL12:BN12"/>
    <mergeCell ref="BO12:BQ12"/>
    <mergeCell ref="AD12:AF12"/>
    <mergeCell ref="AG12:AI12"/>
    <mergeCell ref="AJ12:AL12"/>
    <mergeCell ref="AN12:AP12"/>
    <mergeCell ref="AQ12:AS12"/>
    <mergeCell ref="AT12:AV12"/>
    <mergeCell ref="CG11:CI11"/>
    <mergeCell ref="CJ11:CK11"/>
    <mergeCell ref="F12:H12"/>
    <mergeCell ref="I12:K12"/>
    <mergeCell ref="L12:N12"/>
    <mergeCell ref="O12:Q12"/>
    <mergeCell ref="R12:S12"/>
    <mergeCell ref="U12:W12"/>
    <mergeCell ref="X12:Z12"/>
    <mergeCell ref="AA12:AC12"/>
    <mergeCell ref="BO11:BQ11"/>
    <mergeCell ref="BR11:BT11"/>
    <mergeCell ref="BU11:BW11"/>
    <mergeCell ref="BX11:BZ11"/>
    <mergeCell ref="CA11:CC11"/>
    <mergeCell ref="CD11:CE11"/>
    <mergeCell ref="AT11:AV11"/>
    <mergeCell ref="AY11:BA11"/>
    <mergeCell ref="BB11:BD11"/>
    <mergeCell ref="BE11:BG11"/>
    <mergeCell ref="BI11:BK11"/>
    <mergeCell ref="BL11:BN11"/>
    <mergeCell ref="AA11:AC11"/>
    <mergeCell ref="AD11:AF11"/>
    <mergeCell ref="AG11:AI11"/>
    <mergeCell ref="AJ11:AL11"/>
    <mergeCell ref="AN11:AP11"/>
    <mergeCell ref="AQ11:AS11"/>
    <mergeCell ref="CD10:CE10"/>
    <mergeCell ref="CG10:CI10"/>
    <mergeCell ref="CJ10:CK10"/>
    <mergeCell ref="F11:H11"/>
    <mergeCell ref="I11:K11"/>
    <mergeCell ref="L11:N11"/>
    <mergeCell ref="O11:Q11"/>
    <mergeCell ref="R11:S11"/>
    <mergeCell ref="U11:W11"/>
    <mergeCell ref="X11:Z11"/>
    <mergeCell ref="BL10:BN10"/>
    <mergeCell ref="BO10:BQ10"/>
    <mergeCell ref="BR10:BT10"/>
    <mergeCell ref="BU10:BW10"/>
    <mergeCell ref="BX10:BZ10"/>
    <mergeCell ref="CA10:CC10"/>
    <mergeCell ref="AQ10:AS10"/>
    <mergeCell ref="AT10:AV10"/>
    <mergeCell ref="AY10:BA10"/>
    <mergeCell ref="BB10:BD10"/>
    <mergeCell ref="BE10:BG10"/>
    <mergeCell ref="BI10:BK10"/>
    <mergeCell ref="X10:Z10"/>
    <mergeCell ref="AA10:AC10"/>
    <mergeCell ref="AD10:AF10"/>
    <mergeCell ref="AG10:AI10"/>
    <mergeCell ref="AJ10:AL10"/>
    <mergeCell ref="AN10:AP10"/>
    <mergeCell ref="F10:H10"/>
    <mergeCell ref="I10:K10"/>
    <mergeCell ref="L10:N10"/>
    <mergeCell ref="O10:P10"/>
    <mergeCell ref="Q10:S10"/>
    <mergeCell ref="U10:W10"/>
    <mergeCell ref="BU9:BW9"/>
    <mergeCell ref="BX9:BZ9"/>
    <mergeCell ref="CA9:CC9"/>
    <mergeCell ref="CD9:CE9"/>
    <mergeCell ref="CG9:CI9"/>
    <mergeCell ref="CJ9:CK9"/>
    <mergeCell ref="BB9:BD9"/>
    <mergeCell ref="BE9:BG9"/>
    <mergeCell ref="BI9:BK9"/>
    <mergeCell ref="BL9:BN9"/>
    <mergeCell ref="BO9:BQ9"/>
    <mergeCell ref="BR9:BT9"/>
    <mergeCell ref="AG9:AI9"/>
    <mergeCell ref="AJ9:AL9"/>
    <mergeCell ref="AN9:AP9"/>
    <mergeCell ref="AQ9:AS9"/>
    <mergeCell ref="AT9:AV9"/>
    <mergeCell ref="AY9:BA9"/>
    <mergeCell ref="CJ8:CK8"/>
    <mergeCell ref="F9:H9"/>
    <mergeCell ref="I9:K9"/>
    <mergeCell ref="L9:N9"/>
    <mergeCell ref="O9:Q9"/>
    <mergeCell ref="R9:S9"/>
    <mergeCell ref="U9:W9"/>
    <mergeCell ref="X9:Z9"/>
    <mergeCell ref="AA9:AC9"/>
    <mergeCell ref="AD9:AF9"/>
    <mergeCell ref="BR8:BT8"/>
    <mergeCell ref="BU8:BW8"/>
    <mergeCell ref="BX8:BZ8"/>
    <mergeCell ref="CA8:CC8"/>
    <mergeCell ref="CD8:CE8"/>
    <mergeCell ref="CG8:CI8"/>
    <mergeCell ref="AY8:BA8"/>
    <mergeCell ref="BB8:BD8"/>
    <mergeCell ref="BE8:BG8"/>
    <mergeCell ref="BI8:BK8"/>
    <mergeCell ref="BL8:BN8"/>
    <mergeCell ref="BO8:BQ8"/>
    <mergeCell ref="AD8:AF8"/>
    <mergeCell ref="AG8:AI8"/>
    <mergeCell ref="AJ8:AL8"/>
    <mergeCell ref="AN8:AP8"/>
    <mergeCell ref="AQ8:AS8"/>
    <mergeCell ref="AT8:AV8"/>
    <mergeCell ref="CG7:CI7"/>
    <mergeCell ref="CJ7:CK7"/>
    <mergeCell ref="F8:G8"/>
    <mergeCell ref="H8:J8"/>
    <mergeCell ref="K8:M8"/>
    <mergeCell ref="N8:P8"/>
    <mergeCell ref="Q8:S8"/>
    <mergeCell ref="U8:W8"/>
    <mergeCell ref="X8:Z8"/>
    <mergeCell ref="AA8:AC8"/>
    <mergeCell ref="BO7:BQ7"/>
    <mergeCell ref="BR7:BT7"/>
    <mergeCell ref="BU7:BW7"/>
    <mergeCell ref="BX7:BZ7"/>
    <mergeCell ref="CA7:CC7"/>
    <mergeCell ref="CD7:CE7"/>
    <mergeCell ref="AT7:AV7"/>
    <mergeCell ref="AY7:BA7"/>
    <mergeCell ref="BB7:BD7"/>
    <mergeCell ref="BE7:BG7"/>
    <mergeCell ref="BI7:BK7"/>
    <mergeCell ref="BL7:BN7"/>
    <mergeCell ref="AA7:AC7"/>
    <mergeCell ref="AD7:AF7"/>
    <mergeCell ref="AG7:AI7"/>
    <mergeCell ref="AJ7:AL7"/>
    <mergeCell ref="AN7:AP7"/>
    <mergeCell ref="AQ7:AS7"/>
    <mergeCell ref="CD6:CE6"/>
    <mergeCell ref="CG6:CI6"/>
    <mergeCell ref="CJ6:CK6"/>
    <mergeCell ref="F7:H7"/>
    <mergeCell ref="I7:K7"/>
    <mergeCell ref="L7:M7"/>
    <mergeCell ref="N7:P7"/>
    <mergeCell ref="Q7:S7"/>
    <mergeCell ref="U7:W7"/>
    <mergeCell ref="X7:Z7"/>
    <mergeCell ref="BL6:BN6"/>
    <mergeCell ref="BO6:BQ6"/>
    <mergeCell ref="BR6:BT6"/>
    <mergeCell ref="BU6:BW6"/>
    <mergeCell ref="BX6:BZ6"/>
    <mergeCell ref="CA6:CC6"/>
    <mergeCell ref="AQ6:AS6"/>
    <mergeCell ref="AT6:AV6"/>
    <mergeCell ref="AY6:BA6"/>
    <mergeCell ref="BB6:BD6"/>
    <mergeCell ref="BE6:BG6"/>
    <mergeCell ref="BI6:BK6"/>
    <mergeCell ref="X6:Z6"/>
    <mergeCell ref="AA6:AC6"/>
    <mergeCell ref="AD6:AF6"/>
    <mergeCell ref="AG6:AI6"/>
    <mergeCell ref="AJ6:AL6"/>
    <mergeCell ref="AN6:AP6"/>
    <mergeCell ref="F6:H6"/>
    <mergeCell ref="I6:K6"/>
    <mergeCell ref="L6:M6"/>
    <mergeCell ref="N6:P6"/>
    <mergeCell ref="Q6:S6"/>
    <mergeCell ref="U6:W6"/>
    <mergeCell ref="BU5:BW5"/>
    <mergeCell ref="BX5:BZ5"/>
    <mergeCell ref="CA5:CC5"/>
    <mergeCell ref="CD5:CE5"/>
    <mergeCell ref="CG5:CI5"/>
    <mergeCell ref="CJ5:CK5"/>
    <mergeCell ref="BB5:BD5"/>
    <mergeCell ref="BE5:BG5"/>
    <mergeCell ref="BI5:BK5"/>
    <mergeCell ref="BL5:BN5"/>
    <mergeCell ref="BO5:BQ5"/>
    <mergeCell ref="BR5:BT5"/>
    <mergeCell ref="AG5:AI5"/>
    <mergeCell ref="AJ5:AL5"/>
    <mergeCell ref="AN5:AP5"/>
    <mergeCell ref="AQ5:AS5"/>
    <mergeCell ref="AT5:AV5"/>
    <mergeCell ref="AY5:BA5"/>
    <mergeCell ref="CG4:CI4"/>
    <mergeCell ref="CJ4:CK4"/>
    <mergeCell ref="F5:H5"/>
    <mergeCell ref="J5:L5"/>
    <mergeCell ref="M5:O5"/>
    <mergeCell ref="P5:R5"/>
    <mergeCell ref="U5:W5"/>
    <mergeCell ref="X5:Z5"/>
    <mergeCell ref="AA5:AC5"/>
    <mergeCell ref="AD5:AF5"/>
    <mergeCell ref="BO4:BQ4"/>
    <mergeCell ref="BR4:BT4"/>
    <mergeCell ref="BU4:BW4"/>
    <mergeCell ref="BX4:BZ4"/>
    <mergeCell ref="CA4:CC4"/>
    <mergeCell ref="CD4:CE4"/>
    <mergeCell ref="AT4:AV4"/>
    <mergeCell ref="AY4:BA4"/>
    <mergeCell ref="BU3:BW3"/>
    <mergeCell ref="BX3:BZ3"/>
    <mergeCell ref="CA3:CC3"/>
    <mergeCell ref="AQ3:AS3"/>
    <mergeCell ref="AT3:AV3"/>
    <mergeCell ref="AY3:BA3"/>
    <mergeCell ref="BB3:BD3"/>
    <mergeCell ref="BE3:BG3"/>
    <mergeCell ref="BI3:BK3"/>
    <mergeCell ref="F4:H4"/>
    <mergeCell ref="I4:K4"/>
    <mergeCell ref="L4:M4"/>
    <mergeCell ref="N4:P4"/>
    <mergeCell ref="Q4:S4"/>
    <mergeCell ref="U4:W4"/>
    <mergeCell ref="X4:Z4"/>
    <mergeCell ref="BL3:BN3"/>
    <mergeCell ref="BO3:BQ3"/>
    <mergeCell ref="X3:Z3"/>
    <mergeCell ref="AA3:AC3"/>
    <mergeCell ref="BB4:BD4"/>
    <mergeCell ref="BE4:BG4"/>
    <mergeCell ref="BI4:BK4"/>
    <mergeCell ref="BL4:BN4"/>
    <mergeCell ref="AA4:AC4"/>
    <mergeCell ref="AD4:AF4"/>
    <mergeCell ref="AG4:AI4"/>
    <mergeCell ref="AJ4:AL4"/>
    <mergeCell ref="AN4:AP4"/>
    <mergeCell ref="AQ4:AS4"/>
    <mergeCell ref="BS1:BW1"/>
    <mergeCell ref="BX1:CB1"/>
    <mergeCell ref="CC1:CG1"/>
    <mergeCell ref="CH1:CL1"/>
    <mergeCell ref="F3:H3"/>
    <mergeCell ref="I3:K3"/>
    <mergeCell ref="L3:N3"/>
    <mergeCell ref="O3:Q3"/>
    <mergeCell ref="R3:S3"/>
    <mergeCell ref="U3:W3"/>
    <mergeCell ref="AO1:AS1"/>
    <mergeCell ref="AT1:AX1"/>
    <mergeCell ref="AY1:BC1"/>
    <mergeCell ref="BD1:BH1"/>
    <mergeCell ref="BI1:BM1"/>
    <mergeCell ref="BN1:BR1"/>
    <mergeCell ref="K1:O1"/>
    <mergeCell ref="P1:T1"/>
    <mergeCell ref="U1:Y1"/>
    <mergeCell ref="Z1:AD1"/>
    <mergeCell ref="CD3:CE3"/>
    <mergeCell ref="CG3:CI3"/>
    <mergeCell ref="CJ3:CK3"/>
    <mergeCell ref="BR3:BT3"/>
    <mergeCell ref="AE1:AI1"/>
    <mergeCell ref="AJ1:AN1"/>
    <mergeCell ref="A1:A2"/>
    <mergeCell ref="B1:B2"/>
    <mergeCell ref="C1:C2"/>
    <mergeCell ref="D1:D2"/>
    <mergeCell ref="E1:E2"/>
    <mergeCell ref="F1:J1"/>
    <mergeCell ref="AD3:AF3"/>
    <mergeCell ref="AG3:AI3"/>
    <mergeCell ref="AJ3:AL3"/>
    <mergeCell ref="AN3:AP3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E0150-97C7-4122-BBDF-1025F6310891}">
  <sheetPr>
    <pageSetUpPr fitToPage="1"/>
  </sheetPr>
  <dimension ref="A1:CL38"/>
  <sheetViews>
    <sheetView topLeftCell="A7" workbookViewId="0">
      <selection sqref="A1:A2"/>
    </sheetView>
    <sheetView workbookViewId="1">
      <selection sqref="A1:A2"/>
    </sheetView>
  </sheetViews>
  <sheetFormatPr baseColWidth="10" defaultColWidth="11.42578125" defaultRowHeight="15" x14ac:dyDescent="0.25"/>
  <cols>
    <col min="1" max="1" width="35.28515625" customWidth="1"/>
    <col min="2" max="2" width="14.28515625" style="36" bestFit="1" customWidth="1"/>
    <col min="3" max="4" width="11.5703125" style="36" bestFit="1" customWidth="1"/>
    <col min="5" max="5" width="13.7109375" style="36" customWidth="1"/>
    <col min="6" max="90" width="2.7109375" customWidth="1"/>
  </cols>
  <sheetData>
    <row r="1" spans="1:90" x14ac:dyDescent="0.25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18">
        <v>40210</v>
      </c>
      <c r="G1" s="119"/>
      <c r="H1" s="119"/>
      <c r="I1" s="119"/>
      <c r="J1" s="120"/>
      <c r="K1" s="123">
        <v>42767</v>
      </c>
      <c r="L1" s="124"/>
      <c r="M1" s="124"/>
      <c r="N1" s="124"/>
      <c r="O1" s="125"/>
      <c r="P1" s="123">
        <v>45323</v>
      </c>
      <c r="Q1" s="124"/>
      <c r="R1" s="124"/>
      <c r="S1" s="124"/>
      <c r="T1" s="125"/>
      <c r="U1" s="123">
        <v>37681</v>
      </c>
      <c r="V1" s="124"/>
      <c r="W1" s="124"/>
      <c r="X1" s="124"/>
      <c r="Y1" s="125"/>
      <c r="Z1" s="123">
        <v>40238</v>
      </c>
      <c r="AA1" s="124"/>
      <c r="AB1" s="124"/>
      <c r="AC1" s="124"/>
      <c r="AD1" s="125"/>
      <c r="AE1" s="123">
        <v>42795</v>
      </c>
      <c r="AF1" s="124"/>
      <c r="AG1" s="124"/>
      <c r="AH1" s="124"/>
      <c r="AI1" s="125"/>
      <c r="AJ1" s="118">
        <v>45352</v>
      </c>
      <c r="AK1" s="119"/>
      <c r="AL1" s="119"/>
      <c r="AM1" s="119"/>
      <c r="AN1" s="120"/>
      <c r="AO1" s="118">
        <v>11383</v>
      </c>
      <c r="AP1" s="119"/>
      <c r="AQ1" s="119"/>
      <c r="AR1" s="119"/>
      <c r="AS1" s="120"/>
      <c r="AT1" s="118" t="s">
        <v>94</v>
      </c>
      <c r="AU1" s="119"/>
      <c r="AV1" s="119"/>
      <c r="AW1" s="119"/>
      <c r="AX1" s="120"/>
      <c r="AY1" s="118" t="s">
        <v>95</v>
      </c>
      <c r="AZ1" s="119"/>
      <c r="BA1" s="119"/>
      <c r="BB1" s="119"/>
      <c r="BC1" s="120"/>
      <c r="BD1" s="118" t="s">
        <v>96</v>
      </c>
      <c r="BE1" s="119"/>
      <c r="BF1" s="119"/>
      <c r="BG1" s="119"/>
      <c r="BH1" s="120"/>
      <c r="BI1" s="118" t="s">
        <v>97</v>
      </c>
      <c r="BJ1" s="119"/>
      <c r="BK1" s="119"/>
      <c r="BL1" s="119"/>
      <c r="BM1" s="120"/>
      <c r="BN1" s="118">
        <v>38473</v>
      </c>
      <c r="BO1" s="119"/>
      <c r="BP1" s="119"/>
      <c r="BQ1" s="119"/>
      <c r="BR1" s="120"/>
      <c r="BS1" s="118">
        <v>41030</v>
      </c>
      <c r="BT1" s="119"/>
      <c r="BU1" s="119"/>
      <c r="BV1" s="119"/>
      <c r="BW1" s="120"/>
      <c r="BX1" s="118">
        <v>43586</v>
      </c>
      <c r="BY1" s="119"/>
      <c r="BZ1" s="119"/>
      <c r="CA1" s="119"/>
      <c r="CB1" s="120"/>
      <c r="CC1" s="118">
        <v>46143</v>
      </c>
      <c r="CD1" s="119"/>
      <c r="CE1" s="119"/>
      <c r="CF1" s="119"/>
      <c r="CG1" s="120"/>
      <c r="CH1" s="118">
        <v>37408</v>
      </c>
      <c r="CI1" s="119"/>
      <c r="CJ1" s="119"/>
      <c r="CK1" s="119"/>
      <c r="CL1" s="120"/>
    </row>
    <row r="2" spans="1:90" x14ac:dyDescent="0.25">
      <c r="A2" s="122"/>
      <c r="B2" s="122"/>
      <c r="C2" s="122"/>
      <c r="D2" s="122"/>
      <c r="E2" s="122"/>
      <c r="F2" s="29" t="s">
        <v>5</v>
      </c>
      <c r="G2" s="30" t="s">
        <v>6</v>
      </c>
      <c r="H2" s="30" t="s">
        <v>7</v>
      </c>
      <c r="I2" s="30" t="s">
        <v>6</v>
      </c>
      <c r="J2" s="31" t="s">
        <v>8</v>
      </c>
      <c r="K2" s="32" t="s">
        <v>5</v>
      </c>
      <c r="L2" s="33" t="s">
        <v>6</v>
      </c>
      <c r="M2" s="33" t="s">
        <v>7</v>
      </c>
      <c r="N2" s="33" t="s">
        <v>6</v>
      </c>
      <c r="O2" s="34" t="s">
        <v>8</v>
      </c>
      <c r="P2" s="32" t="s">
        <v>5</v>
      </c>
      <c r="Q2" s="33" t="s">
        <v>6</v>
      </c>
      <c r="R2" s="33" t="s">
        <v>7</v>
      </c>
      <c r="S2" s="33" t="s">
        <v>6</v>
      </c>
      <c r="T2" s="34" t="s">
        <v>8</v>
      </c>
      <c r="U2" s="32" t="s">
        <v>5</v>
      </c>
      <c r="V2" s="33" t="s">
        <v>6</v>
      </c>
      <c r="W2" s="33" t="s">
        <v>7</v>
      </c>
      <c r="X2" s="33" t="s">
        <v>6</v>
      </c>
      <c r="Y2" s="34" t="s">
        <v>8</v>
      </c>
      <c r="Z2" s="32" t="s">
        <v>5</v>
      </c>
      <c r="AA2" s="33" t="s">
        <v>6</v>
      </c>
      <c r="AB2" s="33" t="s">
        <v>7</v>
      </c>
      <c r="AC2" s="33" t="s">
        <v>6</v>
      </c>
      <c r="AD2" s="34" t="s">
        <v>8</v>
      </c>
      <c r="AE2" s="32" t="s">
        <v>5</v>
      </c>
      <c r="AF2" s="33" t="s">
        <v>6</v>
      </c>
      <c r="AG2" s="33" t="s">
        <v>7</v>
      </c>
      <c r="AH2" s="33" t="s">
        <v>6</v>
      </c>
      <c r="AI2" s="34" t="s">
        <v>8</v>
      </c>
      <c r="AJ2" s="29" t="s">
        <v>5</v>
      </c>
      <c r="AK2" s="30" t="s">
        <v>6</v>
      </c>
      <c r="AL2" s="30" t="s">
        <v>7</v>
      </c>
      <c r="AM2" s="33" t="s">
        <v>6</v>
      </c>
      <c r="AN2" s="31" t="s">
        <v>8</v>
      </c>
      <c r="AO2" s="29" t="s">
        <v>5</v>
      </c>
      <c r="AP2" s="30" t="s">
        <v>6</v>
      </c>
      <c r="AQ2" s="30" t="s">
        <v>7</v>
      </c>
      <c r="AR2" s="30" t="s">
        <v>6</v>
      </c>
      <c r="AS2" s="31" t="s">
        <v>8</v>
      </c>
      <c r="AT2" s="29" t="s">
        <v>5</v>
      </c>
      <c r="AU2" s="30" t="s">
        <v>6</v>
      </c>
      <c r="AV2" s="30" t="s">
        <v>7</v>
      </c>
      <c r="AW2" s="30" t="s">
        <v>6</v>
      </c>
      <c r="AX2" s="34" t="s">
        <v>8</v>
      </c>
      <c r="AY2" s="32" t="s">
        <v>5</v>
      </c>
      <c r="AZ2" s="33" t="s">
        <v>6</v>
      </c>
      <c r="BA2" s="33" t="s">
        <v>7</v>
      </c>
      <c r="BB2" s="33" t="s">
        <v>6</v>
      </c>
      <c r="BC2" s="34" t="s">
        <v>8</v>
      </c>
      <c r="BD2" s="32" t="s">
        <v>5</v>
      </c>
      <c r="BE2" s="33" t="s">
        <v>6</v>
      </c>
      <c r="BF2" s="33" t="s">
        <v>7</v>
      </c>
      <c r="BG2" s="33" t="s">
        <v>6</v>
      </c>
      <c r="BH2" s="34" t="s">
        <v>8</v>
      </c>
      <c r="BI2" s="29" t="s">
        <v>5</v>
      </c>
      <c r="BJ2" s="30" t="s">
        <v>6</v>
      </c>
      <c r="BK2" s="30" t="s">
        <v>7</v>
      </c>
      <c r="BL2" s="30" t="s">
        <v>6</v>
      </c>
      <c r="BM2" s="31" t="s">
        <v>8</v>
      </c>
      <c r="BN2" s="29" t="s">
        <v>5</v>
      </c>
      <c r="BO2" s="30" t="s">
        <v>6</v>
      </c>
      <c r="BP2" s="30" t="s">
        <v>7</v>
      </c>
      <c r="BQ2" s="30" t="s">
        <v>6</v>
      </c>
      <c r="BR2" s="31" t="s">
        <v>8</v>
      </c>
      <c r="BS2" s="29" t="s">
        <v>5</v>
      </c>
      <c r="BT2" s="30" t="s">
        <v>6</v>
      </c>
      <c r="BU2" s="30" t="s">
        <v>7</v>
      </c>
      <c r="BV2" s="30" t="s">
        <v>6</v>
      </c>
      <c r="BW2" s="31" t="s">
        <v>8</v>
      </c>
      <c r="BX2" s="29" t="s">
        <v>5</v>
      </c>
      <c r="BY2" s="30" t="s">
        <v>6</v>
      </c>
      <c r="BZ2" s="30" t="s">
        <v>7</v>
      </c>
      <c r="CA2" s="30" t="s">
        <v>6</v>
      </c>
      <c r="CB2" s="31" t="s">
        <v>8</v>
      </c>
      <c r="CC2" s="29" t="s">
        <v>5</v>
      </c>
      <c r="CD2" s="30" t="s">
        <v>6</v>
      </c>
      <c r="CE2" s="30" t="s">
        <v>7</v>
      </c>
      <c r="CF2" s="33" t="s">
        <v>6</v>
      </c>
      <c r="CG2" s="31" t="s">
        <v>8</v>
      </c>
      <c r="CH2" s="29" t="s">
        <v>5</v>
      </c>
      <c r="CI2" s="30" t="s">
        <v>6</v>
      </c>
      <c r="CJ2" s="30" t="s">
        <v>7</v>
      </c>
      <c r="CK2" s="30" t="s">
        <v>6</v>
      </c>
      <c r="CL2" s="34" t="s">
        <v>8</v>
      </c>
    </row>
    <row r="3" spans="1:90" x14ac:dyDescent="0.25">
      <c r="A3" s="35" t="s">
        <v>9</v>
      </c>
      <c r="T3" s="37"/>
      <c r="AM3" s="37"/>
      <c r="AX3" s="38"/>
      <c r="AY3" s="39"/>
      <c r="AZ3" s="40"/>
      <c r="BA3" s="40"/>
      <c r="BB3" s="40"/>
      <c r="BC3" s="40"/>
      <c r="BD3" s="40"/>
      <c r="BE3" s="40"/>
      <c r="BF3" s="40"/>
      <c r="BG3" s="40"/>
      <c r="BH3" s="41"/>
      <c r="CF3" s="37"/>
      <c r="CL3" s="37"/>
    </row>
    <row r="4" spans="1:90" x14ac:dyDescent="0.25">
      <c r="A4" t="s">
        <v>10</v>
      </c>
      <c r="B4" s="36">
        <v>10</v>
      </c>
      <c r="C4" s="42">
        <v>45698</v>
      </c>
      <c r="D4" s="42">
        <f>C4+B4</f>
        <v>45708</v>
      </c>
      <c r="E4" s="36" t="s">
        <v>11</v>
      </c>
      <c r="F4" s="43"/>
      <c r="G4" s="44"/>
      <c r="H4" s="44"/>
      <c r="I4" s="44"/>
      <c r="J4" s="45"/>
      <c r="K4" s="45"/>
      <c r="L4" s="45"/>
      <c r="M4" s="46"/>
      <c r="T4" s="47"/>
      <c r="AM4" s="47"/>
      <c r="AX4" s="48"/>
      <c r="AY4" s="49"/>
      <c r="AZ4" s="50"/>
      <c r="BA4" s="50"/>
      <c r="BB4" s="50"/>
      <c r="BC4" s="50"/>
      <c r="BD4" s="50"/>
      <c r="BE4" s="50"/>
      <c r="BF4" s="50"/>
      <c r="BG4" s="50"/>
      <c r="BH4" s="51"/>
      <c r="CF4" s="47"/>
      <c r="CL4" s="47"/>
    </row>
    <row r="5" spans="1:90" x14ac:dyDescent="0.25">
      <c r="A5" t="s">
        <v>12</v>
      </c>
      <c r="B5" s="36">
        <v>12</v>
      </c>
      <c r="C5" s="42">
        <v>45702</v>
      </c>
      <c r="D5" s="42">
        <f t="shared" ref="D5:D8" si="0">C5+B5</f>
        <v>45714</v>
      </c>
      <c r="E5" s="36" t="s">
        <v>13</v>
      </c>
      <c r="J5" s="52"/>
      <c r="K5" s="53"/>
      <c r="L5" s="53"/>
      <c r="M5" s="53"/>
      <c r="N5" s="53"/>
      <c r="O5" s="53"/>
      <c r="P5" s="53"/>
      <c r="Q5" s="53"/>
      <c r="R5" s="53"/>
      <c r="S5" s="53"/>
      <c r="T5" s="47"/>
      <c r="AM5" s="47"/>
      <c r="AX5" s="48"/>
      <c r="AY5" s="49"/>
      <c r="AZ5" s="50"/>
      <c r="BA5" s="50"/>
      <c r="BB5" s="50"/>
      <c r="BC5" s="50"/>
      <c r="BD5" s="50"/>
      <c r="BE5" s="50"/>
      <c r="BF5" s="50"/>
      <c r="BG5" s="50"/>
      <c r="BH5" s="51"/>
      <c r="CF5" s="47"/>
      <c r="CL5" s="47"/>
    </row>
    <row r="6" spans="1:90" x14ac:dyDescent="0.25">
      <c r="A6" t="s">
        <v>14</v>
      </c>
      <c r="B6" s="36">
        <v>2</v>
      </c>
      <c r="C6" s="42">
        <v>45706</v>
      </c>
      <c r="D6" s="42">
        <f t="shared" si="0"/>
        <v>45708</v>
      </c>
      <c r="E6" s="36" t="s">
        <v>15</v>
      </c>
      <c r="L6" s="52"/>
      <c r="M6" s="54"/>
      <c r="T6" s="47"/>
      <c r="AM6" s="47"/>
      <c r="AX6" s="48"/>
      <c r="AY6" s="49"/>
      <c r="AZ6" s="50"/>
      <c r="BA6" s="50"/>
      <c r="BB6" s="50"/>
      <c r="BC6" s="50"/>
      <c r="BD6" s="50"/>
      <c r="BE6" s="50"/>
      <c r="BF6" s="50"/>
      <c r="BG6" s="50"/>
      <c r="BH6" s="51"/>
      <c r="CF6" s="47"/>
      <c r="CL6" s="47"/>
    </row>
    <row r="7" spans="1:90" x14ac:dyDescent="0.25">
      <c r="A7" t="s">
        <v>16</v>
      </c>
      <c r="B7" s="36">
        <v>2</v>
      </c>
      <c r="C7" s="42">
        <v>45706</v>
      </c>
      <c r="D7" s="42">
        <f t="shared" si="0"/>
        <v>45708</v>
      </c>
      <c r="E7" s="36" t="s">
        <v>15</v>
      </c>
      <c r="L7" s="55"/>
      <c r="M7" s="56"/>
      <c r="T7" s="47"/>
      <c r="AM7" s="47"/>
      <c r="AX7" s="48"/>
      <c r="AY7" s="49"/>
      <c r="AZ7" s="50"/>
      <c r="BA7" s="50"/>
      <c r="BB7" s="50"/>
      <c r="BC7" s="50"/>
      <c r="BD7" s="50"/>
      <c r="BE7" s="50"/>
      <c r="BF7" s="50"/>
      <c r="BG7" s="50"/>
      <c r="BH7" s="51"/>
      <c r="CF7" s="47"/>
      <c r="CL7" s="47"/>
    </row>
    <row r="8" spans="1:90" x14ac:dyDescent="0.25">
      <c r="A8" t="s">
        <v>17</v>
      </c>
      <c r="B8" s="36">
        <v>15</v>
      </c>
      <c r="C8" s="42">
        <v>45700</v>
      </c>
      <c r="D8" s="42">
        <f t="shared" si="0"/>
        <v>45715</v>
      </c>
      <c r="E8" s="36" t="s">
        <v>11</v>
      </c>
      <c r="H8" s="52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47"/>
      <c r="AM8" s="47"/>
      <c r="AX8" s="48"/>
      <c r="AY8" s="49"/>
      <c r="AZ8" s="50"/>
      <c r="BA8" s="50"/>
      <c r="BB8" s="50"/>
      <c r="BC8" s="50"/>
      <c r="BD8" s="50"/>
      <c r="BE8" s="50"/>
      <c r="BF8" s="50"/>
      <c r="BG8" s="50"/>
      <c r="BH8" s="51"/>
      <c r="CF8" s="47"/>
      <c r="CL8" s="47"/>
    </row>
    <row r="9" spans="1:90" x14ac:dyDescent="0.25">
      <c r="A9" s="35" t="s">
        <v>18</v>
      </c>
      <c r="T9" s="47"/>
      <c r="AM9" s="47"/>
      <c r="AX9" s="48"/>
      <c r="AY9" s="49"/>
      <c r="AZ9" s="50"/>
      <c r="BA9" s="50"/>
      <c r="BB9" s="50"/>
      <c r="BC9" s="50"/>
      <c r="BD9" s="50"/>
      <c r="BE9" s="50"/>
      <c r="BF9" s="50"/>
      <c r="BG9" s="50"/>
      <c r="BH9" s="51"/>
      <c r="CF9" s="47"/>
      <c r="CL9" s="47"/>
    </row>
    <row r="10" spans="1:90" x14ac:dyDescent="0.25">
      <c r="A10" s="57" t="s">
        <v>19</v>
      </c>
      <c r="B10" s="36">
        <v>3</v>
      </c>
      <c r="C10" s="42">
        <v>45713</v>
      </c>
      <c r="D10" s="42">
        <f t="shared" ref="D10:D18" si="1">C10+B10</f>
        <v>45716</v>
      </c>
      <c r="E10" s="36" t="s">
        <v>15</v>
      </c>
      <c r="Q10" s="58"/>
      <c r="R10" s="59"/>
      <c r="S10" s="60"/>
      <c r="T10" s="47"/>
      <c r="AM10" s="47"/>
      <c r="AX10" s="48"/>
      <c r="AY10" s="49"/>
      <c r="AZ10" s="50"/>
      <c r="BA10" s="50"/>
      <c r="BB10" s="50"/>
      <c r="BC10" s="50"/>
      <c r="BD10" s="50"/>
      <c r="BE10" s="50"/>
      <c r="BF10" s="50"/>
      <c r="BG10" s="50"/>
      <c r="BH10" s="51"/>
      <c r="CF10" s="47"/>
      <c r="CL10" s="47"/>
    </row>
    <row r="11" spans="1:90" x14ac:dyDescent="0.25">
      <c r="A11" t="s">
        <v>20</v>
      </c>
      <c r="B11" s="36">
        <v>18</v>
      </c>
      <c r="C11" s="42">
        <v>45719</v>
      </c>
      <c r="D11" s="42">
        <f t="shared" si="1"/>
        <v>45737</v>
      </c>
      <c r="E11" s="61" t="s">
        <v>21</v>
      </c>
      <c r="T11" s="47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60"/>
      <c r="AM11" s="47"/>
      <c r="AX11" s="48"/>
      <c r="AY11" s="49"/>
      <c r="AZ11" s="50"/>
      <c r="BA11" s="50"/>
      <c r="BB11" s="50"/>
      <c r="BC11" s="50"/>
      <c r="BD11" s="50"/>
      <c r="BE11" s="50"/>
      <c r="BF11" s="50"/>
      <c r="BG11" s="50"/>
      <c r="BH11" s="51"/>
      <c r="CF11" s="47"/>
      <c r="CL11" s="47"/>
    </row>
    <row r="12" spans="1:90" x14ac:dyDescent="0.25">
      <c r="A12" t="s">
        <v>22</v>
      </c>
      <c r="B12" s="36">
        <v>9</v>
      </c>
      <c r="C12" s="42">
        <v>45719</v>
      </c>
      <c r="D12" s="42">
        <f t="shared" si="1"/>
        <v>45728</v>
      </c>
      <c r="E12" s="36" t="s">
        <v>23</v>
      </c>
      <c r="T12" s="47"/>
      <c r="U12" s="62"/>
      <c r="V12" s="62"/>
      <c r="W12" s="62"/>
      <c r="X12" s="62"/>
      <c r="Y12" s="62"/>
      <c r="Z12" s="63"/>
      <c r="AM12" s="47"/>
      <c r="AX12" s="48"/>
      <c r="AY12" s="49"/>
      <c r="AZ12" s="50"/>
      <c r="BA12" s="50"/>
      <c r="BB12" s="50"/>
      <c r="BC12" s="50"/>
      <c r="BD12" s="50"/>
      <c r="BE12" s="50"/>
      <c r="BF12" s="50"/>
      <c r="BG12" s="50"/>
      <c r="BH12" s="51"/>
      <c r="CF12" s="47"/>
      <c r="CL12" s="47"/>
    </row>
    <row r="13" spans="1:90" x14ac:dyDescent="0.25">
      <c r="A13" t="s">
        <v>24</v>
      </c>
      <c r="B13" s="36">
        <v>18</v>
      </c>
      <c r="C13" s="42">
        <v>45719</v>
      </c>
      <c r="D13" s="42">
        <f t="shared" si="1"/>
        <v>45737</v>
      </c>
      <c r="E13" s="36" t="s">
        <v>13</v>
      </c>
      <c r="T13" s="47"/>
      <c r="U13" s="58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60"/>
      <c r="AM13" s="47"/>
      <c r="AX13" s="48"/>
      <c r="AY13" s="49"/>
      <c r="AZ13" s="50"/>
      <c r="BA13" s="50"/>
      <c r="BB13" s="50"/>
      <c r="BC13" s="50"/>
      <c r="BD13" s="50"/>
      <c r="BE13" s="50"/>
      <c r="BF13" s="50"/>
      <c r="BG13" s="50"/>
      <c r="BH13" s="51"/>
      <c r="CF13" s="47"/>
      <c r="CL13" s="47"/>
    </row>
    <row r="14" spans="1:90" x14ac:dyDescent="0.25">
      <c r="A14" t="s">
        <v>25</v>
      </c>
      <c r="B14" s="36">
        <v>9</v>
      </c>
      <c r="C14" s="42">
        <v>45719</v>
      </c>
      <c r="D14" s="42">
        <f t="shared" si="1"/>
        <v>45728</v>
      </c>
      <c r="E14" s="36" t="s">
        <v>15</v>
      </c>
      <c r="T14" s="47"/>
      <c r="U14" s="64"/>
      <c r="V14" s="64"/>
      <c r="W14" s="64"/>
      <c r="X14" s="64"/>
      <c r="Y14" s="64"/>
      <c r="Z14" s="64"/>
      <c r="AA14" s="64"/>
      <c r="AB14" s="65"/>
      <c r="AM14" s="47"/>
      <c r="AX14" s="48"/>
      <c r="AY14" s="49"/>
      <c r="AZ14" s="50"/>
      <c r="BA14" s="50"/>
      <c r="BB14" s="50"/>
      <c r="BC14" s="50"/>
      <c r="BD14" s="50"/>
      <c r="BE14" s="50"/>
      <c r="BF14" s="50"/>
      <c r="BG14" s="50"/>
      <c r="BH14" s="51"/>
      <c r="CF14" s="47"/>
      <c r="CL14" s="47"/>
    </row>
    <row r="15" spans="1:90" x14ac:dyDescent="0.25">
      <c r="A15" t="s">
        <v>26</v>
      </c>
      <c r="B15" s="36">
        <v>15</v>
      </c>
      <c r="C15" s="42">
        <v>45726</v>
      </c>
      <c r="D15" s="42">
        <f t="shared" si="1"/>
        <v>45741</v>
      </c>
      <c r="E15" s="36" t="s">
        <v>15</v>
      </c>
      <c r="T15" s="47"/>
      <c r="Z15" s="66"/>
      <c r="AA15" s="64"/>
      <c r="AB15" s="64"/>
      <c r="AC15" s="59"/>
      <c r="AD15" s="59"/>
      <c r="AE15" s="59"/>
      <c r="AF15" s="59"/>
      <c r="AG15" s="59"/>
      <c r="AH15" s="59"/>
      <c r="AI15" s="59"/>
      <c r="AJ15" s="59"/>
      <c r="AK15" s="60"/>
      <c r="AM15" s="47"/>
      <c r="AX15" s="48"/>
      <c r="AY15" s="49"/>
      <c r="AZ15" s="50"/>
      <c r="BA15" s="50"/>
      <c r="BB15" s="50"/>
      <c r="BC15" s="50"/>
      <c r="BD15" s="50"/>
      <c r="BE15" s="50"/>
      <c r="BF15" s="50"/>
      <c r="BG15" s="50"/>
      <c r="BH15" s="51"/>
      <c r="CF15" s="47"/>
      <c r="CL15" s="47"/>
    </row>
    <row r="16" spans="1:90" x14ac:dyDescent="0.25">
      <c r="A16" t="s">
        <v>27</v>
      </c>
      <c r="B16" s="36">
        <v>25</v>
      </c>
      <c r="C16" s="42">
        <v>45719</v>
      </c>
      <c r="D16" s="42">
        <f t="shared" si="1"/>
        <v>45744</v>
      </c>
      <c r="E16" s="36" t="s">
        <v>21</v>
      </c>
      <c r="T16" s="4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47"/>
      <c r="AN16" s="68"/>
      <c r="AX16" s="48"/>
      <c r="AY16" s="49"/>
      <c r="AZ16" s="50"/>
      <c r="BA16" s="50"/>
      <c r="BB16" s="50"/>
      <c r="BC16" s="50"/>
      <c r="BD16" s="50"/>
      <c r="BE16" s="50"/>
      <c r="BF16" s="50"/>
      <c r="BG16" s="50"/>
      <c r="BH16" s="51"/>
      <c r="CF16" s="47"/>
      <c r="CL16" s="47"/>
    </row>
    <row r="17" spans="1:90" x14ac:dyDescent="0.25">
      <c r="A17" t="s">
        <v>28</v>
      </c>
      <c r="B17" s="36">
        <v>13</v>
      </c>
      <c r="C17" s="42">
        <v>45727</v>
      </c>
      <c r="D17" s="42">
        <f t="shared" si="1"/>
        <v>45740</v>
      </c>
      <c r="E17" s="36" t="s">
        <v>13</v>
      </c>
      <c r="T17" s="47"/>
      <c r="AA17" s="58"/>
      <c r="AB17" s="59"/>
      <c r="AC17" s="59"/>
      <c r="AD17" s="59"/>
      <c r="AE17" s="59"/>
      <c r="AF17" s="59"/>
      <c r="AG17" s="59"/>
      <c r="AH17" s="59"/>
      <c r="AI17" s="59"/>
      <c r="AJ17" s="60"/>
      <c r="AM17" s="47"/>
      <c r="AX17" s="48"/>
      <c r="AY17" s="49"/>
      <c r="AZ17" s="50"/>
      <c r="BA17" s="50"/>
      <c r="BB17" s="50"/>
      <c r="BC17" s="50"/>
      <c r="BD17" s="50"/>
      <c r="BE17" s="50"/>
      <c r="BF17" s="50"/>
      <c r="BG17" s="50"/>
      <c r="BH17" s="51"/>
      <c r="CF17" s="47"/>
      <c r="CL17" s="47"/>
    </row>
    <row r="18" spans="1:90" x14ac:dyDescent="0.25">
      <c r="A18" t="s">
        <v>29</v>
      </c>
      <c r="B18" s="36">
        <v>44</v>
      </c>
      <c r="C18" s="42">
        <v>45713</v>
      </c>
      <c r="D18" s="42">
        <f t="shared" si="1"/>
        <v>45757</v>
      </c>
      <c r="E18" s="36" t="s">
        <v>11</v>
      </c>
      <c r="Q18" s="58"/>
      <c r="R18" s="59"/>
      <c r="S18" s="59"/>
      <c r="T18" s="47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47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48"/>
      <c r="AY18" s="49"/>
      <c r="AZ18" s="50"/>
      <c r="BA18" s="50"/>
      <c r="BB18" s="50"/>
      <c r="BC18" s="50"/>
      <c r="BD18" s="50"/>
      <c r="BE18" s="50"/>
      <c r="BF18" s="50"/>
      <c r="BG18" s="50"/>
      <c r="BH18" s="51"/>
      <c r="CF18" s="47"/>
      <c r="CL18" s="47"/>
    </row>
    <row r="19" spans="1:90" x14ac:dyDescent="0.25">
      <c r="A19" s="35" t="s">
        <v>30</v>
      </c>
      <c r="T19" s="47"/>
      <c r="AM19" s="47"/>
      <c r="AX19" s="48"/>
      <c r="AY19" s="49"/>
      <c r="AZ19" s="50"/>
      <c r="BA19" s="50"/>
      <c r="BB19" s="50"/>
      <c r="BC19" s="50"/>
      <c r="BD19" s="50"/>
      <c r="BE19" s="50"/>
      <c r="BF19" s="50"/>
      <c r="BG19" s="50"/>
      <c r="BH19" s="51"/>
      <c r="CF19" s="47"/>
      <c r="CL19" s="47"/>
    </row>
    <row r="20" spans="1:90" x14ac:dyDescent="0.25">
      <c r="A20" t="s">
        <v>31</v>
      </c>
      <c r="B20" s="36">
        <v>65</v>
      </c>
      <c r="C20" s="42">
        <v>45740</v>
      </c>
      <c r="D20" s="42">
        <f>C20+B20</f>
        <v>45805</v>
      </c>
      <c r="E20" s="36" t="s">
        <v>11</v>
      </c>
      <c r="T20" s="47"/>
      <c r="AJ20" s="58"/>
      <c r="AK20" s="59"/>
      <c r="AL20" s="60"/>
      <c r="AM20" s="48"/>
      <c r="AN20" s="58"/>
      <c r="AO20" s="59"/>
      <c r="AP20" s="59"/>
      <c r="AQ20" s="59"/>
      <c r="AR20" s="59"/>
      <c r="AS20" s="59"/>
      <c r="AT20" s="59"/>
      <c r="AU20" s="59"/>
      <c r="AV20" s="59"/>
      <c r="AW20" s="60"/>
      <c r="AX20" s="48"/>
      <c r="AY20" s="49"/>
      <c r="AZ20" s="50"/>
      <c r="BA20" s="50"/>
      <c r="BB20" s="50"/>
      <c r="BC20" s="50"/>
      <c r="BD20" s="50"/>
      <c r="BE20" s="50"/>
      <c r="BF20" s="50"/>
      <c r="BG20" s="50"/>
      <c r="BH20" s="51"/>
      <c r="BI20" s="58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59"/>
      <c r="CC20" s="59"/>
      <c r="CD20" s="59"/>
      <c r="CE20" s="60"/>
      <c r="CF20" s="47"/>
      <c r="CL20" s="47"/>
    </row>
    <row r="21" spans="1:90" x14ac:dyDescent="0.25">
      <c r="A21" t="s">
        <v>32</v>
      </c>
      <c r="B21" s="36">
        <v>65</v>
      </c>
      <c r="C21" s="42">
        <v>45740</v>
      </c>
      <c r="D21" s="42">
        <f>C21+B21</f>
        <v>45805</v>
      </c>
      <c r="E21" s="36" t="s">
        <v>11</v>
      </c>
      <c r="T21" s="47"/>
      <c r="AJ21" s="69"/>
      <c r="AK21" s="67"/>
      <c r="AL21" s="68"/>
      <c r="AM21" s="48"/>
      <c r="AN21" s="69"/>
      <c r="AO21" s="67"/>
      <c r="AP21" s="67"/>
      <c r="AQ21" s="67"/>
      <c r="AR21" s="67"/>
      <c r="AS21" s="67"/>
      <c r="AT21" s="67"/>
      <c r="AU21" s="67"/>
      <c r="AV21" s="67"/>
      <c r="AW21" s="68"/>
      <c r="AX21" s="48"/>
      <c r="AY21" s="49"/>
      <c r="AZ21" s="50"/>
      <c r="BA21" s="50"/>
      <c r="BB21" s="50"/>
      <c r="BC21" s="50"/>
      <c r="BD21" s="50"/>
      <c r="BE21" s="50"/>
      <c r="BF21" s="50"/>
      <c r="BG21" s="50"/>
      <c r="BH21" s="50"/>
      <c r="BI21" s="69"/>
      <c r="BJ21" s="67"/>
      <c r="BK21" s="67"/>
      <c r="BL21" s="67"/>
      <c r="BM21" s="67"/>
      <c r="BN21" s="67"/>
      <c r="BO21" s="67"/>
      <c r="BP21" s="67"/>
      <c r="BQ21" s="67"/>
      <c r="BR21" s="67"/>
      <c r="BS21" s="67"/>
      <c r="BT21" s="67"/>
      <c r="BU21" s="67"/>
      <c r="BV21" s="67"/>
      <c r="BW21" s="67"/>
      <c r="BX21" s="67"/>
      <c r="BY21" s="67"/>
      <c r="BZ21" s="67"/>
      <c r="CA21" s="67"/>
      <c r="CB21" s="67"/>
      <c r="CC21" s="67"/>
      <c r="CD21" s="67"/>
      <c r="CE21" s="68"/>
      <c r="CF21" s="47"/>
      <c r="CL21" s="47"/>
    </row>
    <row r="22" spans="1:90" x14ac:dyDescent="0.25">
      <c r="A22" t="s">
        <v>29</v>
      </c>
      <c r="B22" s="36">
        <v>65</v>
      </c>
      <c r="C22" s="42">
        <v>45740</v>
      </c>
      <c r="D22" s="42">
        <f>C22+B22</f>
        <v>45805</v>
      </c>
      <c r="E22" s="36" t="s">
        <v>11</v>
      </c>
      <c r="T22" s="47"/>
      <c r="AJ22" s="58"/>
      <c r="AK22" s="59"/>
      <c r="AL22" s="60"/>
      <c r="AM22" s="48"/>
      <c r="AN22" s="58"/>
      <c r="AO22" s="59"/>
      <c r="AP22" s="59"/>
      <c r="AQ22" s="59"/>
      <c r="AR22" s="59"/>
      <c r="AS22" s="59"/>
      <c r="AT22" s="59"/>
      <c r="AU22" s="59"/>
      <c r="AV22" s="59"/>
      <c r="AW22" s="60"/>
      <c r="AX22" s="48"/>
      <c r="AY22" s="49"/>
      <c r="AZ22" s="50"/>
      <c r="BA22" s="50"/>
      <c r="BB22" s="50"/>
      <c r="BC22" s="50"/>
      <c r="BD22" s="50"/>
      <c r="BE22" s="50"/>
      <c r="BF22" s="50"/>
      <c r="BG22" s="50"/>
      <c r="BH22" s="50"/>
      <c r="BI22" s="58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59"/>
      <c r="CC22" s="59"/>
      <c r="CD22" s="59"/>
      <c r="CE22" s="60"/>
      <c r="CF22" s="47"/>
      <c r="CL22" s="47"/>
    </row>
    <row r="23" spans="1:90" x14ac:dyDescent="0.25">
      <c r="A23" s="35" t="s">
        <v>33</v>
      </c>
      <c r="T23" s="47"/>
      <c r="AM23" s="47"/>
      <c r="AX23" s="48"/>
      <c r="AY23" s="49"/>
      <c r="AZ23" s="50"/>
      <c r="BA23" s="50"/>
      <c r="BB23" s="50"/>
      <c r="BC23" s="50"/>
      <c r="BD23" s="50"/>
      <c r="BE23" s="50"/>
      <c r="BF23" s="50"/>
      <c r="BG23" s="50"/>
      <c r="BH23" s="51"/>
      <c r="CF23" s="47"/>
      <c r="CL23" s="47"/>
    </row>
    <row r="24" spans="1:90" x14ac:dyDescent="0.25">
      <c r="A24" t="s">
        <v>34</v>
      </c>
      <c r="B24" s="36">
        <v>18</v>
      </c>
      <c r="C24" s="42">
        <v>45719</v>
      </c>
      <c r="D24" s="42">
        <f>C24+B24</f>
        <v>45737</v>
      </c>
      <c r="E24" s="36" t="s">
        <v>11</v>
      </c>
      <c r="T24" s="4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8"/>
      <c r="AM24" s="47"/>
      <c r="AX24" s="48"/>
      <c r="AY24" s="49"/>
      <c r="AZ24" s="50"/>
      <c r="BA24" s="50"/>
      <c r="BB24" s="50"/>
      <c r="BC24" s="50"/>
      <c r="BD24" s="50"/>
      <c r="BE24" s="50"/>
      <c r="BF24" s="50"/>
      <c r="BG24" s="50"/>
      <c r="BH24" s="51"/>
      <c r="CF24" s="47"/>
      <c r="CL24" s="47"/>
    </row>
    <row r="25" spans="1:90" x14ac:dyDescent="0.25">
      <c r="A25" t="s">
        <v>35</v>
      </c>
      <c r="B25" s="36">
        <v>86</v>
      </c>
      <c r="C25" s="42">
        <v>45719</v>
      </c>
      <c r="D25" s="42">
        <f>C25+B25</f>
        <v>45805</v>
      </c>
      <c r="E25" s="36" t="s">
        <v>11</v>
      </c>
      <c r="T25" s="47"/>
      <c r="U25" s="58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60"/>
      <c r="AM25" s="47"/>
      <c r="AN25" s="58"/>
      <c r="AO25" s="59"/>
      <c r="AP25" s="59"/>
      <c r="AQ25" s="59"/>
      <c r="AR25" s="59"/>
      <c r="AS25" s="59"/>
      <c r="AT25" s="59"/>
      <c r="AU25" s="59"/>
      <c r="AV25" s="59"/>
      <c r="AW25" s="60"/>
      <c r="AX25" s="48"/>
      <c r="AY25" s="49"/>
      <c r="AZ25" s="50"/>
      <c r="BA25" s="50"/>
      <c r="BB25" s="50"/>
      <c r="BC25" s="50"/>
      <c r="BD25" s="50"/>
      <c r="BE25" s="50"/>
      <c r="BF25" s="50"/>
      <c r="BG25" s="50"/>
      <c r="BH25" s="51"/>
      <c r="BI25" s="58"/>
      <c r="BJ25" s="59"/>
      <c r="BK25" s="59"/>
      <c r="BL25" s="59"/>
      <c r="BM25" s="59"/>
      <c r="BN25" s="59"/>
      <c r="BO25" s="59"/>
      <c r="BP25" s="59"/>
      <c r="BQ25" s="59"/>
      <c r="BR25" s="59"/>
      <c r="BS25" s="59"/>
      <c r="BT25" s="59"/>
      <c r="BU25" s="59"/>
      <c r="BV25" s="59"/>
      <c r="BW25" s="59"/>
      <c r="BX25" s="59"/>
      <c r="BY25" s="59"/>
      <c r="BZ25" s="59"/>
      <c r="CA25" s="59"/>
      <c r="CB25" s="59"/>
      <c r="CC25" s="59"/>
      <c r="CD25" s="59"/>
      <c r="CE25" s="60"/>
      <c r="CF25" s="47"/>
      <c r="CL25" s="47"/>
    </row>
    <row r="26" spans="1:90" x14ac:dyDescent="0.25">
      <c r="A26" t="s">
        <v>36</v>
      </c>
      <c r="B26" s="36">
        <v>61</v>
      </c>
      <c r="C26" s="42">
        <v>45744</v>
      </c>
      <c r="D26" s="42">
        <f>C26+B26</f>
        <v>45805</v>
      </c>
      <c r="E26" s="36" t="s">
        <v>11</v>
      </c>
      <c r="T26" s="47"/>
      <c r="AM26" s="47"/>
      <c r="AN26" s="58"/>
      <c r="AO26" s="59"/>
      <c r="AP26" s="59"/>
      <c r="AQ26" s="59"/>
      <c r="AR26" s="59"/>
      <c r="AS26" s="59"/>
      <c r="AT26" s="67"/>
      <c r="AU26" s="67"/>
      <c r="AV26" s="67"/>
      <c r="AW26" s="68"/>
      <c r="AX26" s="48"/>
      <c r="AY26" s="49"/>
      <c r="AZ26" s="50"/>
      <c r="BA26" s="50"/>
      <c r="BB26" s="50"/>
      <c r="BC26" s="50"/>
      <c r="BD26" s="50"/>
      <c r="BE26" s="50"/>
      <c r="BF26" s="50"/>
      <c r="BG26" s="50"/>
      <c r="BH26" s="51"/>
      <c r="BI26" s="58"/>
      <c r="BJ26" s="59"/>
      <c r="BK26" s="59"/>
      <c r="BL26" s="59"/>
      <c r="BM26" s="59"/>
      <c r="BN26" s="59"/>
      <c r="BO26" s="59"/>
      <c r="BP26" s="59"/>
      <c r="BQ26" s="59"/>
      <c r="BR26" s="59"/>
      <c r="BS26" s="59"/>
      <c r="BT26" s="59"/>
      <c r="BU26" s="59"/>
      <c r="BV26" s="59"/>
      <c r="BW26" s="59"/>
      <c r="BX26" s="59"/>
      <c r="BY26" s="59"/>
      <c r="BZ26" s="59"/>
      <c r="CA26" s="59"/>
      <c r="CB26" s="59"/>
      <c r="CC26" s="59"/>
      <c r="CD26" s="59"/>
      <c r="CE26" s="60"/>
      <c r="CF26" s="47"/>
      <c r="CL26" s="47"/>
    </row>
    <row r="27" spans="1:90" x14ac:dyDescent="0.25">
      <c r="A27" t="s">
        <v>37</v>
      </c>
      <c r="B27" s="36">
        <v>51</v>
      </c>
      <c r="C27" s="42">
        <v>45754</v>
      </c>
      <c r="D27" s="42">
        <f>C27+B27</f>
        <v>45805</v>
      </c>
      <c r="E27" s="36" t="s">
        <v>23</v>
      </c>
      <c r="T27" s="47"/>
      <c r="AM27" s="47"/>
      <c r="AT27" s="58"/>
      <c r="AU27" s="59"/>
      <c r="AV27" s="59"/>
      <c r="AW27" s="60"/>
      <c r="AX27" s="70"/>
      <c r="AY27" s="49"/>
      <c r="AZ27" s="50"/>
      <c r="BA27" s="50"/>
      <c r="BB27" s="50"/>
      <c r="BC27" s="50"/>
      <c r="BD27" s="50"/>
      <c r="BE27" s="50"/>
      <c r="BF27" s="50"/>
      <c r="BG27" s="50"/>
      <c r="BH27" s="50"/>
      <c r="BI27" s="58"/>
      <c r="BJ27" s="59"/>
      <c r="BK27" s="59"/>
      <c r="BL27" s="59"/>
      <c r="BM27" s="59"/>
      <c r="BN27" s="59"/>
      <c r="BO27" s="59"/>
      <c r="BP27" s="59"/>
      <c r="BQ27" s="59"/>
      <c r="BR27" s="59"/>
      <c r="BS27" s="59"/>
      <c r="BT27" s="59"/>
      <c r="BU27" s="59"/>
      <c r="BV27" s="59"/>
      <c r="BW27" s="59"/>
      <c r="BX27" s="59"/>
      <c r="BY27" s="59"/>
      <c r="BZ27" s="59"/>
      <c r="CA27" s="59"/>
      <c r="CB27" s="59"/>
      <c r="CC27" s="59"/>
      <c r="CD27" s="59"/>
      <c r="CE27" s="60"/>
      <c r="CF27" s="71"/>
      <c r="CL27" s="47"/>
    </row>
    <row r="28" spans="1:90" x14ac:dyDescent="0.25">
      <c r="A28" s="35" t="s">
        <v>38</v>
      </c>
      <c r="T28" s="47"/>
      <c r="AM28" s="47"/>
      <c r="AX28" s="48"/>
      <c r="AY28" s="49"/>
      <c r="AZ28" s="50"/>
      <c r="BA28" s="50"/>
      <c r="BB28" s="50"/>
      <c r="BC28" s="50"/>
      <c r="BD28" s="50"/>
      <c r="BE28" s="50"/>
      <c r="BF28" s="50"/>
      <c r="BG28" s="50"/>
      <c r="BH28" s="51"/>
      <c r="CF28" s="47"/>
      <c r="CL28" s="47"/>
    </row>
    <row r="29" spans="1:90" x14ac:dyDescent="0.25">
      <c r="A29" t="s">
        <v>39</v>
      </c>
      <c r="B29" s="36">
        <v>65</v>
      </c>
      <c r="C29" s="42">
        <v>45740</v>
      </c>
      <c r="D29" s="42">
        <f>C29+B29</f>
        <v>45805</v>
      </c>
      <c r="E29" s="36" t="s">
        <v>21</v>
      </c>
      <c r="T29" s="47"/>
      <c r="AJ29" s="69"/>
      <c r="AK29" s="67"/>
      <c r="AL29" s="68"/>
      <c r="AM29" s="48"/>
      <c r="AN29" s="69"/>
      <c r="AO29" s="67"/>
      <c r="AP29" s="67"/>
      <c r="AQ29" s="67"/>
      <c r="AR29" s="67"/>
      <c r="AS29" s="67"/>
      <c r="AT29" s="67"/>
      <c r="AU29" s="67"/>
      <c r="AV29" s="67"/>
      <c r="AW29" s="68"/>
      <c r="AX29" s="48"/>
      <c r="AY29" s="49"/>
      <c r="AZ29" s="50"/>
      <c r="BA29" s="50"/>
      <c r="BB29" s="50"/>
      <c r="BC29" s="50"/>
      <c r="BD29" s="50"/>
      <c r="BE29" s="50"/>
      <c r="BF29" s="50"/>
      <c r="BG29" s="50"/>
      <c r="BH29" s="50"/>
      <c r="BI29" s="58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59"/>
      <c r="CC29" s="59"/>
      <c r="CD29" s="59"/>
      <c r="CE29" s="60"/>
      <c r="CF29" s="47"/>
      <c r="CL29" s="47"/>
    </row>
    <row r="30" spans="1:90" x14ac:dyDescent="0.25">
      <c r="A30" t="s">
        <v>40</v>
      </c>
      <c r="B30" s="36">
        <v>65</v>
      </c>
      <c r="C30" s="42">
        <v>45740</v>
      </c>
      <c r="D30" s="42">
        <f>C30+B30</f>
        <v>45805</v>
      </c>
      <c r="E30" s="36" t="s">
        <v>23</v>
      </c>
      <c r="T30" s="47"/>
      <c r="AJ30" s="58"/>
      <c r="AK30" s="59"/>
      <c r="AL30" s="60"/>
      <c r="AM30" s="48"/>
      <c r="AN30" s="58"/>
      <c r="AO30" s="59"/>
      <c r="AP30" s="59"/>
      <c r="AQ30" s="59"/>
      <c r="AR30" s="59"/>
      <c r="AS30" s="59"/>
      <c r="AT30" s="59"/>
      <c r="AU30" s="59"/>
      <c r="AV30" s="59"/>
      <c r="AW30" s="60"/>
      <c r="AX30" s="48"/>
      <c r="AY30" s="49"/>
      <c r="AZ30" s="50"/>
      <c r="BA30" s="50"/>
      <c r="BB30" s="50"/>
      <c r="BC30" s="50"/>
      <c r="BD30" s="50"/>
      <c r="BE30" s="50"/>
      <c r="BF30" s="50"/>
      <c r="BG30" s="50"/>
      <c r="BH30" s="50"/>
      <c r="BI30" s="58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59"/>
      <c r="CC30" s="59"/>
      <c r="CD30" s="59"/>
      <c r="CE30" s="60"/>
      <c r="CF30" s="47"/>
      <c r="CL30" s="47"/>
    </row>
    <row r="31" spans="1:90" x14ac:dyDescent="0.25">
      <c r="A31" t="s">
        <v>41</v>
      </c>
      <c r="B31" s="36">
        <v>65</v>
      </c>
      <c r="C31" s="42">
        <v>45740</v>
      </c>
      <c r="D31" s="42">
        <f>C31+B31</f>
        <v>45805</v>
      </c>
      <c r="E31" s="36" t="s">
        <v>13</v>
      </c>
      <c r="T31" s="47"/>
      <c r="AJ31" s="58"/>
      <c r="AK31" s="59"/>
      <c r="AL31" s="60"/>
      <c r="AM31" s="48"/>
      <c r="AN31" s="58"/>
      <c r="AO31" s="59"/>
      <c r="AP31" s="59"/>
      <c r="AQ31" s="59"/>
      <c r="AR31" s="59"/>
      <c r="AS31" s="59"/>
      <c r="AT31" s="59"/>
      <c r="AU31" s="59"/>
      <c r="AV31" s="59"/>
      <c r="AW31" s="60"/>
      <c r="AX31" s="48"/>
      <c r="AY31" s="49"/>
      <c r="AZ31" s="50"/>
      <c r="BA31" s="50"/>
      <c r="BB31" s="50"/>
      <c r="BC31" s="50"/>
      <c r="BD31" s="50"/>
      <c r="BE31" s="50"/>
      <c r="BF31" s="50"/>
      <c r="BG31" s="50"/>
      <c r="BH31" s="50"/>
      <c r="BI31" s="58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59"/>
      <c r="CC31" s="59"/>
      <c r="CD31" s="59"/>
      <c r="CE31" s="60"/>
      <c r="CF31" s="47"/>
      <c r="CL31" s="47"/>
    </row>
    <row r="32" spans="1:90" x14ac:dyDescent="0.25">
      <c r="A32" t="s">
        <v>42</v>
      </c>
      <c r="B32" s="36">
        <v>56</v>
      </c>
      <c r="C32" s="42">
        <v>45749</v>
      </c>
      <c r="D32" s="42">
        <f>C32+B32</f>
        <v>45805</v>
      </c>
      <c r="E32" s="36" t="s">
        <v>15</v>
      </c>
      <c r="T32" s="47"/>
      <c r="AM32" s="47"/>
      <c r="AQ32" s="58"/>
      <c r="AR32" s="59"/>
      <c r="AS32" s="59"/>
      <c r="AT32" s="59"/>
      <c r="AU32" s="59"/>
      <c r="AV32" s="59"/>
      <c r="AW32" s="60"/>
      <c r="AX32" s="48"/>
      <c r="AY32" s="49"/>
      <c r="AZ32" s="50"/>
      <c r="BA32" s="50"/>
      <c r="BB32" s="50"/>
      <c r="BC32" s="50"/>
      <c r="BD32" s="50"/>
      <c r="BE32" s="50"/>
      <c r="BF32" s="50"/>
      <c r="BG32" s="50"/>
      <c r="BH32" s="50"/>
      <c r="BI32" s="58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59"/>
      <c r="CC32" s="59"/>
      <c r="CD32" s="59"/>
      <c r="CE32" s="60"/>
      <c r="CF32" s="47"/>
      <c r="CL32" s="47"/>
    </row>
    <row r="33" spans="1:90" x14ac:dyDescent="0.25">
      <c r="A33" t="s">
        <v>43</v>
      </c>
      <c r="B33" s="36">
        <v>51</v>
      </c>
      <c r="C33" s="42">
        <v>45754</v>
      </c>
      <c r="D33" s="42">
        <f>C33+B33</f>
        <v>45805</v>
      </c>
      <c r="E33" s="36" t="s">
        <v>15</v>
      </c>
      <c r="T33" s="47"/>
      <c r="AM33" s="47"/>
      <c r="AT33" s="58"/>
      <c r="AU33" s="59"/>
      <c r="AV33" s="59"/>
      <c r="AW33" s="60"/>
      <c r="AX33" s="48"/>
      <c r="AY33" s="49"/>
      <c r="AZ33" s="50"/>
      <c r="BA33" s="50"/>
      <c r="BB33" s="50"/>
      <c r="BC33" s="50"/>
      <c r="BD33" s="50"/>
      <c r="BE33" s="50"/>
      <c r="BF33" s="50"/>
      <c r="BG33" s="50"/>
      <c r="BH33" s="50"/>
      <c r="BI33" s="58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59"/>
      <c r="CC33" s="59"/>
      <c r="CD33" s="59"/>
      <c r="CE33" s="60"/>
      <c r="CF33" s="47"/>
      <c r="CL33" s="47"/>
    </row>
    <row r="34" spans="1:90" x14ac:dyDescent="0.25">
      <c r="A34" s="35" t="s">
        <v>44</v>
      </c>
      <c r="T34" s="47"/>
      <c r="AM34" s="47"/>
      <c r="AX34" s="48"/>
      <c r="AY34" s="49"/>
      <c r="AZ34" s="50"/>
      <c r="BA34" s="50"/>
      <c r="BB34" s="50"/>
      <c r="BC34" s="50"/>
      <c r="BD34" s="50"/>
      <c r="BE34" s="50"/>
      <c r="BF34" s="50"/>
      <c r="BG34" s="50"/>
      <c r="BH34" s="51"/>
      <c r="CF34" s="47"/>
      <c r="CL34" s="47"/>
    </row>
    <row r="35" spans="1:90" x14ac:dyDescent="0.25">
      <c r="A35" t="s">
        <v>45</v>
      </c>
      <c r="B35" s="36">
        <v>6</v>
      </c>
      <c r="C35" s="42">
        <v>45807</v>
      </c>
      <c r="D35" s="42">
        <f>C35+B35</f>
        <v>45813</v>
      </c>
      <c r="E35" s="36" t="s">
        <v>23</v>
      </c>
      <c r="T35" s="47"/>
      <c r="AM35" s="47"/>
      <c r="AX35" s="48"/>
      <c r="AY35" s="49"/>
      <c r="AZ35" s="50"/>
      <c r="BA35" s="50"/>
      <c r="BB35" s="50"/>
      <c r="BC35" s="50"/>
      <c r="BD35" s="50"/>
      <c r="BE35" s="50"/>
      <c r="BF35" s="50"/>
      <c r="BG35" s="50"/>
      <c r="BH35" s="51"/>
      <c r="CF35" s="47"/>
      <c r="CG35" s="58"/>
      <c r="CH35" s="59"/>
      <c r="CI35" s="59"/>
      <c r="CJ35" s="59"/>
      <c r="CK35" s="60"/>
      <c r="CL35" s="47"/>
    </row>
    <row r="36" spans="1:90" x14ac:dyDescent="0.25">
      <c r="A36" t="s">
        <v>46</v>
      </c>
      <c r="B36" s="36">
        <v>6</v>
      </c>
      <c r="C36" s="42">
        <v>45807</v>
      </c>
      <c r="D36" s="42">
        <f>C36+B36</f>
        <v>45813</v>
      </c>
      <c r="E36" s="36" t="s">
        <v>21</v>
      </c>
      <c r="T36" s="47"/>
      <c r="AM36" s="47"/>
      <c r="AX36" s="48"/>
      <c r="AY36" s="49"/>
      <c r="AZ36" s="50"/>
      <c r="BA36" s="50"/>
      <c r="BB36" s="50"/>
      <c r="BC36" s="50"/>
      <c r="BD36" s="50"/>
      <c r="BE36" s="50"/>
      <c r="BF36" s="50"/>
      <c r="BG36" s="50"/>
      <c r="BH36" s="51"/>
      <c r="CF36" s="47"/>
      <c r="CG36" s="58"/>
      <c r="CH36" s="59"/>
      <c r="CI36" s="59"/>
      <c r="CJ36" s="59"/>
      <c r="CK36" s="60"/>
      <c r="CL36" s="47"/>
    </row>
    <row r="37" spans="1:90" x14ac:dyDescent="0.25">
      <c r="A37" t="s">
        <v>47</v>
      </c>
      <c r="B37" s="36">
        <v>59</v>
      </c>
      <c r="C37" s="42">
        <v>45754</v>
      </c>
      <c r="D37" s="42">
        <f>C37+B37</f>
        <v>45813</v>
      </c>
      <c r="E37" s="36" t="s">
        <v>11</v>
      </c>
      <c r="T37" s="72"/>
      <c r="AM37" s="47"/>
      <c r="AT37" s="58"/>
      <c r="AU37" s="59"/>
      <c r="AV37" s="59"/>
      <c r="AW37" s="60"/>
      <c r="AX37" s="48"/>
      <c r="AY37" s="49"/>
      <c r="AZ37" s="50"/>
      <c r="BA37" s="50"/>
      <c r="BB37" s="50"/>
      <c r="BC37" s="50"/>
      <c r="BD37" s="50"/>
      <c r="BE37" s="50"/>
      <c r="BF37" s="50"/>
      <c r="BG37" s="50"/>
      <c r="BH37" s="50"/>
      <c r="BI37" s="58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59"/>
      <c r="CC37" s="59"/>
      <c r="CD37" s="59"/>
      <c r="CE37" s="60"/>
      <c r="CF37" s="72"/>
      <c r="CG37" s="58"/>
      <c r="CH37" s="59"/>
      <c r="CI37" s="59"/>
      <c r="CJ37" s="59"/>
      <c r="CK37" s="60"/>
      <c r="CL37" s="72"/>
    </row>
    <row r="38" spans="1:90" x14ac:dyDescent="0.25">
      <c r="AM38" s="73"/>
      <c r="AX38" s="74"/>
      <c r="AY38" s="74"/>
      <c r="AZ38" s="75"/>
      <c r="BA38" s="75"/>
      <c r="BB38" s="75"/>
      <c r="BC38" s="75"/>
      <c r="BD38" s="75"/>
      <c r="BE38" s="75"/>
      <c r="BF38" s="75"/>
      <c r="BG38" s="75"/>
      <c r="BH38" s="76"/>
    </row>
  </sheetData>
  <mergeCells count="22">
    <mergeCell ref="BS1:BW1"/>
    <mergeCell ref="BX1:CB1"/>
    <mergeCell ref="CC1:CG1"/>
    <mergeCell ref="CH1:CL1"/>
    <mergeCell ref="AO1:AS1"/>
    <mergeCell ref="AT1:AX1"/>
    <mergeCell ref="AY1:BC1"/>
    <mergeCell ref="BD1:BH1"/>
    <mergeCell ref="BI1:BM1"/>
    <mergeCell ref="BN1:BR1"/>
    <mergeCell ref="AJ1:AN1"/>
    <mergeCell ref="A1:A2"/>
    <mergeCell ref="B1:B2"/>
    <mergeCell ref="C1:C2"/>
    <mergeCell ref="D1:D2"/>
    <mergeCell ref="E1:E2"/>
    <mergeCell ref="F1:J1"/>
    <mergeCell ref="K1:O1"/>
    <mergeCell ref="P1:T1"/>
    <mergeCell ref="U1:Y1"/>
    <mergeCell ref="Z1:AD1"/>
    <mergeCell ref="AE1:AI1"/>
  </mergeCells>
  <pageMargins left="0.25" right="0.25" top="0.75" bottom="0.75" header="0.3" footer="0.3"/>
  <pageSetup paperSize="5" scale="5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L20"/>
  <sheetViews>
    <sheetView workbookViewId="0">
      <selection activeCell="I11" sqref="I11"/>
    </sheetView>
    <sheetView workbookViewId="1"/>
  </sheetViews>
  <sheetFormatPr baseColWidth="10" defaultColWidth="10.140625" defaultRowHeight="14.45" customHeight="1" x14ac:dyDescent="0.25"/>
  <cols>
    <col min="2" max="2" width="12.28515625" bestFit="1" customWidth="1"/>
    <col min="3" max="3" width="17.42578125" customWidth="1"/>
    <col min="4" max="4" width="22.42578125" customWidth="1"/>
    <col min="5" max="5" width="23.42578125" customWidth="1"/>
    <col min="8" max="8" width="12.85546875" bestFit="1" customWidth="1"/>
    <col min="9" max="9" width="12.28515625" bestFit="1" customWidth="1"/>
    <col min="11" max="11" width="12.28515625" bestFit="1" customWidth="1"/>
  </cols>
  <sheetData>
    <row r="4" spans="1:12" ht="14.45" customHeight="1" x14ac:dyDescent="0.25">
      <c r="A4" t="s">
        <v>51</v>
      </c>
      <c r="B4" s="1">
        <v>40000</v>
      </c>
      <c r="C4" s="1" t="s">
        <v>52</v>
      </c>
      <c r="D4" s="1"/>
      <c r="E4" s="1" t="s">
        <v>53</v>
      </c>
      <c r="F4" s="1">
        <v>287.05005999999997</v>
      </c>
      <c r="G4" s="1"/>
      <c r="H4" s="1"/>
      <c r="I4" s="1"/>
      <c r="K4" s="1"/>
      <c r="L4" s="1"/>
    </row>
    <row r="5" spans="1:12" ht="14.45" customHeight="1" x14ac:dyDescent="0.25">
      <c r="A5" s="1" t="s">
        <v>54</v>
      </c>
      <c r="B5" s="1">
        <v>18800</v>
      </c>
      <c r="C5" s="1" t="s">
        <v>55</v>
      </c>
      <c r="D5" s="1"/>
      <c r="E5" s="1"/>
      <c r="F5" s="1"/>
      <c r="G5" s="1"/>
      <c r="H5" s="1"/>
      <c r="I5" s="1"/>
      <c r="J5" s="1"/>
      <c r="K5" s="1"/>
      <c r="L5" s="1"/>
    </row>
    <row r="6" spans="1:12" ht="14.45" customHeight="1" x14ac:dyDescent="0.25">
      <c r="A6" s="1" t="s">
        <v>56</v>
      </c>
      <c r="B6" s="1">
        <v>216.65</v>
      </c>
      <c r="C6" s="1" t="s">
        <v>57</v>
      </c>
      <c r="D6" s="1"/>
      <c r="E6" s="1"/>
      <c r="F6" s="1"/>
      <c r="G6" s="1"/>
      <c r="H6" s="1"/>
      <c r="I6" s="1"/>
      <c r="J6" s="1"/>
      <c r="K6" s="1"/>
    </row>
    <row r="7" spans="1:12" ht="15" x14ac:dyDescent="0.25">
      <c r="A7" s="1" t="s">
        <v>58</v>
      </c>
      <c r="B7" s="1">
        <v>1.8</v>
      </c>
      <c r="C7" s="1"/>
      <c r="D7" s="1"/>
      <c r="E7" s="1"/>
      <c r="F7" s="1"/>
      <c r="G7" s="1"/>
      <c r="H7" s="1" t="s">
        <v>59</v>
      </c>
      <c r="I7" s="2">
        <v>125880.2262</v>
      </c>
      <c r="J7" s="1" t="s">
        <v>60</v>
      </c>
      <c r="K7" s="2">
        <v>125.8802262</v>
      </c>
      <c r="L7" s="1" t="s">
        <v>61</v>
      </c>
    </row>
    <row r="8" spans="1:12" ht="15" x14ac:dyDescent="0.25">
      <c r="A8" s="1" t="s">
        <v>62</v>
      </c>
      <c r="B8" s="1">
        <v>294.75308639999997</v>
      </c>
      <c r="C8" s="1" t="s">
        <v>63</v>
      </c>
      <c r="D8" s="1"/>
      <c r="E8" s="1"/>
      <c r="F8" s="1"/>
      <c r="G8" s="1"/>
      <c r="H8" s="1" t="s">
        <v>64</v>
      </c>
      <c r="I8" s="2">
        <v>0.20941542199999999</v>
      </c>
      <c r="J8" s="1" t="s">
        <v>65</v>
      </c>
      <c r="K8" s="1"/>
      <c r="L8" s="1"/>
    </row>
    <row r="9" spans="1:12" ht="15" x14ac:dyDescent="0.25">
      <c r="A9" s="1" t="s">
        <v>66</v>
      </c>
      <c r="B9" s="1">
        <v>530.55555560000005</v>
      </c>
      <c r="C9" s="1" t="s">
        <v>63</v>
      </c>
      <c r="D9" s="1"/>
      <c r="E9" s="1"/>
      <c r="F9" s="1"/>
      <c r="G9" s="1"/>
      <c r="H9" s="1"/>
      <c r="I9" s="1"/>
      <c r="J9" s="1"/>
      <c r="K9" s="1"/>
      <c r="L9" s="1"/>
    </row>
    <row r="10" spans="1:12" ht="15" x14ac:dyDescent="0.25">
      <c r="A10" s="1" t="s">
        <v>67</v>
      </c>
      <c r="B10" s="1">
        <v>0.30230234299999997</v>
      </c>
      <c r="C10" s="1" t="s">
        <v>68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5" x14ac:dyDescent="0.25">
      <c r="A11" s="1" t="s">
        <v>69</v>
      </c>
      <c r="B11" s="1">
        <v>1.0900000000000001</v>
      </c>
      <c r="C11" s="1" t="s">
        <v>70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5" x14ac:dyDescent="0.25">
      <c r="A12" s="1" t="s">
        <v>71</v>
      </c>
      <c r="B12" s="1">
        <v>0.93313155800000003</v>
      </c>
      <c r="C12" s="1" t="s">
        <v>72</v>
      </c>
      <c r="D12" s="1"/>
      <c r="E12" s="1"/>
      <c r="F12" s="1"/>
      <c r="G12" s="1"/>
      <c r="H12" s="1"/>
      <c r="I12" s="1"/>
      <c r="J12" s="1"/>
      <c r="K12" s="1"/>
      <c r="L12" s="1"/>
    </row>
    <row r="13" spans="1:12" ht="15" x14ac:dyDescent="0.25">
      <c r="A13" s="1" t="s">
        <v>73</v>
      </c>
      <c r="B13" s="1">
        <v>149.66327960000001</v>
      </c>
      <c r="C13" s="1" t="s">
        <v>65</v>
      </c>
      <c r="D13" s="1"/>
      <c r="E13" s="1"/>
      <c r="F13" s="1"/>
      <c r="G13" s="1"/>
      <c r="H13" s="1"/>
      <c r="I13" s="1"/>
      <c r="J13" s="1"/>
      <c r="K13" s="1"/>
      <c r="L13" s="1"/>
    </row>
    <row r="14" spans="1:12" ht="15" x14ac:dyDescent="0.25">
      <c r="A14" s="1"/>
      <c r="B14" s="1"/>
      <c r="C14" s="1"/>
      <c r="D14" s="1"/>
      <c r="E14" s="1"/>
      <c r="F14" s="1"/>
      <c r="G14" s="1"/>
      <c r="H14" s="126" t="s">
        <v>74</v>
      </c>
      <c r="I14" s="126"/>
      <c r="J14" s="126"/>
      <c r="K14" s="1"/>
      <c r="L14" s="1"/>
    </row>
    <row r="15" spans="1:12" ht="15" x14ac:dyDescent="0.25">
      <c r="A15" s="1" t="s">
        <v>75</v>
      </c>
      <c r="B15" s="1">
        <v>1.17</v>
      </c>
      <c r="C15" s="1" t="s">
        <v>70</v>
      </c>
      <c r="D15" s="1"/>
      <c r="E15" s="1"/>
      <c r="F15" s="1"/>
      <c r="G15" s="1"/>
      <c r="H15" s="126"/>
      <c r="I15" s="126"/>
      <c r="J15" s="126"/>
      <c r="K15" s="1"/>
      <c r="L15" s="1"/>
    </row>
    <row r="16" spans="1:12" ht="15" x14ac:dyDescent="0.25">
      <c r="A16" s="1" t="s">
        <v>76</v>
      </c>
      <c r="B16" s="1">
        <v>1.0751315459999999</v>
      </c>
      <c r="C16" s="1" t="s">
        <v>72</v>
      </c>
      <c r="D16" s="1"/>
      <c r="E16" s="1"/>
      <c r="F16" s="1"/>
      <c r="G16" s="1"/>
      <c r="H16" s="126"/>
      <c r="I16" s="126"/>
      <c r="J16" s="126"/>
      <c r="K16" s="1"/>
      <c r="L16" s="1"/>
    </row>
    <row r="17" spans="1:12" ht="15" x14ac:dyDescent="0.25">
      <c r="A17" s="1" t="s">
        <v>77</v>
      </c>
      <c r="B17" s="1">
        <v>18800</v>
      </c>
      <c r="C17" s="1" t="s">
        <v>55</v>
      </c>
      <c r="D17" s="127" t="s">
        <v>78</v>
      </c>
      <c r="E17" s="127"/>
      <c r="F17" s="127"/>
      <c r="G17" s="1"/>
      <c r="H17" s="126"/>
      <c r="I17" s="126"/>
      <c r="J17" s="126"/>
      <c r="K17" s="1"/>
      <c r="L17" s="1"/>
    </row>
    <row r="18" spans="1:12" ht="14.45" customHeight="1" x14ac:dyDescent="0.25">
      <c r="A18" s="1" t="s">
        <v>79</v>
      </c>
      <c r="B18" s="3">
        <v>1100</v>
      </c>
      <c r="C18" s="1" t="s">
        <v>63</v>
      </c>
      <c r="D18" s="127" t="s">
        <v>80</v>
      </c>
      <c r="E18" s="127"/>
      <c r="F18" s="127"/>
      <c r="G18" s="1"/>
      <c r="H18" s="126"/>
      <c r="I18" s="126"/>
      <c r="J18" s="126"/>
      <c r="K18" s="1"/>
      <c r="L18" s="1"/>
    </row>
    <row r="19" spans="1:12" ht="14.45" customHeight="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ht="14.45" customHeight="1" x14ac:dyDescent="0.25">
      <c r="A20" s="1" t="s">
        <v>48</v>
      </c>
      <c r="B20" s="1">
        <v>0.6</v>
      </c>
      <c r="C20" s="1" t="s">
        <v>81</v>
      </c>
      <c r="D20" s="1">
        <v>1.632E-5</v>
      </c>
      <c r="E20" s="1" t="s">
        <v>82</v>
      </c>
      <c r="F20" s="1"/>
      <c r="G20" s="1"/>
      <c r="H20" s="1"/>
      <c r="I20" s="1"/>
      <c r="J20" s="1"/>
      <c r="K20" s="1"/>
      <c r="L20" s="1"/>
    </row>
  </sheetData>
  <mergeCells count="3">
    <mergeCell ref="H14:J18"/>
    <mergeCell ref="D17:F17"/>
    <mergeCell ref="D18:F18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&amp;C&amp;"Noto Serif,Regular"&amp;12&amp;Kffffff&amp;A</oddHeader>
    <oddFooter>&amp;C&amp;"Noto Serif,Regular"&amp;12&amp;KffffffPage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3F1B-FC17-4C11-BAAD-9B5EF2226002}">
  <sheetPr>
    <tabColor theme="5"/>
  </sheetPr>
  <dimension ref="A1:Y132"/>
  <sheetViews>
    <sheetView tabSelected="1" topLeftCell="A92" zoomScale="84" zoomScaleNormal="80" workbookViewId="0">
      <selection activeCell="D86" sqref="D86"/>
    </sheetView>
    <sheetView workbookViewId="1"/>
  </sheetViews>
  <sheetFormatPr baseColWidth="10" defaultRowHeight="15" x14ac:dyDescent="0.25"/>
  <cols>
    <col min="1" max="1" width="24.140625" customWidth="1"/>
    <col min="3" max="3" width="11.42578125" style="130"/>
    <col min="4" max="4" width="11.42578125" style="88"/>
  </cols>
  <sheetData>
    <row r="1" spans="1:25" x14ac:dyDescent="0.25">
      <c r="A1" s="87" t="s">
        <v>115</v>
      </c>
    </row>
    <row r="2" spans="1:25" x14ac:dyDescent="0.25">
      <c r="A2" t="s">
        <v>116</v>
      </c>
      <c r="B2">
        <v>11500</v>
      </c>
      <c r="C2" s="130">
        <v>11500</v>
      </c>
      <c r="D2" s="88">
        <v>11500</v>
      </c>
      <c r="E2">
        <v>11500</v>
      </c>
      <c r="F2">
        <v>11500</v>
      </c>
      <c r="G2">
        <v>11500</v>
      </c>
      <c r="H2">
        <v>11500</v>
      </c>
      <c r="I2">
        <v>11500</v>
      </c>
      <c r="J2">
        <v>11500</v>
      </c>
      <c r="K2">
        <v>11500</v>
      </c>
      <c r="L2">
        <v>11500</v>
      </c>
      <c r="M2">
        <v>11500</v>
      </c>
      <c r="N2">
        <v>11500</v>
      </c>
      <c r="O2">
        <v>11500</v>
      </c>
      <c r="P2">
        <v>11500</v>
      </c>
      <c r="Q2">
        <v>11500</v>
      </c>
      <c r="R2">
        <v>11500</v>
      </c>
      <c r="S2">
        <v>11500</v>
      </c>
      <c r="T2">
        <v>11500</v>
      </c>
      <c r="U2">
        <v>11500</v>
      </c>
      <c r="V2">
        <v>11500</v>
      </c>
      <c r="W2">
        <v>11500</v>
      </c>
      <c r="X2">
        <v>11500</v>
      </c>
      <c r="Y2">
        <v>11500</v>
      </c>
    </row>
    <row r="3" spans="1:25" x14ac:dyDescent="0.25">
      <c r="A3" t="s">
        <v>117</v>
      </c>
      <c r="B3">
        <v>0.33629999999999999</v>
      </c>
      <c r="C3" s="130">
        <v>0.33629999999999999</v>
      </c>
      <c r="D3" s="88">
        <v>0.33629999999999999</v>
      </c>
      <c r="E3">
        <v>0.33629999999999999</v>
      </c>
      <c r="F3">
        <v>0.33629999999999999</v>
      </c>
      <c r="G3">
        <v>0.33629999999999999</v>
      </c>
      <c r="H3">
        <v>0.33629999999999999</v>
      </c>
      <c r="I3">
        <v>0.33629999999999999</v>
      </c>
      <c r="J3">
        <v>0.33629999999999999</v>
      </c>
      <c r="K3">
        <v>0.33629999999999999</v>
      </c>
      <c r="L3">
        <v>0.33629999999999999</v>
      </c>
      <c r="M3">
        <v>0.33629999999999999</v>
      </c>
      <c r="N3">
        <v>0.33629999999999999</v>
      </c>
      <c r="O3">
        <v>0.33629999999999999</v>
      </c>
      <c r="P3">
        <v>0.33629999999999999</v>
      </c>
      <c r="Q3">
        <v>0.33629999999999999</v>
      </c>
      <c r="R3">
        <v>0.33629999999999999</v>
      </c>
      <c r="S3">
        <v>0.33629999999999999</v>
      </c>
      <c r="T3">
        <v>0.33629999999999999</v>
      </c>
      <c r="U3">
        <v>0.33629999999999999</v>
      </c>
      <c r="V3">
        <v>0.33629999999999999</v>
      </c>
      <c r="W3">
        <v>0.33629999999999999</v>
      </c>
      <c r="X3">
        <v>0.33629999999999999</v>
      </c>
      <c r="Y3">
        <v>0.33629999999999999</v>
      </c>
    </row>
    <row r="4" spans="1:25" x14ac:dyDescent="0.25">
      <c r="A4" t="s">
        <v>118</v>
      </c>
      <c r="B4">
        <f>20916.1922473388/1000</f>
        <v>20.916192247338799</v>
      </c>
      <c r="C4" s="130">
        <v>10</v>
      </c>
      <c r="D4" s="88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  <c r="M4">
        <v>10</v>
      </c>
      <c r="N4">
        <v>10</v>
      </c>
      <c r="O4">
        <v>10</v>
      </c>
      <c r="P4">
        <v>10</v>
      </c>
      <c r="Q4">
        <v>10</v>
      </c>
      <c r="R4">
        <v>10</v>
      </c>
      <c r="S4">
        <v>10</v>
      </c>
      <c r="T4">
        <v>10</v>
      </c>
      <c r="U4">
        <v>10</v>
      </c>
      <c r="V4">
        <v>10</v>
      </c>
      <c r="W4">
        <v>10</v>
      </c>
      <c r="X4">
        <v>10</v>
      </c>
      <c r="Y4">
        <v>10</v>
      </c>
    </row>
    <row r="5" spans="1:25" x14ac:dyDescent="0.25">
      <c r="A5" t="s">
        <v>83</v>
      </c>
      <c r="B5">
        <v>216.65</v>
      </c>
      <c r="C5" s="130">
        <v>223</v>
      </c>
      <c r="D5" s="88">
        <v>223</v>
      </c>
      <c r="E5">
        <v>223</v>
      </c>
      <c r="F5">
        <v>223</v>
      </c>
      <c r="G5">
        <v>223</v>
      </c>
      <c r="H5">
        <v>223</v>
      </c>
      <c r="I5">
        <v>223</v>
      </c>
      <c r="J5">
        <v>223</v>
      </c>
      <c r="K5">
        <v>223</v>
      </c>
      <c r="L5">
        <v>223</v>
      </c>
      <c r="M5">
        <v>223</v>
      </c>
      <c r="N5">
        <v>223</v>
      </c>
      <c r="O5">
        <v>223</v>
      </c>
      <c r="P5">
        <v>223</v>
      </c>
      <c r="Q5">
        <v>223</v>
      </c>
      <c r="R5">
        <v>223</v>
      </c>
      <c r="S5">
        <v>223</v>
      </c>
      <c r="T5">
        <v>223</v>
      </c>
      <c r="U5">
        <v>223</v>
      </c>
      <c r="V5">
        <v>223</v>
      </c>
      <c r="W5">
        <v>223</v>
      </c>
      <c r="X5">
        <v>223</v>
      </c>
      <c r="Y5">
        <v>223</v>
      </c>
    </row>
    <row r="6" spans="1:25" x14ac:dyDescent="0.25">
      <c r="A6" t="s">
        <v>58</v>
      </c>
      <c r="B6">
        <v>1.8</v>
      </c>
      <c r="C6" s="130">
        <v>2</v>
      </c>
      <c r="D6" s="88">
        <v>2</v>
      </c>
      <c r="E6">
        <v>2</v>
      </c>
      <c r="F6">
        <v>2</v>
      </c>
      <c r="G6">
        <v>2</v>
      </c>
      <c r="H6">
        <v>2</v>
      </c>
      <c r="I6">
        <v>2</v>
      </c>
      <c r="J6">
        <v>2</v>
      </c>
      <c r="K6">
        <v>2</v>
      </c>
      <c r="L6">
        <v>2</v>
      </c>
      <c r="M6">
        <v>2</v>
      </c>
      <c r="N6">
        <v>2</v>
      </c>
      <c r="O6">
        <v>2</v>
      </c>
      <c r="P6">
        <v>2</v>
      </c>
      <c r="Q6">
        <v>2</v>
      </c>
      <c r="R6">
        <v>2</v>
      </c>
      <c r="S6">
        <v>2</v>
      </c>
      <c r="T6">
        <v>2</v>
      </c>
      <c r="U6">
        <v>2</v>
      </c>
      <c r="V6">
        <v>2</v>
      </c>
      <c r="W6">
        <v>2</v>
      </c>
      <c r="X6">
        <v>2</v>
      </c>
      <c r="Y6">
        <v>2</v>
      </c>
    </row>
    <row r="7" spans="1:25" x14ac:dyDescent="0.25">
      <c r="A7" t="s">
        <v>119</v>
      </c>
      <c r="B7">
        <f>SQRT(($B$12-1)*$B$11*1000*B5)</f>
        <v>294.96887971445392</v>
      </c>
      <c r="C7" s="130">
        <f t="shared" ref="C7:Y7" si="0">SQRT(($B$12-1)*$B$11*1000*C5)</f>
        <v>299.26042170657979</v>
      </c>
      <c r="D7" s="88">
        <f t="shared" si="0"/>
        <v>299.26042170657979</v>
      </c>
      <c r="E7">
        <f t="shared" si="0"/>
        <v>299.26042170657979</v>
      </c>
      <c r="F7">
        <f t="shared" si="0"/>
        <v>299.26042170657979</v>
      </c>
      <c r="G7">
        <f t="shared" si="0"/>
        <v>299.26042170657979</v>
      </c>
      <c r="H7">
        <f t="shared" si="0"/>
        <v>299.26042170657979</v>
      </c>
      <c r="I7">
        <f t="shared" si="0"/>
        <v>299.26042170657979</v>
      </c>
      <c r="J7">
        <f t="shared" si="0"/>
        <v>299.26042170657979</v>
      </c>
      <c r="K7">
        <f t="shared" si="0"/>
        <v>299.26042170657979</v>
      </c>
      <c r="L7">
        <f t="shared" si="0"/>
        <v>299.26042170657979</v>
      </c>
      <c r="M7">
        <f t="shared" si="0"/>
        <v>299.26042170657979</v>
      </c>
      <c r="N7">
        <f t="shared" si="0"/>
        <v>299.26042170657979</v>
      </c>
      <c r="O7">
        <f t="shared" si="0"/>
        <v>299.26042170657979</v>
      </c>
      <c r="P7">
        <f t="shared" si="0"/>
        <v>299.26042170657979</v>
      </c>
      <c r="Q7">
        <f t="shared" si="0"/>
        <v>299.26042170657979</v>
      </c>
      <c r="R7">
        <f t="shared" si="0"/>
        <v>299.26042170657979</v>
      </c>
      <c r="S7">
        <f t="shared" si="0"/>
        <v>299.26042170657979</v>
      </c>
      <c r="T7">
        <f t="shared" si="0"/>
        <v>299.26042170657979</v>
      </c>
      <c r="U7">
        <f t="shared" si="0"/>
        <v>299.26042170657979</v>
      </c>
      <c r="V7">
        <f t="shared" si="0"/>
        <v>299.26042170657979</v>
      </c>
      <c r="W7">
        <f t="shared" si="0"/>
        <v>299.26042170657979</v>
      </c>
      <c r="X7">
        <f t="shared" si="0"/>
        <v>299.26042170657979</v>
      </c>
      <c r="Y7">
        <f t="shared" si="0"/>
        <v>299.26042170657979</v>
      </c>
    </row>
    <row r="8" spans="1:25" x14ac:dyDescent="0.25">
      <c r="A8" t="s">
        <v>120</v>
      </c>
      <c r="B8">
        <f>B7*B6</f>
        <v>530.94398348601703</v>
      </c>
      <c r="C8" s="130">
        <f>C7*C6</f>
        <v>598.52084341315958</v>
      </c>
      <c r="D8" s="88">
        <f t="shared" ref="D8:Y8" si="1">D7*D6</f>
        <v>598.52084341315958</v>
      </c>
      <c r="E8">
        <f t="shared" si="1"/>
        <v>598.52084341315958</v>
      </c>
      <c r="F8">
        <f t="shared" si="1"/>
        <v>598.52084341315958</v>
      </c>
      <c r="G8">
        <f t="shared" si="1"/>
        <v>598.52084341315958</v>
      </c>
      <c r="H8">
        <f t="shared" si="1"/>
        <v>598.52084341315958</v>
      </c>
      <c r="I8">
        <f t="shared" si="1"/>
        <v>598.52084341315958</v>
      </c>
      <c r="J8">
        <f t="shared" si="1"/>
        <v>598.52084341315958</v>
      </c>
      <c r="K8">
        <f t="shared" si="1"/>
        <v>598.52084341315958</v>
      </c>
      <c r="L8">
        <f t="shared" si="1"/>
        <v>598.52084341315958</v>
      </c>
      <c r="M8">
        <f t="shared" si="1"/>
        <v>598.52084341315958</v>
      </c>
      <c r="N8">
        <f t="shared" si="1"/>
        <v>598.52084341315958</v>
      </c>
      <c r="O8">
        <f t="shared" si="1"/>
        <v>598.52084341315958</v>
      </c>
      <c r="P8">
        <f t="shared" si="1"/>
        <v>598.52084341315958</v>
      </c>
      <c r="Q8">
        <f t="shared" si="1"/>
        <v>598.52084341315958</v>
      </c>
      <c r="R8">
        <f t="shared" si="1"/>
        <v>598.52084341315958</v>
      </c>
      <c r="S8">
        <f t="shared" si="1"/>
        <v>598.52084341315958</v>
      </c>
      <c r="T8">
        <f t="shared" si="1"/>
        <v>598.52084341315958</v>
      </c>
      <c r="U8">
        <f t="shared" si="1"/>
        <v>598.52084341315958</v>
      </c>
      <c r="V8">
        <f t="shared" si="1"/>
        <v>598.52084341315958</v>
      </c>
      <c r="W8">
        <f t="shared" si="1"/>
        <v>598.52084341315958</v>
      </c>
      <c r="X8">
        <f t="shared" si="1"/>
        <v>598.52084341315958</v>
      </c>
      <c r="Y8">
        <f t="shared" si="1"/>
        <v>598.52084341315958</v>
      </c>
    </row>
    <row r="9" spans="1:25" x14ac:dyDescent="0.25">
      <c r="A9" t="s">
        <v>183</v>
      </c>
      <c r="B9" s="82">
        <v>80</v>
      </c>
      <c r="C9" s="131">
        <v>50</v>
      </c>
      <c r="D9" s="89">
        <v>80</v>
      </c>
      <c r="E9" s="82">
        <v>50</v>
      </c>
      <c r="F9" s="82">
        <v>50</v>
      </c>
      <c r="G9" s="82">
        <v>50</v>
      </c>
      <c r="H9" s="82">
        <v>50</v>
      </c>
      <c r="I9" s="82">
        <v>50</v>
      </c>
      <c r="J9" s="82">
        <v>50</v>
      </c>
      <c r="K9" s="82">
        <v>50</v>
      </c>
      <c r="L9" s="82">
        <v>50</v>
      </c>
      <c r="M9" s="82">
        <v>50</v>
      </c>
      <c r="N9" s="82">
        <v>50</v>
      </c>
      <c r="O9" s="82">
        <v>50</v>
      </c>
      <c r="P9" s="82">
        <v>50</v>
      </c>
      <c r="Q9" s="82">
        <v>50</v>
      </c>
      <c r="R9" s="82">
        <v>50</v>
      </c>
      <c r="S9" s="82">
        <v>50</v>
      </c>
      <c r="T9" s="82">
        <v>50</v>
      </c>
      <c r="U9" s="82">
        <v>50</v>
      </c>
      <c r="V9" s="82">
        <v>50</v>
      </c>
      <c r="W9" s="82">
        <v>50</v>
      </c>
      <c r="X9" s="82">
        <v>50</v>
      </c>
      <c r="Y9" s="82">
        <v>50</v>
      </c>
    </row>
    <row r="10" spans="1:25" x14ac:dyDescent="0.25">
      <c r="A10" t="s">
        <v>181</v>
      </c>
      <c r="B10">
        <f>B11*B5</f>
        <v>217.51660000000001</v>
      </c>
      <c r="C10" s="130">
        <f t="shared" ref="C10:Y10" si="2">C11*C5</f>
        <v>223.892</v>
      </c>
      <c r="D10" s="88">
        <f t="shared" si="2"/>
        <v>223.892</v>
      </c>
      <c r="E10">
        <f t="shared" si="2"/>
        <v>223.892</v>
      </c>
      <c r="F10">
        <f t="shared" si="2"/>
        <v>223.892</v>
      </c>
      <c r="G10">
        <f t="shared" si="2"/>
        <v>223.892</v>
      </c>
      <c r="H10">
        <f t="shared" si="2"/>
        <v>223.892</v>
      </c>
      <c r="I10">
        <f t="shared" si="2"/>
        <v>223.892</v>
      </c>
      <c r="J10">
        <f t="shared" si="2"/>
        <v>223.892</v>
      </c>
      <c r="K10">
        <f t="shared" si="2"/>
        <v>223.892</v>
      </c>
      <c r="L10">
        <f t="shared" si="2"/>
        <v>223.892</v>
      </c>
      <c r="M10">
        <f t="shared" si="2"/>
        <v>223.892</v>
      </c>
      <c r="N10">
        <f t="shared" si="2"/>
        <v>223.892</v>
      </c>
      <c r="O10">
        <f t="shared" si="2"/>
        <v>223.892</v>
      </c>
      <c r="P10">
        <f t="shared" si="2"/>
        <v>223.892</v>
      </c>
      <c r="Q10">
        <f t="shared" si="2"/>
        <v>223.892</v>
      </c>
      <c r="R10">
        <f t="shared" si="2"/>
        <v>223.892</v>
      </c>
      <c r="S10">
        <f t="shared" si="2"/>
        <v>223.892</v>
      </c>
      <c r="T10">
        <f t="shared" si="2"/>
        <v>223.892</v>
      </c>
      <c r="U10">
        <f t="shared" si="2"/>
        <v>223.892</v>
      </c>
      <c r="V10">
        <f t="shared" si="2"/>
        <v>223.892</v>
      </c>
      <c r="W10">
        <f t="shared" si="2"/>
        <v>223.892</v>
      </c>
      <c r="X10">
        <f t="shared" si="2"/>
        <v>223.892</v>
      </c>
      <c r="Y10">
        <f t="shared" si="2"/>
        <v>223.892</v>
      </c>
    </row>
    <row r="11" spans="1:25" x14ac:dyDescent="0.25">
      <c r="A11" t="s">
        <v>121</v>
      </c>
      <c r="B11">
        <v>1.004</v>
      </c>
      <c r="C11" s="130">
        <v>1.004</v>
      </c>
      <c r="D11" s="88">
        <v>1.004</v>
      </c>
      <c r="E11">
        <v>1.004</v>
      </c>
      <c r="F11">
        <v>1.004</v>
      </c>
      <c r="G11">
        <v>1.004</v>
      </c>
      <c r="H11">
        <v>1.004</v>
      </c>
      <c r="I11">
        <v>1.004</v>
      </c>
      <c r="J11">
        <v>1.004</v>
      </c>
      <c r="K11">
        <v>1.004</v>
      </c>
      <c r="L11">
        <v>1.004</v>
      </c>
      <c r="M11">
        <v>1.004</v>
      </c>
      <c r="N11">
        <v>1.004</v>
      </c>
      <c r="O11">
        <v>1.004</v>
      </c>
      <c r="P11">
        <v>1.004</v>
      </c>
      <c r="Q11">
        <v>1.004</v>
      </c>
      <c r="R11">
        <v>1.004</v>
      </c>
      <c r="S11">
        <v>1.004</v>
      </c>
      <c r="T11">
        <v>1.004</v>
      </c>
      <c r="U11">
        <v>1.004</v>
      </c>
      <c r="V11">
        <v>1.004</v>
      </c>
      <c r="W11">
        <v>1.004</v>
      </c>
      <c r="X11">
        <v>1.004</v>
      </c>
      <c r="Y11">
        <v>1.004</v>
      </c>
    </row>
    <row r="12" spans="1:25" x14ac:dyDescent="0.25">
      <c r="A12" s="77" t="s">
        <v>129</v>
      </c>
      <c r="B12">
        <v>1.4</v>
      </c>
      <c r="C12" s="130">
        <v>1.4</v>
      </c>
      <c r="D12" s="88">
        <v>1.4</v>
      </c>
      <c r="E12">
        <v>1.4</v>
      </c>
      <c r="F12">
        <v>1.4</v>
      </c>
      <c r="G12">
        <v>1.4</v>
      </c>
      <c r="H12">
        <v>1.4</v>
      </c>
      <c r="I12">
        <v>1.4</v>
      </c>
      <c r="J12">
        <v>1.4</v>
      </c>
      <c r="K12">
        <v>1.4</v>
      </c>
      <c r="L12">
        <v>1.4</v>
      </c>
      <c r="M12">
        <v>1.4</v>
      </c>
      <c r="N12">
        <v>1.4</v>
      </c>
      <c r="O12">
        <v>1.4</v>
      </c>
      <c r="P12">
        <v>1.4</v>
      </c>
      <c r="Q12">
        <v>1.4</v>
      </c>
      <c r="R12">
        <v>1.4</v>
      </c>
      <c r="S12">
        <v>1.4</v>
      </c>
      <c r="T12">
        <v>1.4</v>
      </c>
      <c r="U12">
        <v>1.4</v>
      </c>
      <c r="V12">
        <v>1.4</v>
      </c>
      <c r="W12">
        <v>1.4</v>
      </c>
      <c r="X12">
        <v>1.4</v>
      </c>
      <c r="Y12">
        <v>1.4</v>
      </c>
    </row>
    <row r="13" spans="1:25" x14ac:dyDescent="0.25">
      <c r="A13" s="77" t="s">
        <v>159</v>
      </c>
      <c r="B13">
        <v>1.1519999999999999</v>
      </c>
      <c r="C13" s="130">
        <v>1.1519999999999999</v>
      </c>
      <c r="D13" s="88">
        <v>1.1519999999999999</v>
      </c>
      <c r="E13">
        <v>1.1519999999999999</v>
      </c>
      <c r="F13">
        <v>1.1519999999999999</v>
      </c>
      <c r="G13">
        <v>1.1519999999999999</v>
      </c>
      <c r="H13">
        <v>1.1519999999999999</v>
      </c>
      <c r="I13">
        <v>1.1519999999999999</v>
      </c>
      <c r="J13">
        <v>1.1519999999999999</v>
      </c>
      <c r="K13">
        <v>1.1519999999999999</v>
      </c>
      <c r="L13">
        <v>1.1519999999999999</v>
      </c>
      <c r="M13">
        <v>1.1519999999999999</v>
      </c>
      <c r="N13">
        <v>1.1519999999999999</v>
      </c>
      <c r="O13">
        <v>1.1519999999999999</v>
      </c>
      <c r="P13">
        <v>1.1519999999999999</v>
      </c>
      <c r="Q13">
        <v>1.1519999999999999</v>
      </c>
      <c r="R13">
        <v>1.1519999999999999</v>
      </c>
      <c r="S13">
        <v>1.1519999999999999</v>
      </c>
      <c r="T13">
        <v>1.1519999999999999</v>
      </c>
      <c r="U13">
        <v>1.1519999999999999</v>
      </c>
      <c r="V13">
        <v>1.1519999999999999</v>
      </c>
      <c r="W13">
        <v>1.1519999999999999</v>
      </c>
      <c r="X13">
        <v>1.1519999999999999</v>
      </c>
      <c r="Y13">
        <v>1.1519999999999999</v>
      </c>
    </row>
    <row r="14" spans="1:25" x14ac:dyDescent="0.25">
      <c r="A14" s="77" t="s">
        <v>160</v>
      </c>
      <c r="B14">
        <v>1.33</v>
      </c>
      <c r="C14" s="130">
        <v>1.33</v>
      </c>
      <c r="D14" s="88">
        <v>1.33</v>
      </c>
      <c r="E14">
        <v>1.33</v>
      </c>
      <c r="F14">
        <v>1.33</v>
      </c>
      <c r="G14">
        <v>1.33</v>
      </c>
      <c r="H14">
        <v>1.33</v>
      </c>
      <c r="I14">
        <v>1.33</v>
      </c>
      <c r="J14">
        <v>1.33</v>
      </c>
      <c r="K14">
        <v>1.33</v>
      </c>
      <c r="L14">
        <v>1.33</v>
      </c>
      <c r="M14">
        <v>1.33</v>
      </c>
      <c r="N14">
        <v>1.33</v>
      </c>
      <c r="O14">
        <v>1.33</v>
      </c>
      <c r="P14">
        <v>1.33</v>
      </c>
      <c r="Q14">
        <v>1.33</v>
      </c>
      <c r="R14">
        <v>1.33</v>
      </c>
      <c r="S14">
        <v>1.33</v>
      </c>
      <c r="T14">
        <v>1.33</v>
      </c>
      <c r="U14">
        <v>1.33</v>
      </c>
      <c r="V14">
        <v>1.33</v>
      </c>
      <c r="W14">
        <v>1.33</v>
      </c>
      <c r="X14">
        <v>1.33</v>
      </c>
      <c r="Y14">
        <v>1.33</v>
      </c>
    </row>
    <row r="15" spans="1:25" x14ac:dyDescent="0.25">
      <c r="A15" s="77" t="s">
        <v>199</v>
      </c>
      <c r="B15">
        <v>1.2410000000000001</v>
      </c>
      <c r="C15" s="130">
        <v>1.2410000000000001</v>
      </c>
      <c r="D15" s="88">
        <v>1.2410000000000001</v>
      </c>
      <c r="E15">
        <v>1.2410000000000001</v>
      </c>
      <c r="F15">
        <v>1.2410000000000001</v>
      </c>
      <c r="G15">
        <v>1.2410000000000001</v>
      </c>
      <c r="H15">
        <v>1.2410000000000001</v>
      </c>
      <c r="I15">
        <v>1.2410000000000001</v>
      </c>
      <c r="J15">
        <v>1.2410000000000001</v>
      </c>
      <c r="K15">
        <v>1.2410000000000001</v>
      </c>
      <c r="L15">
        <v>1.2410000000000001</v>
      </c>
      <c r="M15">
        <v>1.2410000000000001</v>
      </c>
      <c r="N15">
        <v>1.2410000000000001</v>
      </c>
      <c r="O15">
        <v>1.2410000000000001</v>
      </c>
      <c r="P15">
        <v>1.2410000000000001</v>
      </c>
      <c r="Q15">
        <v>1.2410000000000001</v>
      </c>
      <c r="R15">
        <v>1.2410000000000001</v>
      </c>
      <c r="S15">
        <v>1.2410000000000001</v>
      </c>
      <c r="T15">
        <v>1.2410000000000001</v>
      </c>
      <c r="U15">
        <v>1.2410000000000001</v>
      </c>
      <c r="V15">
        <v>1.2410000000000001</v>
      </c>
      <c r="W15">
        <v>1.2410000000000001</v>
      </c>
      <c r="X15">
        <v>1.2410000000000001</v>
      </c>
      <c r="Y15">
        <v>1.2410000000000001</v>
      </c>
    </row>
    <row r="16" spans="1:25" x14ac:dyDescent="0.25">
      <c r="A16" s="77" t="s">
        <v>200</v>
      </c>
      <c r="B16">
        <v>1.3</v>
      </c>
      <c r="C16" s="130">
        <v>1.3</v>
      </c>
      <c r="D16" s="88">
        <v>1.3</v>
      </c>
      <c r="E16">
        <v>1.3</v>
      </c>
      <c r="F16">
        <v>1.3</v>
      </c>
      <c r="G16">
        <v>1.3</v>
      </c>
      <c r="H16">
        <v>1.3</v>
      </c>
      <c r="I16">
        <v>1.3</v>
      </c>
      <c r="J16">
        <v>1.3</v>
      </c>
      <c r="K16">
        <v>1.3</v>
      </c>
      <c r="L16">
        <v>1.3</v>
      </c>
      <c r="M16">
        <v>1.3</v>
      </c>
      <c r="N16">
        <v>1.3</v>
      </c>
      <c r="O16">
        <v>1.3</v>
      </c>
      <c r="P16">
        <v>1.3</v>
      </c>
      <c r="Q16">
        <v>1.3</v>
      </c>
      <c r="R16">
        <v>1.3</v>
      </c>
      <c r="S16">
        <v>1.3</v>
      </c>
      <c r="T16">
        <v>1.3</v>
      </c>
      <c r="U16">
        <v>1.3</v>
      </c>
      <c r="V16">
        <v>1.3</v>
      </c>
      <c r="W16">
        <v>1.3</v>
      </c>
      <c r="X16">
        <v>1.3</v>
      </c>
      <c r="Y16">
        <v>1.3</v>
      </c>
    </row>
    <row r="17" spans="1:25" x14ac:dyDescent="0.25">
      <c r="A17" s="86" t="s">
        <v>39</v>
      </c>
      <c r="B17" s="85"/>
      <c r="D17" s="90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spans="1:25" x14ac:dyDescent="0.25">
      <c r="A18" s="80" t="s">
        <v>124</v>
      </c>
      <c r="B18" s="81">
        <f>1+((B12-1)/2*B6^2)</f>
        <v>1.6479999999999999</v>
      </c>
      <c r="C18" s="132">
        <f t="shared" ref="C18:Y18" si="3">1+((C12-1)/2*C6^2)</f>
        <v>1.7999999999999998</v>
      </c>
      <c r="D18" s="91">
        <f t="shared" si="3"/>
        <v>1.7999999999999998</v>
      </c>
      <c r="E18" s="81">
        <f t="shared" si="3"/>
        <v>1.7999999999999998</v>
      </c>
      <c r="F18" s="81">
        <f t="shared" si="3"/>
        <v>1.7999999999999998</v>
      </c>
      <c r="G18" s="81">
        <f t="shared" si="3"/>
        <v>1.7999999999999998</v>
      </c>
      <c r="H18" s="81">
        <f t="shared" si="3"/>
        <v>1.7999999999999998</v>
      </c>
      <c r="I18" s="81">
        <f t="shared" si="3"/>
        <v>1.7999999999999998</v>
      </c>
      <c r="J18" s="81">
        <f t="shared" si="3"/>
        <v>1.7999999999999998</v>
      </c>
      <c r="K18" s="81">
        <f t="shared" si="3"/>
        <v>1.7999999999999998</v>
      </c>
      <c r="L18" s="81">
        <f t="shared" si="3"/>
        <v>1.7999999999999998</v>
      </c>
      <c r="M18" s="81">
        <f t="shared" si="3"/>
        <v>1.7999999999999998</v>
      </c>
      <c r="N18" s="81">
        <f t="shared" si="3"/>
        <v>1.7999999999999998</v>
      </c>
      <c r="O18" s="81">
        <f t="shared" si="3"/>
        <v>1.7999999999999998</v>
      </c>
      <c r="P18" s="81">
        <f t="shared" si="3"/>
        <v>1.7999999999999998</v>
      </c>
      <c r="Q18" s="81">
        <f t="shared" si="3"/>
        <v>1.7999999999999998</v>
      </c>
      <c r="R18" s="81">
        <f t="shared" si="3"/>
        <v>1.7999999999999998</v>
      </c>
      <c r="S18" s="81">
        <f t="shared" si="3"/>
        <v>1.7999999999999998</v>
      </c>
      <c r="T18" s="81">
        <f t="shared" si="3"/>
        <v>1.7999999999999998</v>
      </c>
      <c r="U18" s="81">
        <f t="shared" si="3"/>
        <v>1.7999999999999998</v>
      </c>
      <c r="V18" s="81">
        <f t="shared" si="3"/>
        <v>1.7999999999999998</v>
      </c>
      <c r="W18" s="81">
        <f t="shared" si="3"/>
        <v>1.7999999999999998</v>
      </c>
      <c r="X18" s="81">
        <f t="shared" si="3"/>
        <v>1.7999999999999998</v>
      </c>
      <c r="Y18" s="81">
        <f t="shared" si="3"/>
        <v>1.7999999999999998</v>
      </c>
    </row>
    <row r="19" spans="1:25" x14ac:dyDescent="0.25">
      <c r="A19" s="80" t="s">
        <v>125</v>
      </c>
      <c r="B19" s="81">
        <f>(1+((B12-1)/2*B6^2))^(B12/(B12-1))</f>
        <v>5.7457963058901393</v>
      </c>
      <c r="C19" s="132">
        <f t="shared" ref="C19:Y19" si="4">(1+((C12-1)/2*C6^2))^(C12/(C12-1))</f>
        <v>7.8244490668672642</v>
      </c>
      <c r="D19" s="91">
        <f t="shared" si="4"/>
        <v>7.8244490668672642</v>
      </c>
      <c r="E19" s="81">
        <f t="shared" si="4"/>
        <v>7.8244490668672642</v>
      </c>
      <c r="F19" s="81">
        <f t="shared" si="4"/>
        <v>7.8244490668672642</v>
      </c>
      <c r="G19" s="81">
        <f t="shared" si="4"/>
        <v>7.8244490668672642</v>
      </c>
      <c r="H19" s="81">
        <f t="shared" si="4"/>
        <v>7.8244490668672642</v>
      </c>
      <c r="I19" s="81">
        <f t="shared" si="4"/>
        <v>7.8244490668672642</v>
      </c>
      <c r="J19" s="81">
        <f t="shared" si="4"/>
        <v>7.8244490668672642</v>
      </c>
      <c r="K19" s="81">
        <f t="shared" si="4"/>
        <v>7.8244490668672642</v>
      </c>
      <c r="L19" s="81">
        <f t="shared" si="4"/>
        <v>7.8244490668672642</v>
      </c>
      <c r="M19" s="81">
        <f t="shared" si="4"/>
        <v>7.8244490668672642</v>
      </c>
      <c r="N19" s="81">
        <f t="shared" si="4"/>
        <v>7.8244490668672642</v>
      </c>
      <c r="O19" s="81">
        <f t="shared" si="4"/>
        <v>7.8244490668672642</v>
      </c>
      <c r="P19" s="81">
        <f t="shared" si="4"/>
        <v>7.8244490668672642</v>
      </c>
      <c r="Q19" s="81">
        <f t="shared" si="4"/>
        <v>7.8244490668672642</v>
      </c>
      <c r="R19" s="81">
        <f t="shared" si="4"/>
        <v>7.8244490668672642</v>
      </c>
      <c r="S19" s="81">
        <f t="shared" si="4"/>
        <v>7.8244490668672642</v>
      </c>
      <c r="T19" s="81">
        <f t="shared" si="4"/>
        <v>7.8244490668672642</v>
      </c>
      <c r="U19" s="81">
        <f t="shared" si="4"/>
        <v>7.8244490668672642</v>
      </c>
      <c r="V19" s="81">
        <f t="shared" si="4"/>
        <v>7.8244490668672642</v>
      </c>
      <c r="W19" s="81">
        <f t="shared" si="4"/>
        <v>7.8244490668672642</v>
      </c>
      <c r="X19" s="81">
        <f t="shared" si="4"/>
        <v>7.8244490668672642</v>
      </c>
      <c r="Y19" s="81">
        <f t="shared" si="4"/>
        <v>7.8244490668672642</v>
      </c>
    </row>
    <row r="20" spans="1:25" x14ac:dyDescent="0.25">
      <c r="A20" t="s">
        <v>126</v>
      </c>
      <c r="B20" s="82">
        <v>0.995</v>
      </c>
      <c r="C20" s="131">
        <v>0.93500000000000005</v>
      </c>
      <c r="D20" s="89">
        <v>0.96</v>
      </c>
      <c r="E20" s="82">
        <v>0.93500000000000005</v>
      </c>
      <c r="F20" s="82">
        <v>0.93500000000000005</v>
      </c>
      <c r="G20" s="82">
        <v>0.93500000000000005</v>
      </c>
      <c r="H20" s="82">
        <v>0.93500000000000005</v>
      </c>
      <c r="I20" s="82">
        <v>0.93500000000000005</v>
      </c>
      <c r="J20" s="82">
        <v>0.93500000000000005</v>
      </c>
      <c r="K20" s="82">
        <v>0.93500000000000005</v>
      </c>
      <c r="L20" s="82">
        <v>0.93500000000000005</v>
      </c>
      <c r="M20" s="82">
        <v>0.93500000000000005</v>
      </c>
      <c r="N20" s="82">
        <v>0.93500000000000005</v>
      </c>
      <c r="O20" s="82">
        <v>0.93500000000000005</v>
      </c>
      <c r="P20" s="82">
        <v>0.93500000000000005</v>
      </c>
      <c r="Q20" s="82">
        <v>0.93500000000000005</v>
      </c>
      <c r="R20" s="82">
        <v>0.93500000000000005</v>
      </c>
      <c r="S20" s="82">
        <v>0.93500000000000005</v>
      </c>
      <c r="T20" s="82">
        <v>0.93500000000000005</v>
      </c>
      <c r="U20" s="82">
        <v>0.93500000000000005</v>
      </c>
      <c r="V20" s="82">
        <v>0.93500000000000005</v>
      </c>
      <c r="W20" s="82">
        <v>0.93500000000000005</v>
      </c>
      <c r="X20" s="82">
        <v>0.93500000000000005</v>
      </c>
      <c r="Y20" s="82">
        <v>0.93500000000000005</v>
      </c>
    </row>
    <row r="21" spans="1:25" x14ac:dyDescent="0.25">
      <c r="A21" s="83" t="s">
        <v>130</v>
      </c>
      <c r="B21">
        <f>B25/B23</f>
        <v>0.99313582581137227</v>
      </c>
      <c r="C21" s="130">
        <f t="shared" ref="C21:Y21" si="5">C25/C23</f>
        <v>0.90248757440632299</v>
      </c>
      <c r="D21" s="88">
        <f t="shared" si="5"/>
        <v>0.93914823037951578</v>
      </c>
      <c r="E21">
        <f t="shared" si="5"/>
        <v>0.90248757440632299</v>
      </c>
      <c r="F21">
        <f t="shared" si="5"/>
        <v>0.90248757440632299</v>
      </c>
      <c r="G21">
        <f t="shared" si="5"/>
        <v>0.90248757440632299</v>
      </c>
      <c r="H21">
        <f t="shared" si="5"/>
        <v>0.90248757440632299</v>
      </c>
      <c r="I21">
        <f t="shared" si="5"/>
        <v>0.90248757440632299</v>
      </c>
      <c r="J21">
        <f t="shared" si="5"/>
        <v>0.90248757440632299</v>
      </c>
      <c r="K21">
        <f t="shared" si="5"/>
        <v>0.90248757440632299</v>
      </c>
      <c r="L21">
        <f t="shared" si="5"/>
        <v>0.90248757440632299</v>
      </c>
      <c r="M21">
        <f t="shared" si="5"/>
        <v>0.90248757440632299</v>
      </c>
      <c r="N21">
        <f t="shared" si="5"/>
        <v>0.90248757440632299</v>
      </c>
      <c r="O21">
        <f t="shared" si="5"/>
        <v>0.90248757440632299</v>
      </c>
      <c r="P21">
        <f t="shared" si="5"/>
        <v>0.90248757440632299</v>
      </c>
      <c r="Q21">
        <f t="shared" si="5"/>
        <v>0.90248757440632299</v>
      </c>
      <c r="R21">
        <f t="shared" si="5"/>
        <v>0.90248757440632299</v>
      </c>
      <c r="S21">
        <f t="shared" si="5"/>
        <v>0.90248757440632299</v>
      </c>
      <c r="T21">
        <f t="shared" si="5"/>
        <v>0.90248757440632299</v>
      </c>
      <c r="U21">
        <f t="shared" si="5"/>
        <v>0.90248757440632299</v>
      </c>
      <c r="V21">
        <f t="shared" si="5"/>
        <v>0.90248757440632299</v>
      </c>
      <c r="W21">
        <f t="shared" si="5"/>
        <v>0.90248757440632299</v>
      </c>
      <c r="X21">
        <f t="shared" si="5"/>
        <v>0.90248757440632299</v>
      </c>
      <c r="Y21">
        <f t="shared" si="5"/>
        <v>0.90248757440632299</v>
      </c>
    </row>
    <row r="22" spans="1:25" x14ac:dyDescent="0.25">
      <c r="A22" t="s">
        <v>122</v>
      </c>
      <c r="B22">
        <f>B5*(1+((B12-1)/2*B6^2))</f>
        <v>357.03919999999999</v>
      </c>
      <c r="C22" s="130">
        <f t="shared" ref="C22:Y22" si="6">C5*(1+((C12-1)/2*C6^2))</f>
        <v>401.4</v>
      </c>
      <c r="D22" s="88">
        <f t="shared" si="6"/>
        <v>401.4</v>
      </c>
      <c r="E22">
        <f t="shared" si="6"/>
        <v>401.4</v>
      </c>
      <c r="F22">
        <f t="shared" si="6"/>
        <v>401.4</v>
      </c>
      <c r="G22">
        <f t="shared" si="6"/>
        <v>401.4</v>
      </c>
      <c r="H22">
        <f t="shared" si="6"/>
        <v>401.4</v>
      </c>
      <c r="I22">
        <f t="shared" si="6"/>
        <v>401.4</v>
      </c>
      <c r="J22">
        <f t="shared" si="6"/>
        <v>401.4</v>
      </c>
      <c r="K22">
        <f t="shared" si="6"/>
        <v>401.4</v>
      </c>
      <c r="L22">
        <f t="shared" si="6"/>
        <v>401.4</v>
      </c>
      <c r="M22">
        <f t="shared" si="6"/>
        <v>401.4</v>
      </c>
      <c r="N22">
        <f t="shared" si="6"/>
        <v>401.4</v>
      </c>
      <c r="O22">
        <f t="shared" si="6"/>
        <v>401.4</v>
      </c>
      <c r="P22">
        <f t="shared" si="6"/>
        <v>401.4</v>
      </c>
      <c r="Q22">
        <f t="shared" si="6"/>
        <v>401.4</v>
      </c>
      <c r="R22">
        <f t="shared" si="6"/>
        <v>401.4</v>
      </c>
      <c r="S22">
        <f t="shared" si="6"/>
        <v>401.4</v>
      </c>
      <c r="T22">
        <f t="shared" si="6"/>
        <v>401.4</v>
      </c>
      <c r="U22">
        <f t="shared" si="6"/>
        <v>401.4</v>
      </c>
      <c r="V22">
        <f t="shared" si="6"/>
        <v>401.4</v>
      </c>
      <c r="W22">
        <f t="shared" si="6"/>
        <v>401.4</v>
      </c>
      <c r="X22">
        <f t="shared" si="6"/>
        <v>401.4</v>
      </c>
      <c r="Y22">
        <f t="shared" si="6"/>
        <v>401.4</v>
      </c>
    </row>
    <row r="23" spans="1:25" x14ac:dyDescent="0.25">
      <c r="A23" t="s">
        <v>123</v>
      </c>
      <c r="B23">
        <f>B4*(1+((B12-1)/2*B6^2))^(B12/(B12-1))</f>
        <v>120.18018014804724</v>
      </c>
      <c r="C23" s="130">
        <f t="shared" ref="C23:Y23" si="7">C4*(1+((C12-1)/2*C6^2))^(C12/(C12-1))</f>
        <v>78.24449066867264</v>
      </c>
      <c r="D23" s="88">
        <f t="shared" si="7"/>
        <v>78.24449066867264</v>
      </c>
      <c r="E23">
        <f t="shared" si="7"/>
        <v>78.24449066867264</v>
      </c>
      <c r="F23">
        <f t="shared" si="7"/>
        <v>78.24449066867264</v>
      </c>
      <c r="G23">
        <f t="shared" si="7"/>
        <v>78.24449066867264</v>
      </c>
      <c r="H23">
        <f t="shared" si="7"/>
        <v>78.24449066867264</v>
      </c>
      <c r="I23">
        <f t="shared" si="7"/>
        <v>78.24449066867264</v>
      </c>
      <c r="J23">
        <f t="shared" si="7"/>
        <v>78.24449066867264</v>
      </c>
      <c r="K23">
        <f t="shared" si="7"/>
        <v>78.24449066867264</v>
      </c>
      <c r="L23">
        <f t="shared" si="7"/>
        <v>78.24449066867264</v>
      </c>
      <c r="M23">
        <f t="shared" si="7"/>
        <v>78.24449066867264</v>
      </c>
      <c r="N23">
        <f t="shared" si="7"/>
        <v>78.24449066867264</v>
      </c>
      <c r="O23">
        <f t="shared" si="7"/>
        <v>78.24449066867264</v>
      </c>
      <c r="P23">
        <f t="shared" si="7"/>
        <v>78.24449066867264</v>
      </c>
      <c r="Q23">
        <f t="shared" si="7"/>
        <v>78.24449066867264</v>
      </c>
      <c r="R23">
        <f t="shared" si="7"/>
        <v>78.24449066867264</v>
      </c>
      <c r="S23">
        <f t="shared" si="7"/>
        <v>78.24449066867264</v>
      </c>
      <c r="T23">
        <f t="shared" si="7"/>
        <v>78.24449066867264</v>
      </c>
      <c r="U23">
        <f t="shared" si="7"/>
        <v>78.24449066867264</v>
      </c>
      <c r="V23">
        <f t="shared" si="7"/>
        <v>78.24449066867264</v>
      </c>
      <c r="W23">
        <f t="shared" si="7"/>
        <v>78.24449066867264</v>
      </c>
      <c r="X23">
        <f t="shared" si="7"/>
        <v>78.24449066867264</v>
      </c>
      <c r="Y23">
        <f t="shared" si="7"/>
        <v>78.24449066867264</v>
      </c>
    </row>
    <row r="24" spans="1:25" x14ac:dyDescent="0.25">
      <c r="A24" t="s">
        <v>127</v>
      </c>
      <c r="B24">
        <f>B22</f>
        <v>357.03919999999999</v>
      </c>
      <c r="C24" s="130">
        <f t="shared" ref="C24:Y24" si="8">C22</f>
        <v>401.4</v>
      </c>
      <c r="D24" s="88">
        <f t="shared" si="8"/>
        <v>401.4</v>
      </c>
      <c r="E24">
        <f t="shared" si="8"/>
        <v>401.4</v>
      </c>
      <c r="F24">
        <f t="shared" si="8"/>
        <v>401.4</v>
      </c>
      <c r="G24">
        <f t="shared" si="8"/>
        <v>401.4</v>
      </c>
      <c r="H24">
        <f t="shared" si="8"/>
        <v>401.4</v>
      </c>
      <c r="I24">
        <f t="shared" si="8"/>
        <v>401.4</v>
      </c>
      <c r="J24">
        <f t="shared" si="8"/>
        <v>401.4</v>
      </c>
      <c r="K24">
        <f t="shared" si="8"/>
        <v>401.4</v>
      </c>
      <c r="L24">
        <f t="shared" si="8"/>
        <v>401.4</v>
      </c>
      <c r="M24">
        <f t="shared" si="8"/>
        <v>401.4</v>
      </c>
      <c r="N24">
        <f t="shared" si="8"/>
        <v>401.4</v>
      </c>
      <c r="O24">
        <f t="shared" si="8"/>
        <v>401.4</v>
      </c>
      <c r="P24">
        <f t="shared" si="8"/>
        <v>401.4</v>
      </c>
      <c r="Q24">
        <f t="shared" si="8"/>
        <v>401.4</v>
      </c>
      <c r="R24">
        <f t="shared" si="8"/>
        <v>401.4</v>
      </c>
      <c r="S24">
        <f t="shared" si="8"/>
        <v>401.4</v>
      </c>
      <c r="T24">
        <f t="shared" si="8"/>
        <v>401.4</v>
      </c>
      <c r="U24">
        <f t="shared" si="8"/>
        <v>401.4</v>
      </c>
      <c r="V24">
        <f t="shared" si="8"/>
        <v>401.4</v>
      </c>
      <c r="W24">
        <f t="shared" si="8"/>
        <v>401.4</v>
      </c>
      <c r="X24">
        <f t="shared" si="8"/>
        <v>401.4</v>
      </c>
      <c r="Y24">
        <f t="shared" si="8"/>
        <v>401.4</v>
      </c>
    </row>
    <row r="25" spans="1:25" x14ac:dyDescent="0.25">
      <c r="A25" s="79" t="s">
        <v>128</v>
      </c>
      <c r="B25" s="79">
        <f>B4*(1+(B20*(B12-1)/2*B6^2))^(B12/(B12-1))</f>
        <v>119.35524245749039</v>
      </c>
      <c r="C25" s="130">
        <f t="shared" ref="C25:Y25" si="9">C4*(1+(C20*(C12-1)/2*C6^2))^(C12/(C12-1))</f>
        <v>70.614680594228545</v>
      </c>
      <c r="D25" s="92">
        <f t="shared" si="9"/>
        <v>73.483174948430445</v>
      </c>
      <c r="E25" s="79">
        <f t="shared" si="9"/>
        <v>70.614680594228545</v>
      </c>
      <c r="F25" s="79">
        <f t="shared" si="9"/>
        <v>70.614680594228545</v>
      </c>
      <c r="G25" s="79">
        <f t="shared" si="9"/>
        <v>70.614680594228545</v>
      </c>
      <c r="H25" s="79">
        <f t="shared" si="9"/>
        <v>70.614680594228545</v>
      </c>
      <c r="I25" s="79">
        <f t="shared" si="9"/>
        <v>70.614680594228545</v>
      </c>
      <c r="J25" s="79">
        <f t="shared" si="9"/>
        <v>70.614680594228545</v>
      </c>
      <c r="K25" s="79">
        <f t="shared" si="9"/>
        <v>70.614680594228545</v>
      </c>
      <c r="L25" s="79">
        <f t="shared" si="9"/>
        <v>70.614680594228545</v>
      </c>
      <c r="M25" s="79">
        <f t="shared" si="9"/>
        <v>70.614680594228545</v>
      </c>
      <c r="N25" s="79">
        <f t="shared" si="9"/>
        <v>70.614680594228545</v>
      </c>
      <c r="O25" s="79">
        <f t="shared" si="9"/>
        <v>70.614680594228545</v>
      </c>
      <c r="P25" s="79">
        <f t="shared" si="9"/>
        <v>70.614680594228545</v>
      </c>
      <c r="Q25" s="79">
        <f t="shared" si="9"/>
        <v>70.614680594228545</v>
      </c>
      <c r="R25" s="79">
        <f t="shared" si="9"/>
        <v>70.614680594228545</v>
      </c>
      <c r="S25" s="79">
        <f t="shared" si="9"/>
        <v>70.614680594228545</v>
      </c>
      <c r="T25" s="79">
        <f t="shared" si="9"/>
        <v>70.614680594228545</v>
      </c>
      <c r="U25" s="79">
        <f t="shared" si="9"/>
        <v>70.614680594228545</v>
      </c>
      <c r="V25" s="79">
        <f t="shared" si="9"/>
        <v>70.614680594228545</v>
      </c>
      <c r="W25" s="79">
        <f t="shared" si="9"/>
        <v>70.614680594228545</v>
      </c>
      <c r="X25" s="79">
        <f t="shared" si="9"/>
        <v>70.614680594228545</v>
      </c>
      <c r="Y25" s="79">
        <f t="shared" si="9"/>
        <v>70.614680594228545</v>
      </c>
    </row>
    <row r="26" spans="1:25" x14ac:dyDescent="0.25">
      <c r="A26" s="86" t="s">
        <v>84</v>
      </c>
      <c r="B26" s="85"/>
      <c r="D26" s="90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x14ac:dyDescent="0.25">
      <c r="A27" s="83" t="s">
        <v>131</v>
      </c>
      <c r="B27">
        <f>(B28)^((B12-1)/(B12*B30))</f>
        <v>1.4884012088651863</v>
      </c>
      <c r="C27" s="130">
        <f t="shared" ref="C27:Y27" si="10">(C28)^((C12-1)/(C12*C30))</f>
        <v>1.2260077249932146</v>
      </c>
      <c r="D27" s="88">
        <f t="shared" si="10"/>
        <v>1.4755883955933102</v>
      </c>
      <c r="E27">
        <f t="shared" si="10"/>
        <v>1.2260077249932146</v>
      </c>
      <c r="F27">
        <f t="shared" si="10"/>
        <v>1.2260077249932146</v>
      </c>
      <c r="G27">
        <f t="shared" si="10"/>
        <v>1.2260077249932146</v>
      </c>
      <c r="H27">
        <f t="shared" si="10"/>
        <v>1.2260077249932146</v>
      </c>
      <c r="I27">
        <f t="shared" si="10"/>
        <v>1.2260077249932146</v>
      </c>
      <c r="J27">
        <f t="shared" si="10"/>
        <v>1.2260077249932146</v>
      </c>
      <c r="K27">
        <f t="shared" si="10"/>
        <v>1.2260077249932146</v>
      </c>
      <c r="L27">
        <f t="shared" si="10"/>
        <v>1.2260077249932146</v>
      </c>
      <c r="M27">
        <f t="shared" si="10"/>
        <v>1.2260077249932146</v>
      </c>
      <c r="N27">
        <f t="shared" si="10"/>
        <v>1.2260077249932146</v>
      </c>
      <c r="O27">
        <f t="shared" si="10"/>
        <v>1.2260077249932146</v>
      </c>
      <c r="P27">
        <f t="shared" si="10"/>
        <v>1.2260077249932146</v>
      </c>
      <c r="Q27">
        <f t="shared" si="10"/>
        <v>1.2260077249932146</v>
      </c>
      <c r="R27">
        <f t="shared" si="10"/>
        <v>1.2260077249932146</v>
      </c>
      <c r="S27">
        <f t="shared" si="10"/>
        <v>1.2260077249932146</v>
      </c>
      <c r="T27">
        <f t="shared" si="10"/>
        <v>1.2260077249932146</v>
      </c>
      <c r="U27">
        <f t="shared" si="10"/>
        <v>1.2260077249932146</v>
      </c>
      <c r="V27">
        <f t="shared" si="10"/>
        <v>1.2260077249932146</v>
      </c>
      <c r="W27">
        <f t="shared" si="10"/>
        <v>1.2260077249932146</v>
      </c>
      <c r="X27">
        <f t="shared" si="10"/>
        <v>1.2260077249932146</v>
      </c>
      <c r="Y27">
        <f t="shared" si="10"/>
        <v>1.2260077249932146</v>
      </c>
    </row>
    <row r="28" spans="1:25" x14ac:dyDescent="0.25">
      <c r="A28" s="83" t="s">
        <v>132</v>
      </c>
      <c r="B28" s="82">
        <v>3.5</v>
      </c>
      <c r="C28" s="131">
        <v>1.9</v>
      </c>
      <c r="D28" s="89">
        <v>3.5</v>
      </c>
      <c r="E28" s="82">
        <v>1.9</v>
      </c>
      <c r="F28" s="82">
        <v>1.9</v>
      </c>
      <c r="G28" s="82">
        <v>1.9</v>
      </c>
      <c r="H28" s="82">
        <v>1.9</v>
      </c>
      <c r="I28" s="82">
        <v>1.9</v>
      </c>
      <c r="J28" s="82">
        <v>1.9</v>
      </c>
      <c r="K28" s="82">
        <v>1.9</v>
      </c>
      <c r="L28" s="82">
        <v>1.9</v>
      </c>
      <c r="M28" s="82">
        <v>1.9</v>
      </c>
      <c r="N28" s="82">
        <v>1.9</v>
      </c>
      <c r="O28" s="82">
        <v>1.9</v>
      </c>
      <c r="P28" s="82">
        <v>1.9</v>
      </c>
      <c r="Q28" s="82">
        <v>1.9</v>
      </c>
      <c r="R28" s="82">
        <v>1.9</v>
      </c>
      <c r="S28" s="82">
        <v>1.9</v>
      </c>
      <c r="T28" s="82">
        <v>1.9</v>
      </c>
      <c r="U28" s="82">
        <v>1.9</v>
      </c>
      <c r="V28" s="82">
        <v>1.9</v>
      </c>
      <c r="W28" s="82">
        <v>1.9</v>
      </c>
      <c r="X28" s="82">
        <v>1.9</v>
      </c>
      <c r="Y28" s="82">
        <v>1.9</v>
      </c>
    </row>
    <row r="29" spans="1:25" x14ac:dyDescent="0.25">
      <c r="A29" s="77" t="s">
        <v>133</v>
      </c>
      <c r="B29" s="82">
        <v>0.95</v>
      </c>
      <c r="C29" s="131">
        <v>0.95</v>
      </c>
      <c r="D29" s="89">
        <v>0.95</v>
      </c>
      <c r="E29" s="82">
        <v>0.95</v>
      </c>
      <c r="F29" s="82">
        <v>0.95</v>
      </c>
      <c r="G29" s="82">
        <v>0.95</v>
      </c>
      <c r="H29" s="82">
        <v>0.95</v>
      </c>
      <c r="I29" s="82">
        <v>0.95</v>
      </c>
      <c r="J29" s="82">
        <v>0.95</v>
      </c>
      <c r="K29" s="82">
        <v>0.95</v>
      </c>
      <c r="L29" s="82">
        <v>0.95</v>
      </c>
      <c r="M29" s="82">
        <v>0.95</v>
      </c>
      <c r="N29" s="82">
        <v>0.95</v>
      </c>
      <c r="O29" s="82">
        <v>0.95</v>
      </c>
      <c r="P29" s="82">
        <v>0.95</v>
      </c>
      <c r="Q29" s="82">
        <v>0.95</v>
      </c>
      <c r="R29" s="82">
        <v>0.95</v>
      </c>
      <c r="S29" s="82">
        <v>0.95</v>
      </c>
      <c r="T29" s="82">
        <v>0.95</v>
      </c>
      <c r="U29" s="82">
        <v>0.95</v>
      </c>
      <c r="V29" s="82">
        <v>0.95</v>
      </c>
      <c r="W29" s="82">
        <v>0.95</v>
      </c>
      <c r="X29" s="82">
        <v>0.95</v>
      </c>
      <c r="Y29" s="82">
        <v>0.95</v>
      </c>
    </row>
    <row r="30" spans="1:25" x14ac:dyDescent="0.25">
      <c r="A30" t="s">
        <v>136</v>
      </c>
      <c r="B30" s="82">
        <v>0.9</v>
      </c>
      <c r="C30" s="131">
        <v>0.9</v>
      </c>
      <c r="D30" s="89">
        <v>0.92</v>
      </c>
      <c r="E30" s="82">
        <v>0.9</v>
      </c>
      <c r="F30" s="82">
        <v>0.9</v>
      </c>
      <c r="G30" s="82">
        <v>0.9</v>
      </c>
      <c r="H30" s="82">
        <v>0.9</v>
      </c>
      <c r="I30" s="82">
        <v>0.9</v>
      </c>
      <c r="J30" s="82">
        <v>0.9</v>
      </c>
      <c r="K30" s="82">
        <v>0.9</v>
      </c>
      <c r="L30" s="82">
        <v>0.9</v>
      </c>
      <c r="M30" s="82">
        <v>0.9</v>
      </c>
      <c r="N30" s="82">
        <v>0.9</v>
      </c>
      <c r="O30" s="82">
        <v>0.9</v>
      </c>
      <c r="P30" s="82">
        <v>0.9</v>
      </c>
      <c r="Q30" s="82">
        <v>0.9</v>
      </c>
      <c r="R30" s="82">
        <v>0.9</v>
      </c>
      <c r="S30" s="82">
        <v>0.9</v>
      </c>
      <c r="T30" s="82">
        <v>0.9</v>
      </c>
      <c r="U30" s="82">
        <v>0.9</v>
      </c>
      <c r="V30" s="82">
        <v>0.9</v>
      </c>
      <c r="W30" s="82">
        <v>0.9</v>
      </c>
      <c r="X30" s="82">
        <v>0.9</v>
      </c>
      <c r="Y30" s="82">
        <v>0.9</v>
      </c>
    </row>
    <row r="31" spans="1:25" x14ac:dyDescent="0.25">
      <c r="A31" t="s">
        <v>134</v>
      </c>
      <c r="B31">
        <f>B25*B28</f>
        <v>417.74334860121638</v>
      </c>
      <c r="C31" s="130">
        <f t="shared" ref="C31:Y31" si="11">C25*C28</f>
        <v>134.16789312903424</v>
      </c>
      <c r="D31" s="88">
        <f t="shared" si="11"/>
        <v>257.19111231950654</v>
      </c>
      <c r="E31">
        <f t="shared" si="11"/>
        <v>134.16789312903424</v>
      </c>
      <c r="F31">
        <f t="shared" si="11"/>
        <v>134.16789312903424</v>
      </c>
      <c r="G31">
        <f t="shared" si="11"/>
        <v>134.16789312903424</v>
      </c>
      <c r="H31">
        <f t="shared" si="11"/>
        <v>134.16789312903424</v>
      </c>
      <c r="I31">
        <f t="shared" si="11"/>
        <v>134.16789312903424</v>
      </c>
      <c r="J31">
        <f t="shared" si="11"/>
        <v>134.16789312903424</v>
      </c>
      <c r="K31">
        <f t="shared" si="11"/>
        <v>134.16789312903424</v>
      </c>
      <c r="L31">
        <f t="shared" si="11"/>
        <v>134.16789312903424</v>
      </c>
      <c r="M31">
        <f t="shared" si="11"/>
        <v>134.16789312903424</v>
      </c>
      <c r="N31">
        <f t="shared" si="11"/>
        <v>134.16789312903424</v>
      </c>
      <c r="O31">
        <f t="shared" si="11"/>
        <v>134.16789312903424</v>
      </c>
      <c r="P31">
        <f t="shared" si="11"/>
        <v>134.16789312903424</v>
      </c>
      <c r="Q31">
        <f t="shared" si="11"/>
        <v>134.16789312903424</v>
      </c>
      <c r="R31">
        <f t="shared" si="11"/>
        <v>134.16789312903424</v>
      </c>
      <c r="S31">
        <f t="shared" si="11"/>
        <v>134.16789312903424</v>
      </c>
      <c r="T31">
        <f t="shared" si="11"/>
        <v>134.16789312903424</v>
      </c>
      <c r="U31">
        <f t="shared" si="11"/>
        <v>134.16789312903424</v>
      </c>
      <c r="V31">
        <f t="shared" si="11"/>
        <v>134.16789312903424</v>
      </c>
      <c r="W31">
        <f t="shared" si="11"/>
        <v>134.16789312903424</v>
      </c>
      <c r="X31">
        <f t="shared" si="11"/>
        <v>134.16789312903424</v>
      </c>
      <c r="Y31">
        <f t="shared" si="11"/>
        <v>134.16789312903424</v>
      </c>
    </row>
    <row r="32" spans="1:25" x14ac:dyDescent="0.25">
      <c r="A32" s="79" t="s">
        <v>135</v>
      </c>
      <c r="B32" s="79">
        <f>B22*B27</f>
        <v>531.41757689225904</v>
      </c>
      <c r="C32" s="130">
        <f t="shared" ref="C32:Y32" si="12">C22*C27</f>
        <v>492.11950081227633</v>
      </c>
      <c r="D32" s="92">
        <f t="shared" si="12"/>
        <v>592.30118199115475</v>
      </c>
      <c r="E32" s="79">
        <f t="shared" si="12"/>
        <v>492.11950081227633</v>
      </c>
      <c r="F32" s="79">
        <f t="shared" si="12"/>
        <v>492.11950081227633</v>
      </c>
      <c r="G32" s="79">
        <f t="shared" si="12"/>
        <v>492.11950081227633</v>
      </c>
      <c r="H32" s="79">
        <f t="shared" si="12"/>
        <v>492.11950081227633</v>
      </c>
      <c r="I32" s="79">
        <f t="shared" si="12"/>
        <v>492.11950081227633</v>
      </c>
      <c r="J32" s="79">
        <f t="shared" si="12"/>
        <v>492.11950081227633</v>
      </c>
      <c r="K32" s="79">
        <f t="shared" si="12"/>
        <v>492.11950081227633</v>
      </c>
      <c r="L32" s="79">
        <f t="shared" si="12"/>
        <v>492.11950081227633</v>
      </c>
      <c r="M32" s="79">
        <f t="shared" si="12"/>
        <v>492.11950081227633</v>
      </c>
      <c r="N32" s="79">
        <f t="shared" si="12"/>
        <v>492.11950081227633</v>
      </c>
      <c r="O32" s="79">
        <f t="shared" si="12"/>
        <v>492.11950081227633</v>
      </c>
      <c r="P32" s="79">
        <f t="shared" si="12"/>
        <v>492.11950081227633</v>
      </c>
      <c r="Q32" s="79">
        <f t="shared" si="12"/>
        <v>492.11950081227633</v>
      </c>
      <c r="R32" s="79">
        <f t="shared" si="12"/>
        <v>492.11950081227633</v>
      </c>
      <c r="S32" s="79">
        <f t="shared" si="12"/>
        <v>492.11950081227633</v>
      </c>
      <c r="T32" s="79">
        <f t="shared" si="12"/>
        <v>492.11950081227633</v>
      </c>
      <c r="U32" s="79">
        <f t="shared" si="12"/>
        <v>492.11950081227633</v>
      </c>
      <c r="V32" s="79">
        <f t="shared" si="12"/>
        <v>492.11950081227633</v>
      </c>
      <c r="W32" s="79">
        <f t="shared" si="12"/>
        <v>492.11950081227633</v>
      </c>
      <c r="X32" s="79">
        <f t="shared" si="12"/>
        <v>492.11950081227633</v>
      </c>
      <c r="Y32" s="79">
        <f t="shared" si="12"/>
        <v>492.11950081227633</v>
      </c>
    </row>
    <row r="33" spans="1:25" x14ac:dyDescent="0.25">
      <c r="A33" s="86" t="s">
        <v>86</v>
      </c>
      <c r="B33" s="85"/>
      <c r="D33" s="90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spans="1:25" x14ac:dyDescent="0.25">
      <c r="A34" s="83" t="s">
        <v>137</v>
      </c>
      <c r="B34" s="82">
        <v>0.98</v>
      </c>
      <c r="C34" s="131">
        <v>0.99</v>
      </c>
      <c r="D34" s="89">
        <v>0.99</v>
      </c>
      <c r="E34" s="82">
        <v>0.99</v>
      </c>
      <c r="F34" s="82">
        <v>0.99</v>
      </c>
      <c r="G34" s="82">
        <v>0.99</v>
      </c>
      <c r="H34" s="82">
        <v>0.99</v>
      </c>
      <c r="I34" s="82">
        <v>0.99</v>
      </c>
      <c r="J34" s="82">
        <v>0.99</v>
      </c>
      <c r="K34" s="82">
        <v>0.99</v>
      </c>
      <c r="L34" s="82">
        <v>0.99</v>
      </c>
      <c r="M34" s="82">
        <v>0.99</v>
      </c>
      <c r="N34" s="82">
        <v>0.99</v>
      </c>
      <c r="O34" s="82">
        <v>0.99</v>
      </c>
      <c r="P34" s="82">
        <v>0.99</v>
      </c>
      <c r="Q34" s="82">
        <v>0.99</v>
      </c>
      <c r="R34" s="82">
        <v>0.99</v>
      </c>
      <c r="S34" s="82">
        <v>0.99</v>
      </c>
      <c r="T34" s="82">
        <v>0.99</v>
      </c>
      <c r="U34" s="82">
        <v>0.99</v>
      </c>
      <c r="V34" s="82">
        <v>0.99</v>
      </c>
      <c r="W34" s="82">
        <v>0.99</v>
      </c>
      <c r="X34" s="82">
        <v>0.99</v>
      </c>
      <c r="Y34" s="82">
        <v>0.99</v>
      </c>
    </row>
    <row r="35" spans="1:25" x14ac:dyDescent="0.25">
      <c r="A35" s="77" t="s">
        <v>138</v>
      </c>
      <c r="B35" s="82">
        <v>0.99</v>
      </c>
      <c r="C35" s="131">
        <v>0.99</v>
      </c>
      <c r="D35" s="89">
        <v>0.99</v>
      </c>
      <c r="E35" s="82">
        <v>0.99</v>
      </c>
      <c r="F35" s="82">
        <v>0.99</v>
      </c>
      <c r="G35" s="82">
        <v>0.99</v>
      </c>
      <c r="H35" s="82">
        <v>0.99</v>
      </c>
      <c r="I35" s="82">
        <v>0.99</v>
      </c>
      <c r="J35" s="82">
        <v>0.99</v>
      </c>
      <c r="K35" s="82">
        <v>0.99</v>
      </c>
      <c r="L35" s="82">
        <v>0.99</v>
      </c>
      <c r="M35" s="82">
        <v>0.99</v>
      </c>
      <c r="N35" s="82">
        <v>0.99</v>
      </c>
      <c r="O35" s="82">
        <v>0.99</v>
      </c>
      <c r="P35" s="82">
        <v>0.99</v>
      </c>
      <c r="Q35" s="82">
        <v>0.99</v>
      </c>
      <c r="R35" s="82">
        <v>0.99</v>
      </c>
      <c r="S35" s="82">
        <v>0.99</v>
      </c>
      <c r="T35" s="82">
        <v>0.99</v>
      </c>
      <c r="U35" s="82">
        <v>0.99</v>
      </c>
      <c r="V35" s="82">
        <v>0.99</v>
      </c>
      <c r="W35" s="82">
        <v>0.99</v>
      </c>
      <c r="X35" s="82">
        <v>0.99</v>
      </c>
      <c r="Y35" s="82">
        <v>0.99</v>
      </c>
    </row>
    <row r="36" spans="1:25" x14ac:dyDescent="0.25">
      <c r="A36" s="77" t="s">
        <v>184</v>
      </c>
      <c r="B36">
        <f>(B9*B93)/(B93+1)</f>
        <v>44.258772374750585</v>
      </c>
      <c r="C36" s="130">
        <f t="shared" ref="C36:Y36" si="13">(C9*C93)/(C93+1)</f>
        <v>18.165643787180198</v>
      </c>
      <c r="D36" s="88">
        <f t="shared" si="13"/>
        <v>43.174671946777387</v>
      </c>
      <c r="E36">
        <f t="shared" si="13"/>
        <v>18.165643787180198</v>
      </c>
      <c r="F36">
        <f t="shared" si="13"/>
        <v>18.165643787180198</v>
      </c>
      <c r="G36">
        <f t="shared" si="13"/>
        <v>18.165643787180198</v>
      </c>
      <c r="H36">
        <f t="shared" si="13"/>
        <v>18.165643787180198</v>
      </c>
      <c r="I36">
        <f t="shared" si="13"/>
        <v>18.165643787180198</v>
      </c>
      <c r="J36">
        <f t="shared" si="13"/>
        <v>18.165643787180198</v>
      </c>
      <c r="K36">
        <f t="shared" si="13"/>
        <v>18.165643787180198</v>
      </c>
      <c r="L36">
        <f t="shared" si="13"/>
        <v>18.165643787180198</v>
      </c>
      <c r="M36">
        <f t="shared" si="13"/>
        <v>18.165643787180198</v>
      </c>
      <c r="N36">
        <f t="shared" si="13"/>
        <v>18.165643787180198</v>
      </c>
      <c r="O36">
        <f t="shared" si="13"/>
        <v>18.165643787180198</v>
      </c>
      <c r="P36">
        <f t="shared" si="13"/>
        <v>18.165643787180198</v>
      </c>
      <c r="Q36">
        <f t="shared" si="13"/>
        <v>18.165643787180198</v>
      </c>
      <c r="R36">
        <f t="shared" si="13"/>
        <v>18.165643787180198</v>
      </c>
      <c r="S36">
        <f t="shared" si="13"/>
        <v>18.165643787180198</v>
      </c>
      <c r="T36">
        <f t="shared" si="13"/>
        <v>18.165643787180198</v>
      </c>
      <c r="U36">
        <f t="shared" si="13"/>
        <v>18.165643787180198</v>
      </c>
      <c r="V36">
        <f t="shared" si="13"/>
        <v>18.165643787180198</v>
      </c>
      <c r="W36">
        <f t="shared" si="13"/>
        <v>18.165643787180198</v>
      </c>
      <c r="X36">
        <f t="shared" si="13"/>
        <v>18.165643787180198</v>
      </c>
      <c r="Y36">
        <f t="shared" si="13"/>
        <v>18.165643787180198</v>
      </c>
    </row>
    <row r="37" spans="1:25" x14ac:dyDescent="0.25">
      <c r="A37" s="77" t="s">
        <v>188</v>
      </c>
      <c r="B37">
        <f>SQRT((2/(B12-1))*((((1+((B14-1)/2*B85^2))^(B14/(B14-1)))^((B12-1)/B12))-1))</f>
        <v>0.48809188676531728</v>
      </c>
      <c r="C37" s="130">
        <f t="shared" ref="C37:Y37" si="14">SQRT((2/(C12-1))*((((1+((C14-1)/2*C85^2))^(C14/(C14-1)))^((C12-1)/C12))-1))</f>
        <v>0.48809188676531728</v>
      </c>
      <c r="D37" s="88">
        <f t="shared" si="14"/>
        <v>0.684315950118357</v>
      </c>
      <c r="E37">
        <f t="shared" si="14"/>
        <v>0.48809188676531728</v>
      </c>
      <c r="F37">
        <f t="shared" si="14"/>
        <v>0.48809188676531728</v>
      </c>
      <c r="G37">
        <f t="shared" si="14"/>
        <v>0.48809188676531728</v>
      </c>
      <c r="H37">
        <f t="shared" si="14"/>
        <v>0.48809188676531728</v>
      </c>
      <c r="I37">
        <f t="shared" si="14"/>
        <v>0.48809188676531728</v>
      </c>
      <c r="J37">
        <f t="shared" si="14"/>
        <v>0.48809188676531728</v>
      </c>
      <c r="K37">
        <f t="shared" si="14"/>
        <v>0.48809188676531728</v>
      </c>
      <c r="L37">
        <f t="shared" si="14"/>
        <v>0.48809188676531728</v>
      </c>
      <c r="M37">
        <f t="shared" si="14"/>
        <v>0.48809188676531728</v>
      </c>
      <c r="N37">
        <f t="shared" si="14"/>
        <v>0.48809188676531728</v>
      </c>
      <c r="O37">
        <f t="shared" si="14"/>
        <v>0.48809188676531728</v>
      </c>
      <c r="P37">
        <f t="shared" si="14"/>
        <v>0.48809188676531728</v>
      </c>
      <c r="Q37">
        <f t="shared" si="14"/>
        <v>0.48809188676531728</v>
      </c>
      <c r="R37">
        <f t="shared" si="14"/>
        <v>0.48809188676531728</v>
      </c>
      <c r="S37">
        <f t="shared" si="14"/>
        <v>0.48809188676531728</v>
      </c>
      <c r="T37">
        <f t="shared" si="14"/>
        <v>0.48809188676531728</v>
      </c>
      <c r="U37">
        <f t="shared" si="14"/>
        <v>0.48809188676531728</v>
      </c>
      <c r="V37">
        <f t="shared" si="14"/>
        <v>0.48809188676531728</v>
      </c>
      <c r="W37">
        <f t="shared" si="14"/>
        <v>0.48809188676531728</v>
      </c>
      <c r="X37">
        <f t="shared" si="14"/>
        <v>0.48809188676531728</v>
      </c>
      <c r="Y37">
        <f t="shared" si="14"/>
        <v>0.48809188676531728</v>
      </c>
    </row>
    <row r="38" spans="1:25" x14ac:dyDescent="0.25">
      <c r="A38" t="s">
        <v>139</v>
      </c>
      <c r="B38">
        <f>B31*B34</f>
        <v>409.38848162919203</v>
      </c>
      <c r="C38" s="130">
        <f t="shared" ref="C38:Y38" si="15">C31*C34</f>
        <v>132.82621419774389</v>
      </c>
      <c r="D38" s="88">
        <f t="shared" si="15"/>
        <v>254.61920119631148</v>
      </c>
      <c r="E38">
        <f t="shared" si="15"/>
        <v>132.82621419774389</v>
      </c>
      <c r="F38">
        <f t="shared" si="15"/>
        <v>132.82621419774389</v>
      </c>
      <c r="G38">
        <f t="shared" si="15"/>
        <v>132.82621419774389</v>
      </c>
      <c r="H38">
        <f t="shared" si="15"/>
        <v>132.82621419774389</v>
      </c>
      <c r="I38">
        <f t="shared" si="15"/>
        <v>132.82621419774389</v>
      </c>
      <c r="J38">
        <f t="shared" si="15"/>
        <v>132.82621419774389</v>
      </c>
      <c r="K38">
        <f t="shared" si="15"/>
        <v>132.82621419774389</v>
      </c>
      <c r="L38">
        <f t="shared" si="15"/>
        <v>132.82621419774389</v>
      </c>
      <c r="M38">
        <f t="shared" si="15"/>
        <v>132.82621419774389</v>
      </c>
      <c r="N38">
        <f t="shared" si="15"/>
        <v>132.82621419774389</v>
      </c>
      <c r="O38">
        <f t="shared" si="15"/>
        <v>132.82621419774389</v>
      </c>
      <c r="P38">
        <f t="shared" si="15"/>
        <v>132.82621419774389</v>
      </c>
      <c r="Q38">
        <f t="shared" si="15"/>
        <v>132.82621419774389</v>
      </c>
      <c r="R38">
        <f t="shared" si="15"/>
        <v>132.82621419774389</v>
      </c>
      <c r="S38">
        <f t="shared" si="15"/>
        <v>132.82621419774389</v>
      </c>
      <c r="T38">
        <f t="shared" si="15"/>
        <v>132.82621419774389</v>
      </c>
      <c r="U38">
        <f t="shared" si="15"/>
        <v>132.82621419774389</v>
      </c>
      <c r="V38">
        <f t="shared" si="15"/>
        <v>132.82621419774389</v>
      </c>
      <c r="W38">
        <f t="shared" si="15"/>
        <v>132.82621419774389</v>
      </c>
      <c r="X38">
        <f t="shared" si="15"/>
        <v>132.82621419774389</v>
      </c>
      <c r="Y38">
        <f t="shared" si="15"/>
        <v>132.82621419774389</v>
      </c>
    </row>
    <row r="39" spans="1:25" x14ac:dyDescent="0.25">
      <c r="A39" t="s">
        <v>140</v>
      </c>
      <c r="B39">
        <f>B32</f>
        <v>531.41757689225904</v>
      </c>
      <c r="C39" s="130">
        <f t="shared" ref="C39:Y39" si="16">C32</f>
        <v>492.11950081227633</v>
      </c>
      <c r="D39" s="88">
        <f t="shared" si="16"/>
        <v>592.30118199115475</v>
      </c>
      <c r="E39">
        <f t="shared" si="16"/>
        <v>492.11950081227633</v>
      </c>
      <c r="F39">
        <f t="shared" si="16"/>
        <v>492.11950081227633</v>
      </c>
      <c r="G39">
        <f t="shared" si="16"/>
        <v>492.11950081227633</v>
      </c>
      <c r="H39">
        <f t="shared" si="16"/>
        <v>492.11950081227633</v>
      </c>
      <c r="I39">
        <f t="shared" si="16"/>
        <v>492.11950081227633</v>
      </c>
      <c r="J39">
        <f t="shared" si="16"/>
        <v>492.11950081227633</v>
      </c>
      <c r="K39">
        <f t="shared" si="16"/>
        <v>492.11950081227633</v>
      </c>
      <c r="L39">
        <f t="shared" si="16"/>
        <v>492.11950081227633</v>
      </c>
      <c r="M39">
        <f t="shared" si="16"/>
        <v>492.11950081227633</v>
      </c>
      <c r="N39">
        <f t="shared" si="16"/>
        <v>492.11950081227633</v>
      </c>
      <c r="O39">
        <f t="shared" si="16"/>
        <v>492.11950081227633</v>
      </c>
      <c r="P39">
        <f t="shared" si="16"/>
        <v>492.11950081227633</v>
      </c>
      <c r="Q39">
        <f t="shared" si="16"/>
        <v>492.11950081227633</v>
      </c>
      <c r="R39">
        <f t="shared" si="16"/>
        <v>492.11950081227633</v>
      </c>
      <c r="S39">
        <f t="shared" si="16"/>
        <v>492.11950081227633</v>
      </c>
      <c r="T39">
        <f t="shared" si="16"/>
        <v>492.11950081227633</v>
      </c>
      <c r="U39">
        <f t="shared" si="16"/>
        <v>492.11950081227633</v>
      </c>
      <c r="V39">
        <f t="shared" si="16"/>
        <v>492.11950081227633</v>
      </c>
      <c r="W39">
        <f t="shared" si="16"/>
        <v>492.11950081227633</v>
      </c>
      <c r="X39">
        <f t="shared" si="16"/>
        <v>492.11950081227633</v>
      </c>
      <c r="Y39">
        <f t="shared" si="16"/>
        <v>492.11950081227633</v>
      </c>
    </row>
    <row r="40" spans="1:25" x14ac:dyDescent="0.25">
      <c r="A40" s="77" t="s">
        <v>104</v>
      </c>
      <c r="B40">
        <f>SQRT((B12-1)*B11*1000*B42)</f>
        <v>451.34369180603238</v>
      </c>
      <c r="C40" s="130">
        <f t="shared" ref="C40:Y40" si="17">SQRT((C12-1)*C11*1000*C42)</f>
        <v>434.33487940964096</v>
      </c>
      <c r="D40" s="88">
        <f t="shared" si="17"/>
        <v>466.36661246249156</v>
      </c>
      <c r="E40">
        <f t="shared" si="17"/>
        <v>434.33487940964096</v>
      </c>
      <c r="F40">
        <f t="shared" si="17"/>
        <v>434.33487940964096</v>
      </c>
      <c r="G40">
        <f t="shared" si="17"/>
        <v>434.33487940964096</v>
      </c>
      <c r="H40">
        <f t="shared" si="17"/>
        <v>434.33487940964096</v>
      </c>
      <c r="I40">
        <f t="shared" si="17"/>
        <v>434.33487940964096</v>
      </c>
      <c r="J40">
        <f t="shared" si="17"/>
        <v>434.33487940964096</v>
      </c>
      <c r="K40">
        <f t="shared" si="17"/>
        <v>434.33487940964096</v>
      </c>
      <c r="L40">
        <f t="shared" si="17"/>
        <v>434.33487940964096</v>
      </c>
      <c r="M40">
        <f t="shared" si="17"/>
        <v>434.33487940964096</v>
      </c>
      <c r="N40">
        <f t="shared" si="17"/>
        <v>434.33487940964096</v>
      </c>
      <c r="O40">
        <f t="shared" si="17"/>
        <v>434.33487940964096</v>
      </c>
      <c r="P40">
        <f t="shared" si="17"/>
        <v>434.33487940964096</v>
      </c>
      <c r="Q40">
        <f t="shared" si="17"/>
        <v>434.33487940964096</v>
      </c>
      <c r="R40">
        <f t="shared" si="17"/>
        <v>434.33487940964096</v>
      </c>
      <c r="S40">
        <f t="shared" si="17"/>
        <v>434.33487940964096</v>
      </c>
      <c r="T40">
        <f t="shared" si="17"/>
        <v>434.33487940964096</v>
      </c>
      <c r="U40">
        <f t="shared" si="17"/>
        <v>434.33487940964096</v>
      </c>
      <c r="V40">
        <f t="shared" si="17"/>
        <v>434.33487940964096</v>
      </c>
      <c r="W40">
        <f t="shared" si="17"/>
        <v>434.33487940964096</v>
      </c>
      <c r="X40">
        <f t="shared" si="17"/>
        <v>434.33487940964096</v>
      </c>
      <c r="Y40">
        <f t="shared" si="17"/>
        <v>434.33487940964096</v>
      </c>
    </row>
    <row r="41" spans="1:25" x14ac:dyDescent="0.25">
      <c r="A41" s="77" t="s">
        <v>100</v>
      </c>
      <c r="B41">
        <f>B38/(1+((B12-1)/2*B37^2))^(B12/(B12-1))</f>
        <v>347.8432591518096</v>
      </c>
      <c r="C41" s="130">
        <f t="shared" ref="C41:Y41" si="18">C38/(1+((C12-1)/2*C37^2))^(C12/(C12-1))</f>
        <v>112.85784852439544</v>
      </c>
      <c r="D41" s="88">
        <f t="shared" si="18"/>
        <v>186.12565923908764</v>
      </c>
      <c r="E41">
        <f t="shared" si="18"/>
        <v>112.85784852439544</v>
      </c>
      <c r="F41">
        <f t="shared" si="18"/>
        <v>112.85784852439544</v>
      </c>
      <c r="G41">
        <f t="shared" si="18"/>
        <v>112.85784852439544</v>
      </c>
      <c r="H41">
        <f t="shared" si="18"/>
        <v>112.85784852439544</v>
      </c>
      <c r="I41">
        <f t="shared" si="18"/>
        <v>112.85784852439544</v>
      </c>
      <c r="J41">
        <f t="shared" si="18"/>
        <v>112.85784852439544</v>
      </c>
      <c r="K41">
        <f t="shared" si="18"/>
        <v>112.85784852439544</v>
      </c>
      <c r="L41">
        <f t="shared" si="18"/>
        <v>112.85784852439544</v>
      </c>
      <c r="M41">
        <f t="shared" si="18"/>
        <v>112.85784852439544</v>
      </c>
      <c r="N41">
        <f t="shared" si="18"/>
        <v>112.85784852439544</v>
      </c>
      <c r="O41">
        <f t="shared" si="18"/>
        <v>112.85784852439544</v>
      </c>
      <c r="P41">
        <f t="shared" si="18"/>
        <v>112.85784852439544</v>
      </c>
      <c r="Q41">
        <f t="shared" si="18"/>
        <v>112.85784852439544</v>
      </c>
      <c r="R41">
        <f t="shared" si="18"/>
        <v>112.85784852439544</v>
      </c>
      <c r="S41">
        <f t="shared" si="18"/>
        <v>112.85784852439544</v>
      </c>
      <c r="T41">
        <f t="shared" si="18"/>
        <v>112.85784852439544</v>
      </c>
      <c r="U41">
        <f t="shared" si="18"/>
        <v>112.85784852439544</v>
      </c>
      <c r="V41">
        <f t="shared" si="18"/>
        <v>112.85784852439544</v>
      </c>
      <c r="W41">
        <f t="shared" si="18"/>
        <v>112.85784852439544</v>
      </c>
      <c r="X41">
        <f t="shared" si="18"/>
        <v>112.85784852439544</v>
      </c>
      <c r="Y41">
        <f t="shared" si="18"/>
        <v>112.85784852439544</v>
      </c>
    </row>
    <row r="42" spans="1:25" x14ac:dyDescent="0.25">
      <c r="A42" s="77" t="s">
        <v>102</v>
      </c>
      <c r="B42">
        <f>B39/(1+((B12-1)/2*B37^2))</f>
        <v>507.24882503261648</v>
      </c>
      <c r="C42" s="130">
        <f t="shared" ref="C42:Y42" si="19">C39/(1+((C12-1)/2*C37^2))</f>
        <v>469.73801661301644</v>
      </c>
      <c r="D42" s="88">
        <f t="shared" si="19"/>
        <v>541.57823012883421</v>
      </c>
      <c r="E42">
        <f t="shared" si="19"/>
        <v>469.73801661301644</v>
      </c>
      <c r="F42">
        <f t="shared" si="19"/>
        <v>469.73801661301644</v>
      </c>
      <c r="G42">
        <f t="shared" si="19"/>
        <v>469.73801661301644</v>
      </c>
      <c r="H42">
        <f t="shared" si="19"/>
        <v>469.73801661301644</v>
      </c>
      <c r="I42">
        <f t="shared" si="19"/>
        <v>469.73801661301644</v>
      </c>
      <c r="J42">
        <f t="shared" si="19"/>
        <v>469.73801661301644</v>
      </c>
      <c r="K42">
        <f t="shared" si="19"/>
        <v>469.73801661301644</v>
      </c>
      <c r="L42">
        <f t="shared" si="19"/>
        <v>469.73801661301644</v>
      </c>
      <c r="M42">
        <f t="shared" si="19"/>
        <v>469.73801661301644</v>
      </c>
      <c r="N42">
        <f t="shared" si="19"/>
        <v>469.73801661301644</v>
      </c>
      <c r="O42">
        <f t="shared" si="19"/>
        <v>469.73801661301644</v>
      </c>
      <c r="P42">
        <f t="shared" si="19"/>
        <v>469.73801661301644</v>
      </c>
      <c r="Q42">
        <f t="shared" si="19"/>
        <v>469.73801661301644</v>
      </c>
      <c r="R42">
        <f t="shared" si="19"/>
        <v>469.73801661301644</v>
      </c>
      <c r="S42">
        <f t="shared" si="19"/>
        <v>469.73801661301644</v>
      </c>
      <c r="T42">
        <f t="shared" si="19"/>
        <v>469.73801661301644</v>
      </c>
      <c r="U42">
        <f t="shared" si="19"/>
        <v>469.73801661301644</v>
      </c>
      <c r="V42">
        <f t="shared" si="19"/>
        <v>469.73801661301644</v>
      </c>
      <c r="W42">
        <f t="shared" si="19"/>
        <v>469.73801661301644</v>
      </c>
      <c r="X42">
        <f t="shared" si="19"/>
        <v>469.73801661301644</v>
      </c>
      <c r="Y42">
        <f t="shared" si="19"/>
        <v>469.73801661301644</v>
      </c>
    </row>
    <row r="43" spans="1:25" x14ac:dyDescent="0.25">
      <c r="A43" s="86" t="s">
        <v>88</v>
      </c>
      <c r="B43" s="85"/>
      <c r="D43" s="90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spans="1:25" x14ac:dyDescent="0.25">
      <c r="A44" s="83" t="s">
        <v>141</v>
      </c>
      <c r="B44">
        <f>B45^((B12-1)/(B12*B47))</f>
        <v>1.0284714703746027</v>
      </c>
      <c r="C44" s="130">
        <f t="shared" ref="C44:Y44" si="20">C45^((C12-1)/(C12*C47))</f>
        <v>1.0307196008817763</v>
      </c>
      <c r="D44" s="88">
        <f t="shared" si="20"/>
        <v>1.0281768902241677</v>
      </c>
      <c r="E44">
        <f t="shared" si="20"/>
        <v>1.0307196008817763</v>
      </c>
      <c r="F44">
        <f t="shared" si="20"/>
        <v>1.0307196008817763</v>
      </c>
      <c r="G44">
        <f t="shared" si="20"/>
        <v>1.0307196008817763</v>
      </c>
      <c r="H44">
        <f t="shared" si="20"/>
        <v>1.0307196008817763</v>
      </c>
      <c r="I44">
        <f t="shared" si="20"/>
        <v>1.0307196008817763</v>
      </c>
      <c r="J44">
        <f t="shared" si="20"/>
        <v>1.0307196008817763</v>
      </c>
      <c r="K44">
        <f t="shared" si="20"/>
        <v>1.0307196008817763</v>
      </c>
      <c r="L44">
        <f t="shared" si="20"/>
        <v>1.0307196008817763</v>
      </c>
      <c r="M44">
        <f t="shared" si="20"/>
        <v>1.0307196008817763</v>
      </c>
      <c r="N44">
        <f t="shared" si="20"/>
        <v>1.0307196008817763</v>
      </c>
      <c r="O44">
        <f t="shared" si="20"/>
        <v>1.0307196008817763</v>
      </c>
      <c r="P44">
        <f t="shared" si="20"/>
        <v>1.0307196008817763</v>
      </c>
      <c r="Q44">
        <f t="shared" si="20"/>
        <v>1.0307196008817763</v>
      </c>
      <c r="R44">
        <f t="shared" si="20"/>
        <v>1.0307196008817763</v>
      </c>
      <c r="S44">
        <f t="shared" si="20"/>
        <v>1.0307196008817763</v>
      </c>
      <c r="T44">
        <f t="shared" si="20"/>
        <v>1.0307196008817763</v>
      </c>
      <c r="U44">
        <f t="shared" si="20"/>
        <v>1.0307196008817763</v>
      </c>
      <c r="V44">
        <f t="shared" si="20"/>
        <v>1.0307196008817763</v>
      </c>
      <c r="W44">
        <f t="shared" si="20"/>
        <v>1.0307196008817763</v>
      </c>
      <c r="X44">
        <f t="shared" si="20"/>
        <v>1.0307196008817763</v>
      </c>
      <c r="Y44">
        <f t="shared" si="20"/>
        <v>1.0307196008817763</v>
      </c>
    </row>
    <row r="45" spans="1:25" x14ac:dyDescent="0.25">
      <c r="A45" s="83" t="s">
        <v>142</v>
      </c>
      <c r="B45" s="82">
        <v>1.1000000000000001</v>
      </c>
      <c r="C45" s="131">
        <v>1.1000000000000001</v>
      </c>
      <c r="D45" s="89">
        <v>1.1000000000000001</v>
      </c>
      <c r="E45" s="82">
        <v>1.1000000000000001</v>
      </c>
      <c r="F45" s="82">
        <v>1.1000000000000001</v>
      </c>
      <c r="G45" s="82">
        <v>1.1000000000000001</v>
      </c>
      <c r="H45" s="82">
        <v>1.1000000000000001</v>
      </c>
      <c r="I45" s="82">
        <v>1.1000000000000001</v>
      </c>
      <c r="J45" s="82">
        <v>1.1000000000000001</v>
      </c>
      <c r="K45" s="82">
        <v>1.1000000000000001</v>
      </c>
      <c r="L45" s="82">
        <v>1.1000000000000001</v>
      </c>
      <c r="M45" s="82">
        <v>1.1000000000000001</v>
      </c>
      <c r="N45" s="82">
        <v>1.1000000000000001</v>
      </c>
      <c r="O45" s="82">
        <v>1.1000000000000001</v>
      </c>
      <c r="P45" s="82">
        <v>1.1000000000000001</v>
      </c>
      <c r="Q45" s="82">
        <v>1.1000000000000001</v>
      </c>
      <c r="R45" s="82">
        <v>1.1000000000000001</v>
      </c>
      <c r="S45" s="82">
        <v>1.1000000000000001</v>
      </c>
      <c r="T45" s="82">
        <v>1.1000000000000001</v>
      </c>
      <c r="U45" s="82">
        <v>1.1000000000000001</v>
      </c>
      <c r="V45" s="82">
        <v>1.1000000000000001</v>
      </c>
      <c r="W45" s="82">
        <v>1.1000000000000001</v>
      </c>
      <c r="X45" s="82">
        <v>1.1000000000000001</v>
      </c>
      <c r="Y45" s="82">
        <v>1.1000000000000001</v>
      </c>
    </row>
    <row r="46" spans="1:25" x14ac:dyDescent="0.25">
      <c r="A46" s="77" t="s">
        <v>144</v>
      </c>
      <c r="B46">
        <f>((B45^((B12-1)/B12))-1)/(B44-1)</f>
        <v>0.96958973206002641</v>
      </c>
      <c r="C46" s="130">
        <f t="shared" ref="C46:Y46" si="21">((C45^((C12-1)/C12))-1)/(C44-1)</f>
        <v>0.89863294246906977</v>
      </c>
      <c r="D46" s="88">
        <f t="shared" si="21"/>
        <v>0.97972647486088849</v>
      </c>
      <c r="E46">
        <f t="shared" si="21"/>
        <v>0.89863294246906977</v>
      </c>
      <c r="F46">
        <f t="shared" si="21"/>
        <v>0.89863294246906977</v>
      </c>
      <c r="G46">
        <f t="shared" si="21"/>
        <v>0.89863294246906977</v>
      </c>
      <c r="H46">
        <f t="shared" si="21"/>
        <v>0.89863294246906977</v>
      </c>
      <c r="I46">
        <f t="shared" si="21"/>
        <v>0.89863294246906977</v>
      </c>
      <c r="J46">
        <f t="shared" si="21"/>
        <v>0.89863294246906977</v>
      </c>
      <c r="K46">
        <f t="shared" si="21"/>
        <v>0.89863294246906977</v>
      </c>
      <c r="L46">
        <f t="shared" si="21"/>
        <v>0.89863294246906977</v>
      </c>
      <c r="M46">
        <f t="shared" si="21"/>
        <v>0.89863294246906977</v>
      </c>
      <c r="N46">
        <f t="shared" si="21"/>
        <v>0.89863294246906977</v>
      </c>
      <c r="O46">
        <f t="shared" si="21"/>
        <v>0.89863294246906977</v>
      </c>
      <c r="P46">
        <f t="shared" si="21"/>
        <v>0.89863294246906977</v>
      </c>
      <c r="Q46">
        <f t="shared" si="21"/>
        <v>0.89863294246906977</v>
      </c>
      <c r="R46">
        <f t="shared" si="21"/>
        <v>0.89863294246906977</v>
      </c>
      <c r="S46">
        <f t="shared" si="21"/>
        <v>0.89863294246906977</v>
      </c>
      <c r="T46">
        <f t="shared" si="21"/>
        <v>0.89863294246906977</v>
      </c>
      <c r="U46">
        <f t="shared" si="21"/>
        <v>0.89863294246906977</v>
      </c>
      <c r="V46">
        <f t="shared" si="21"/>
        <v>0.89863294246906977</v>
      </c>
      <c r="W46">
        <f t="shared" si="21"/>
        <v>0.89863294246906977</v>
      </c>
      <c r="X46">
        <f t="shared" si="21"/>
        <v>0.89863294246906977</v>
      </c>
      <c r="Y46">
        <f t="shared" si="21"/>
        <v>0.89863294246906977</v>
      </c>
    </row>
    <row r="47" spans="1:25" x14ac:dyDescent="0.25">
      <c r="A47" t="s">
        <v>143</v>
      </c>
      <c r="B47" s="82">
        <v>0.97</v>
      </c>
      <c r="C47" s="131">
        <v>0.9</v>
      </c>
      <c r="D47" s="89">
        <v>0.98</v>
      </c>
      <c r="E47" s="82">
        <v>0.9</v>
      </c>
      <c r="F47" s="82">
        <v>0.9</v>
      </c>
      <c r="G47" s="82">
        <v>0.9</v>
      </c>
      <c r="H47" s="82">
        <v>0.9</v>
      </c>
      <c r="I47" s="82">
        <v>0.9</v>
      </c>
      <c r="J47" s="82">
        <v>0.9</v>
      </c>
      <c r="K47" s="82">
        <v>0.9</v>
      </c>
      <c r="L47" s="82">
        <v>0.9</v>
      </c>
      <c r="M47" s="82">
        <v>0.9</v>
      </c>
      <c r="N47" s="82">
        <v>0.9</v>
      </c>
      <c r="O47" s="82">
        <v>0.9</v>
      </c>
      <c r="P47" s="82">
        <v>0.9</v>
      </c>
      <c r="Q47" s="82">
        <v>0.9</v>
      </c>
      <c r="R47" s="82">
        <v>0.9</v>
      </c>
      <c r="S47" s="82">
        <v>0.9</v>
      </c>
      <c r="T47" s="82">
        <v>0.9</v>
      </c>
      <c r="U47" s="82">
        <v>0.9</v>
      </c>
      <c r="V47" s="82">
        <v>0.9</v>
      </c>
      <c r="W47" s="82">
        <v>0.9</v>
      </c>
      <c r="X47" s="82">
        <v>0.9</v>
      </c>
      <c r="Y47" s="82">
        <v>0.9</v>
      </c>
    </row>
    <row r="48" spans="1:25" x14ac:dyDescent="0.25">
      <c r="A48" t="s">
        <v>145</v>
      </c>
      <c r="B48">
        <f>B44*B24</f>
        <v>367.20463100537188</v>
      </c>
      <c r="C48" s="130">
        <f t="shared" ref="C48:Y48" si="22">C44*C24</f>
        <v>413.73084779394497</v>
      </c>
      <c r="D48" s="88">
        <f t="shared" si="22"/>
        <v>412.71020373598088</v>
      </c>
      <c r="E48">
        <f t="shared" si="22"/>
        <v>413.73084779394497</v>
      </c>
      <c r="F48">
        <f t="shared" si="22"/>
        <v>413.73084779394497</v>
      </c>
      <c r="G48">
        <f t="shared" si="22"/>
        <v>413.73084779394497</v>
      </c>
      <c r="H48">
        <f t="shared" si="22"/>
        <v>413.73084779394497</v>
      </c>
      <c r="I48">
        <f t="shared" si="22"/>
        <v>413.73084779394497</v>
      </c>
      <c r="J48">
        <f t="shared" si="22"/>
        <v>413.73084779394497</v>
      </c>
      <c r="K48">
        <f t="shared" si="22"/>
        <v>413.73084779394497</v>
      </c>
      <c r="L48">
        <f t="shared" si="22"/>
        <v>413.73084779394497</v>
      </c>
      <c r="M48">
        <f t="shared" si="22"/>
        <v>413.73084779394497</v>
      </c>
      <c r="N48">
        <f t="shared" si="22"/>
        <v>413.73084779394497</v>
      </c>
      <c r="O48">
        <f t="shared" si="22"/>
        <v>413.73084779394497</v>
      </c>
      <c r="P48">
        <f t="shared" si="22"/>
        <v>413.73084779394497</v>
      </c>
      <c r="Q48">
        <f t="shared" si="22"/>
        <v>413.73084779394497</v>
      </c>
      <c r="R48">
        <f t="shared" si="22"/>
        <v>413.73084779394497</v>
      </c>
      <c r="S48">
        <f t="shared" si="22"/>
        <v>413.73084779394497</v>
      </c>
      <c r="T48">
        <f t="shared" si="22"/>
        <v>413.73084779394497</v>
      </c>
      <c r="U48">
        <f t="shared" si="22"/>
        <v>413.73084779394497</v>
      </c>
      <c r="V48">
        <f t="shared" si="22"/>
        <v>413.73084779394497</v>
      </c>
      <c r="W48">
        <f t="shared" si="22"/>
        <v>413.73084779394497</v>
      </c>
      <c r="X48">
        <f t="shared" si="22"/>
        <v>413.73084779394497</v>
      </c>
      <c r="Y48">
        <f t="shared" si="22"/>
        <v>413.73084779394497</v>
      </c>
    </row>
    <row r="49" spans="1:25" x14ac:dyDescent="0.25">
      <c r="A49" s="79" t="s">
        <v>146</v>
      </c>
      <c r="B49" s="79">
        <f>B25*B45</f>
        <v>131.29076670323943</v>
      </c>
      <c r="C49" s="130">
        <f t="shared" ref="C49:Y49" si="23">C25*C45</f>
        <v>77.67614865365141</v>
      </c>
      <c r="D49" s="92">
        <f t="shared" si="23"/>
        <v>80.83149244327349</v>
      </c>
      <c r="E49" s="79">
        <f t="shared" si="23"/>
        <v>77.67614865365141</v>
      </c>
      <c r="F49" s="79">
        <f t="shared" si="23"/>
        <v>77.67614865365141</v>
      </c>
      <c r="G49" s="79">
        <f t="shared" si="23"/>
        <v>77.67614865365141</v>
      </c>
      <c r="H49" s="79">
        <f t="shared" si="23"/>
        <v>77.67614865365141</v>
      </c>
      <c r="I49" s="79">
        <f t="shared" si="23"/>
        <v>77.67614865365141</v>
      </c>
      <c r="J49" s="79">
        <f t="shared" si="23"/>
        <v>77.67614865365141</v>
      </c>
      <c r="K49" s="79">
        <f t="shared" si="23"/>
        <v>77.67614865365141</v>
      </c>
      <c r="L49" s="79">
        <f t="shared" si="23"/>
        <v>77.67614865365141</v>
      </c>
      <c r="M49" s="79">
        <f t="shared" si="23"/>
        <v>77.67614865365141</v>
      </c>
      <c r="N49" s="79">
        <f t="shared" si="23"/>
        <v>77.67614865365141</v>
      </c>
      <c r="O49" s="79">
        <f t="shared" si="23"/>
        <v>77.67614865365141</v>
      </c>
      <c r="P49" s="79">
        <f t="shared" si="23"/>
        <v>77.67614865365141</v>
      </c>
      <c r="Q49" s="79">
        <f t="shared" si="23"/>
        <v>77.67614865365141</v>
      </c>
      <c r="R49" s="79">
        <f t="shared" si="23"/>
        <v>77.67614865365141</v>
      </c>
      <c r="S49" s="79">
        <f t="shared" si="23"/>
        <v>77.67614865365141</v>
      </c>
      <c r="T49" s="79">
        <f t="shared" si="23"/>
        <v>77.67614865365141</v>
      </c>
      <c r="U49" s="79">
        <f t="shared" si="23"/>
        <v>77.67614865365141</v>
      </c>
      <c r="V49" s="79">
        <f t="shared" si="23"/>
        <v>77.67614865365141</v>
      </c>
      <c r="W49" s="79">
        <f t="shared" si="23"/>
        <v>77.67614865365141</v>
      </c>
      <c r="X49" s="79">
        <f t="shared" si="23"/>
        <v>77.67614865365141</v>
      </c>
      <c r="Y49" s="79">
        <f t="shared" si="23"/>
        <v>77.67614865365141</v>
      </c>
    </row>
    <row r="50" spans="1:25" x14ac:dyDescent="0.25">
      <c r="A50" s="86" t="s">
        <v>89</v>
      </c>
      <c r="B50" s="85"/>
      <c r="D50" s="90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spans="1:25" x14ac:dyDescent="0.25">
      <c r="A51" s="83" t="s">
        <v>147</v>
      </c>
      <c r="B51">
        <f>B55/B48</f>
        <v>2.995604921943122</v>
      </c>
      <c r="C51" s="130">
        <f t="shared" ref="C51:Y51" si="24">C55/C48</f>
        <v>2.1903128684553033</v>
      </c>
      <c r="D51" s="88">
        <f t="shared" si="24"/>
        <v>2.6653084659464645</v>
      </c>
      <c r="E51">
        <f t="shared" si="24"/>
        <v>2.1903128684553033</v>
      </c>
      <c r="F51">
        <f t="shared" si="24"/>
        <v>2.1903128684553033</v>
      </c>
      <c r="G51">
        <f t="shared" si="24"/>
        <v>2.1903128684553033</v>
      </c>
      <c r="H51">
        <f t="shared" si="24"/>
        <v>2.1903128684553033</v>
      </c>
      <c r="I51">
        <f t="shared" si="24"/>
        <v>2.1903128684553033</v>
      </c>
      <c r="J51">
        <f t="shared" si="24"/>
        <v>2.1903128684553033</v>
      </c>
      <c r="K51">
        <f t="shared" si="24"/>
        <v>2.1903128684553033</v>
      </c>
      <c r="L51">
        <f t="shared" si="24"/>
        <v>2.1903128684553033</v>
      </c>
      <c r="M51">
        <f t="shared" si="24"/>
        <v>2.1903128684553033</v>
      </c>
      <c r="N51">
        <f t="shared" si="24"/>
        <v>2.1903128684553033</v>
      </c>
      <c r="O51">
        <f t="shared" si="24"/>
        <v>2.1903128684553033</v>
      </c>
      <c r="P51">
        <f t="shared" si="24"/>
        <v>2.1903128684553033</v>
      </c>
      <c r="Q51">
        <f t="shared" si="24"/>
        <v>2.1903128684553033</v>
      </c>
      <c r="R51">
        <f t="shared" si="24"/>
        <v>2.1903128684553033</v>
      </c>
      <c r="S51">
        <f t="shared" si="24"/>
        <v>2.1903128684553033</v>
      </c>
      <c r="T51">
        <f t="shared" si="24"/>
        <v>2.1903128684553033</v>
      </c>
      <c r="U51">
        <f t="shared" si="24"/>
        <v>2.1903128684553033</v>
      </c>
      <c r="V51">
        <f t="shared" si="24"/>
        <v>2.1903128684553033</v>
      </c>
      <c r="W51">
        <f t="shared" si="24"/>
        <v>2.1903128684553033</v>
      </c>
      <c r="X51">
        <f t="shared" si="24"/>
        <v>2.1903128684553033</v>
      </c>
      <c r="Y51">
        <f t="shared" si="24"/>
        <v>2.1903128684553033</v>
      </c>
    </row>
    <row r="52" spans="1:25" x14ac:dyDescent="0.25">
      <c r="A52" s="83" t="s">
        <v>148</v>
      </c>
      <c r="B52">
        <f>B51^((B12*B54)/(B12-1))</f>
        <v>39.901391309074</v>
      </c>
      <c r="C52" s="130">
        <f t="shared" ref="C52:Y52" si="25">C51^((C12*C54)/(C12-1))</f>
        <v>11.819371608895283</v>
      </c>
      <c r="D52" s="88">
        <f t="shared" si="25"/>
        <v>26.947068643440435</v>
      </c>
      <c r="E52">
        <f t="shared" si="25"/>
        <v>11.819371608895283</v>
      </c>
      <c r="F52">
        <f t="shared" si="25"/>
        <v>11.819371608895283</v>
      </c>
      <c r="G52">
        <f t="shared" si="25"/>
        <v>11.819371608895283</v>
      </c>
      <c r="H52">
        <f t="shared" si="25"/>
        <v>11.819371608895283</v>
      </c>
      <c r="I52">
        <f t="shared" si="25"/>
        <v>11.819371608895283</v>
      </c>
      <c r="J52">
        <f t="shared" si="25"/>
        <v>11.819371608895283</v>
      </c>
      <c r="K52">
        <f t="shared" si="25"/>
        <v>11.819371608895283</v>
      </c>
      <c r="L52">
        <f t="shared" si="25"/>
        <v>11.819371608895283</v>
      </c>
      <c r="M52">
        <f t="shared" si="25"/>
        <v>11.819371608895283</v>
      </c>
      <c r="N52">
        <f t="shared" si="25"/>
        <v>11.819371608895283</v>
      </c>
      <c r="O52">
        <f t="shared" si="25"/>
        <v>11.819371608895283</v>
      </c>
      <c r="P52">
        <f t="shared" si="25"/>
        <v>11.819371608895283</v>
      </c>
      <c r="Q52">
        <f t="shared" si="25"/>
        <v>11.819371608895283</v>
      </c>
      <c r="R52">
        <f t="shared" si="25"/>
        <v>11.819371608895283</v>
      </c>
      <c r="S52">
        <f t="shared" si="25"/>
        <v>11.819371608895283</v>
      </c>
      <c r="T52">
        <f t="shared" si="25"/>
        <v>11.819371608895283</v>
      </c>
      <c r="U52">
        <f t="shared" si="25"/>
        <v>11.819371608895283</v>
      </c>
      <c r="V52">
        <f t="shared" si="25"/>
        <v>11.819371608895283</v>
      </c>
      <c r="W52">
        <f t="shared" si="25"/>
        <v>11.819371608895283</v>
      </c>
      <c r="X52">
        <f t="shared" si="25"/>
        <v>11.819371608895283</v>
      </c>
      <c r="Y52">
        <f t="shared" si="25"/>
        <v>11.819371608895283</v>
      </c>
    </row>
    <row r="53" spans="1:25" x14ac:dyDescent="0.25">
      <c r="A53" s="77" t="s">
        <v>149</v>
      </c>
      <c r="B53">
        <f>((B52^((B12-1)/B12))-1)/(B51-1)</f>
        <v>0.93554752199043134</v>
      </c>
      <c r="C53" s="130">
        <f t="shared" ref="C53:Y53" si="26">((C52^((C12-1)/C12))-1)/(C51-1)</f>
        <v>0.86123766290523196</v>
      </c>
      <c r="D53" s="88">
        <f t="shared" si="26"/>
        <v>0.93845490755635963</v>
      </c>
      <c r="E53">
        <f t="shared" si="26"/>
        <v>0.86123766290523196</v>
      </c>
      <c r="F53">
        <f t="shared" si="26"/>
        <v>0.86123766290523196</v>
      </c>
      <c r="G53">
        <f t="shared" si="26"/>
        <v>0.86123766290523196</v>
      </c>
      <c r="H53">
        <f t="shared" si="26"/>
        <v>0.86123766290523196</v>
      </c>
      <c r="I53">
        <f t="shared" si="26"/>
        <v>0.86123766290523196</v>
      </c>
      <c r="J53">
        <f t="shared" si="26"/>
        <v>0.86123766290523196</v>
      </c>
      <c r="K53">
        <f t="shared" si="26"/>
        <v>0.86123766290523196</v>
      </c>
      <c r="L53">
        <f t="shared" si="26"/>
        <v>0.86123766290523196</v>
      </c>
      <c r="M53">
        <f t="shared" si="26"/>
        <v>0.86123766290523196</v>
      </c>
      <c r="N53">
        <f t="shared" si="26"/>
        <v>0.86123766290523196</v>
      </c>
      <c r="O53">
        <f t="shared" si="26"/>
        <v>0.86123766290523196</v>
      </c>
      <c r="P53">
        <f t="shared" si="26"/>
        <v>0.86123766290523196</v>
      </c>
      <c r="Q53">
        <f t="shared" si="26"/>
        <v>0.86123766290523196</v>
      </c>
      <c r="R53">
        <f t="shared" si="26"/>
        <v>0.86123766290523196</v>
      </c>
      <c r="S53">
        <f t="shared" si="26"/>
        <v>0.86123766290523196</v>
      </c>
      <c r="T53">
        <f t="shared" si="26"/>
        <v>0.86123766290523196</v>
      </c>
      <c r="U53">
        <f t="shared" si="26"/>
        <v>0.86123766290523196</v>
      </c>
      <c r="V53">
        <f t="shared" si="26"/>
        <v>0.86123766290523196</v>
      </c>
      <c r="W53">
        <f t="shared" si="26"/>
        <v>0.86123766290523196</v>
      </c>
      <c r="X53">
        <f t="shared" si="26"/>
        <v>0.86123766290523196</v>
      </c>
      <c r="Y53">
        <f t="shared" si="26"/>
        <v>0.86123766290523196</v>
      </c>
    </row>
    <row r="54" spans="1:25" x14ac:dyDescent="0.25">
      <c r="A54" t="s">
        <v>150</v>
      </c>
      <c r="B54" s="82">
        <v>0.96</v>
      </c>
      <c r="C54" s="131">
        <v>0.9</v>
      </c>
      <c r="D54" s="89">
        <v>0.96</v>
      </c>
      <c r="E54" s="82">
        <v>0.9</v>
      </c>
      <c r="F54" s="82">
        <v>0.9</v>
      </c>
      <c r="G54" s="82">
        <v>0.9</v>
      </c>
      <c r="H54" s="82">
        <v>0.9</v>
      </c>
      <c r="I54" s="82">
        <v>0.9</v>
      </c>
      <c r="J54" s="82">
        <v>0.9</v>
      </c>
      <c r="K54" s="82">
        <v>0.9</v>
      </c>
      <c r="L54" s="82">
        <v>0.9</v>
      </c>
      <c r="M54" s="82">
        <v>0.9</v>
      </c>
      <c r="N54" s="82">
        <v>0.9</v>
      </c>
      <c r="O54" s="82">
        <v>0.9</v>
      </c>
      <c r="P54" s="82">
        <v>0.9</v>
      </c>
      <c r="Q54" s="82">
        <v>0.9</v>
      </c>
      <c r="R54" s="82">
        <v>0.9</v>
      </c>
      <c r="S54" s="82">
        <v>0.9</v>
      </c>
      <c r="T54" s="82">
        <v>0.9</v>
      </c>
      <c r="U54" s="82">
        <v>0.9</v>
      </c>
      <c r="V54" s="82">
        <v>0.9</v>
      </c>
      <c r="W54" s="82">
        <v>0.9</v>
      </c>
      <c r="X54" s="82">
        <v>0.9</v>
      </c>
      <c r="Y54" s="82">
        <v>0.9</v>
      </c>
    </row>
    <row r="55" spans="1:25" x14ac:dyDescent="0.25">
      <c r="A55" t="s">
        <v>151</v>
      </c>
      <c r="B55" s="82">
        <v>1100</v>
      </c>
      <c r="C55" s="131">
        <v>906.2</v>
      </c>
      <c r="D55" s="89">
        <v>1100</v>
      </c>
      <c r="E55" s="82">
        <v>906.2</v>
      </c>
      <c r="F55" s="82">
        <v>906.2</v>
      </c>
      <c r="G55" s="82">
        <v>906.2</v>
      </c>
      <c r="H55" s="82">
        <v>906.2</v>
      </c>
      <c r="I55" s="82">
        <v>906.2</v>
      </c>
      <c r="J55" s="82">
        <v>906.2</v>
      </c>
      <c r="K55" s="82">
        <v>906.2</v>
      </c>
      <c r="L55" s="82">
        <v>906.2</v>
      </c>
      <c r="M55" s="82">
        <v>906.2</v>
      </c>
      <c r="N55" s="82">
        <v>906.2</v>
      </c>
      <c r="O55" s="82">
        <v>906.2</v>
      </c>
      <c r="P55" s="82">
        <v>906.2</v>
      </c>
      <c r="Q55" s="82">
        <v>906.2</v>
      </c>
      <c r="R55" s="82">
        <v>906.2</v>
      </c>
      <c r="S55" s="82">
        <v>906.2</v>
      </c>
      <c r="T55" s="82">
        <v>906.2</v>
      </c>
      <c r="U55" s="82">
        <v>906.2</v>
      </c>
      <c r="V55" s="82">
        <v>906.2</v>
      </c>
      <c r="W55" s="82">
        <v>906.2</v>
      </c>
      <c r="X55" s="82">
        <v>906.2</v>
      </c>
      <c r="Y55" s="82">
        <v>906.2</v>
      </c>
    </row>
    <row r="56" spans="1:25" x14ac:dyDescent="0.25">
      <c r="A56" t="s">
        <v>152</v>
      </c>
      <c r="B56">
        <f>B52*B49</f>
        <v>5238.6842574943003</v>
      </c>
      <c r="C56" s="130">
        <f t="shared" ref="C56:Y56" si="27">C52*C49</f>
        <v>918.08326608529705</v>
      </c>
      <c r="D56" s="88">
        <f t="shared" si="27"/>
        <v>2178.1717754206275</v>
      </c>
      <c r="E56">
        <f t="shared" si="27"/>
        <v>918.08326608529705</v>
      </c>
      <c r="F56">
        <f t="shared" si="27"/>
        <v>918.08326608529705</v>
      </c>
      <c r="G56">
        <f t="shared" si="27"/>
        <v>918.08326608529705</v>
      </c>
      <c r="H56">
        <f t="shared" si="27"/>
        <v>918.08326608529705</v>
      </c>
      <c r="I56">
        <f t="shared" si="27"/>
        <v>918.08326608529705</v>
      </c>
      <c r="J56">
        <f t="shared" si="27"/>
        <v>918.08326608529705</v>
      </c>
      <c r="K56">
        <f t="shared" si="27"/>
        <v>918.08326608529705</v>
      </c>
      <c r="L56">
        <f t="shared" si="27"/>
        <v>918.08326608529705</v>
      </c>
      <c r="M56">
        <f t="shared" si="27"/>
        <v>918.08326608529705</v>
      </c>
      <c r="N56">
        <f t="shared" si="27"/>
        <v>918.08326608529705</v>
      </c>
      <c r="O56">
        <f t="shared" si="27"/>
        <v>918.08326608529705</v>
      </c>
      <c r="P56">
        <f t="shared" si="27"/>
        <v>918.08326608529705</v>
      </c>
      <c r="Q56">
        <f t="shared" si="27"/>
        <v>918.08326608529705</v>
      </c>
      <c r="R56">
        <f t="shared" si="27"/>
        <v>918.08326608529705</v>
      </c>
      <c r="S56">
        <f t="shared" si="27"/>
        <v>918.08326608529705</v>
      </c>
      <c r="T56">
        <f t="shared" si="27"/>
        <v>918.08326608529705</v>
      </c>
      <c r="U56">
        <f t="shared" si="27"/>
        <v>918.08326608529705</v>
      </c>
      <c r="V56">
        <f t="shared" si="27"/>
        <v>918.08326608529705</v>
      </c>
      <c r="W56">
        <f t="shared" si="27"/>
        <v>918.08326608529705</v>
      </c>
      <c r="X56">
        <f t="shared" si="27"/>
        <v>918.08326608529705</v>
      </c>
      <c r="Y56">
        <f t="shared" si="27"/>
        <v>918.08326608529705</v>
      </c>
    </row>
    <row r="57" spans="1:25" x14ac:dyDescent="0.25">
      <c r="A57" t="s">
        <v>158</v>
      </c>
      <c r="B57">
        <f>B11*B55</f>
        <v>1104.4000000000001</v>
      </c>
      <c r="C57" s="130">
        <f t="shared" ref="C57:Y57" si="28">C11*C55</f>
        <v>909.8248000000001</v>
      </c>
      <c r="D57" s="88">
        <f t="shared" si="28"/>
        <v>1104.4000000000001</v>
      </c>
      <c r="E57">
        <f t="shared" si="28"/>
        <v>909.8248000000001</v>
      </c>
      <c r="F57">
        <f t="shared" si="28"/>
        <v>909.8248000000001</v>
      </c>
      <c r="G57">
        <f t="shared" si="28"/>
        <v>909.8248000000001</v>
      </c>
      <c r="H57">
        <f t="shared" si="28"/>
        <v>909.8248000000001</v>
      </c>
      <c r="I57">
        <f t="shared" si="28"/>
        <v>909.8248000000001</v>
      </c>
      <c r="J57">
        <f t="shared" si="28"/>
        <v>909.8248000000001</v>
      </c>
      <c r="K57">
        <f t="shared" si="28"/>
        <v>909.8248000000001</v>
      </c>
      <c r="L57">
        <f t="shared" si="28"/>
        <v>909.8248000000001</v>
      </c>
      <c r="M57">
        <f t="shared" si="28"/>
        <v>909.8248000000001</v>
      </c>
      <c r="N57">
        <f t="shared" si="28"/>
        <v>909.8248000000001</v>
      </c>
      <c r="O57">
        <f t="shared" si="28"/>
        <v>909.8248000000001</v>
      </c>
      <c r="P57">
        <f t="shared" si="28"/>
        <v>909.8248000000001</v>
      </c>
      <c r="Q57">
        <f t="shared" si="28"/>
        <v>909.8248000000001</v>
      </c>
      <c r="R57">
        <f t="shared" si="28"/>
        <v>909.8248000000001</v>
      </c>
      <c r="S57">
        <f t="shared" si="28"/>
        <v>909.8248000000001</v>
      </c>
      <c r="T57">
        <f t="shared" si="28"/>
        <v>909.8248000000001</v>
      </c>
      <c r="U57">
        <f t="shared" si="28"/>
        <v>909.8248000000001</v>
      </c>
      <c r="V57">
        <f t="shared" si="28"/>
        <v>909.8248000000001</v>
      </c>
      <c r="W57">
        <f t="shared" si="28"/>
        <v>909.8248000000001</v>
      </c>
      <c r="X57">
        <f t="shared" si="28"/>
        <v>909.8248000000001</v>
      </c>
      <c r="Y57">
        <f t="shared" si="28"/>
        <v>909.8248000000001</v>
      </c>
    </row>
    <row r="58" spans="1:25" x14ac:dyDescent="0.25">
      <c r="A58" s="83" t="s">
        <v>180</v>
      </c>
      <c r="B58">
        <f>B51*B44</f>
        <v>3.0808941987322398</v>
      </c>
      <c r="C58" s="130">
        <f t="shared" ref="C58:Y58" si="29">C51*C44</f>
        <v>2.2575984055804685</v>
      </c>
      <c r="D58" s="88">
        <f t="shared" si="29"/>
        <v>2.7404085700049827</v>
      </c>
      <c r="E58">
        <f t="shared" si="29"/>
        <v>2.2575984055804685</v>
      </c>
      <c r="F58">
        <f t="shared" si="29"/>
        <v>2.2575984055804685</v>
      </c>
      <c r="G58">
        <f t="shared" si="29"/>
        <v>2.2575984055804685</v>
      </c>
      <c r="H58">
        <f t="shared" si="29"/>
        <v>2.2575984055804685</v>
      </c>
      <c r="I58">
        <f t="shared" si="29"/>
        <v>2.2575984055804685</v>
      </c>
      <c r="J58">
        <f t="shared" si="29"/>
        <v>2.2575984055804685</v>
      </c>
      <c r="K58">
        <f t="shared" si="29"/>
        <v>2.2575984055804685</v>
      </c>
      <c r="L58">
        <f t="shared" si="29"/>
        <v>2.2575984055804685</v>
      </c>
      <c r="M58">
        <f t="shared" si="29"/>
        <v>2.2575984055804685</v>
      </c>
      <c r="N58">
        <f t="shared" si="29"/>
        <v>2.2575984055804685</v>
      </c>
      <c r="O58">
        <f t="shared" si="29"/>
        <v>2.2575984055804685</v>
      </c>
      <c r="P58">
        <f t="shared" si="29"/>
        <v>2.2575984055804685</v>
      </c>
      <c r="Q58">
        <f t="shared" si="29"/>
        <v>2.2575984055804685</v>
      </c>
      <c r="R58">
        <f t="shared" si="29"/>
        <v>2.2575984055804685</v>
      </c>
      <c r="S58">
        <f t="shared" si="29"/>
        <v>2.2575984055804685</v>
      </c>
      <c r="T58">
        <f t="shared" si="29"/>
        <v>2.2575984055804685</v>
      </c>
      <c r="U58">
        <f t="shared" si="29"/>
        <v>2.2575984055804685</v>
      </c>
      <c r="V58">
        <f t="shared" si="29"/>
        <v>2.2575984055804685</v>
      </c>
      <c r="W58">
        <f t="shared" si="29"/>
        <v>2.2575984055804685</v>
      </c>
      <c r="X58">
        <f t="shared" si="29"/>
        <v>2.2575984055804685</v>
      </c>
      <c r="Y58">
        <f t="shared" si="29"/>
        <v>2.2575984055804685</v>
      </c>
    </row>
    <row r="59" spans="1:25" x14ac:dyDescent="0.25">
      <c r="A59" t="s">
        <v>169</v>
      </c>
      <c r="B59">
        <f>B52*B45</f>
        <v>43.891530439981402</v>
      </c>
      <c r="C59" s="130">
        <f t="shared" ref="C59:Y59" si="30">C52*C45</f>
        <v>13.001308769784812</v>
      </c>
      <c r="D59" s="88">
        <f t="shared" si="30"/>
        <v>29.64177550778448</v>
      </c>
      <c r="E59">
        <f t="shared" si="30"/>
        <v>13.001308769784812</v>
      </c>
      <c r="F59">
        <f t="shared" si="30"/>
        <v>13.001308769784812</v>
      </c>
      <c r="G59">
        <f t="shared" si="30"/>
        <v>13.001308769784812</v>
      </c>
      <c r="H59">
        <f t="shared" si="30"/>
        <v>13.001308769784812</v>
      </c>
      <c r="I59">
        <f t="shared" si="30"/>
        <v>13.001308769784812</v>
      </c>
      <c r="J59">
        <f t="shared" si="30"/>
        <v>13.001308769784812</v>
      </c>
      <c r="K59">
        <f t="shared" si="30"/>
        <v>13.001308769784812</v>
      </c>
      <c r="L59">
        <f t="shared" si="30"/>
        <v>13.001308769784812</v>
      </c>
      <c r="M59">
        <f t="shared" si="30"/>
        <v>13.001308769784812</v>
      </c>
      <c r="N59">
        <f t="shared" si="30"/>
        <v>13.001308769784812</v>
      </c>
      <c r="O59">
        <f t="shared" si="30"/>
        <v>13.001308769784812</v>
      </c>
      <c r="P59">
        <f t="shared" si="30"/>
        <v>13.001308769784812</v>
      </c>
      <c r="Q59">
        <f t="shared" si="30"/>
        <v>13.001308769784812</v>
      </c>
      <c r="R59">
        <f t="shared" si="30"/>
        <v>13.001308769784812</v>
      </c>
      <c r="S59">
        <f t="shared" si="30"/>
        <v>13.001308769784812</v>
      </c>
      <c r="T59">
        <f t="shared" si="30"/>
        <v>13.001308769784812</v>
      </c>
      <c r="U59">
        <f t="shared" si="30"/>
        <v>13.001308769784812</v>
      </c>
      <c r="V59">
        <f t="shared" si="30"/>
        <v>13.001308769784812</v>
      </c>
      <c r="W59">
        <f t="shared" si="30"/>
        <v>13.001308769784812</v>
      </c>
      <c r="X59">
        <f t="shared" si="30"/>
        <v>13.001308769784812</v>
      </c>
      <c r="Y59">
        <f t="shared" si="30"/>
        <v>13.001308769784812</v>
      </c>
    </row>
    <row r="60" spans="1:25" x14ac:dyDescent="0.25">
      <c r="A60" s="79" t="s">
        <v>50</v>
      </c>
      <c r="B60" s="79">
        <f>B52*B45*B28*B21</f>
        <v>152.56587965372569</v>
      </c>
      <c r="C60" s="79">
        <f t="shared" ref="C60:Y60" si="31">C52*C45*C28*C21</f>
        <v>22.293687269926423</v>
      </c>
      <c r="D60" s="92">
        <f t="shared" si="31"/>
        <v>97.433073547049332</v>
      </c>
      <c r="E60" s="79">
        <f t="shared" si="31"/>
        <v>22.293687269926423</v>
      </c>
      <c r="F60" s="79">
        <f t="shared" si="31"/>
        <v>22.293687269926423</v>
      </c>
      <c r="G60" s="79">
        <f t="shared" si="31"/>
        <v>22.293687269926423</v>
      </c>
      <c r="H60" s="79">
        <f t="shared" si="31"/>
        <v>22.293687269926423</v>
      </c>
      <c r="I60" s="79">
        <f t="shared" si="31"/>
        <v>22.293687269926423</v>
      </c>
      <c r="J60" s="79">
        <f t="shared" si="31"/>
        <v>22.293687269926423</v>
      </c>
      <c r="K60" s="79">
        <f t="shared" si="31"/>
        <v>22.293687269926423</v>
      </c>
      <c r="L60" s="79">
        <f t="shared" si="31"/>
        <v>22.293687269926423</v>
      </c>
      <c r="M60" s="79">
        <f t="shared" si="31"/>
        <v>22.293687269926423</v>
      </c>
      <c r="N60" s="79">
        <f t="shared" si="31"/>
        <v>22.293687269926423</v>
      </c>
      <c r="O60" s="79">
        <f t="shared" si="31"/>
        <v>22.293687269926423</v>
      </c>
      <c r="P60" s="79">
        <f t="shared" si="31"/>
        <v>22.293687269926423</v>
      </c>
      <c r="Q60" s="79">
        <f t="shared" si="31"/>
        <v>22.293687269926423</v>
      </c>
      <c r="R60" s="79">
        <f t="shared" si="31"/>
        <v>22.293687269926423</v>
      </c>
      <c r="S60" s="79">
        <f t="shared" si="31"/>
        <v>22.293687269926423</v>
      </c>
      <c r="T60" s="79">
        <f t="shared" si="31"/>
        <v>22.293687269926423</v>
      </c>
      <c r="U60" s="79">
        <f t="shared" si="31"/>
        <v>22.293687269926423</v>
      </c>
      <c r="V60" s="79">
        <f t="shared" si="31"/>
        <v>22.293687269926423</v>
      </c>
      <c r="W60" s="79">
        <f t="shared" si="31"/>
        <v>22.293687269926423</v>
      </c>
      <c r="X60" s="79">
        <f t="shared" si="31"/>
        <v>22.293687269926423</v>
      </c>
      <c r="Y60" s="79">
        <f t="shared" si="31"/>
        <v>22.293687269926423</v>
      </c>
    </row>
    <row r="61" spans="1:25" x14ac:dyDescent="0.25">
      <c r="A61" s="87" t="s">
        <v>49</v>
      </c>
    </row>
    <row r="62" spans="1:25" x14ac:dyDescent="0.25">
      <c r="A62" s="83" t="s">
        <v>153</v>
      </c>
      <c r="B62" s="82">
        <v>0.95</v>
      </c>
      <c r="C62" s="131">
        <v>0.95</v>
      </c>
      <c r="D62" s="89">
        <v>0.95</v>
      </c>
      <c r="E62" s="82">
        <v>0.95</v>
      </c>
      <c r="F62" s="82">
        <v>0.95</v>
      </c>
      <c r="G62" s="82">
        <v>0.95</v>
      </c>
      <c r="H62" s="82">
        <v>0.95</v>
      </c>
      <c r="I62" s="82">
        <v>0.95</v>
      </c>
      <c r="J62" s="82">
        <v>0.95</v>
      </c>
      <c r="K62" s="82">
        <v>0.95</v>
      </c>
      <c r="L62" s="82">
        <v>0.95</v>
      </c>
      <c r="M62" s="82">
        <v>0.95</v>
      </c>
      <c r="N62" s="82">
        <v>0.95</v>
      </c>
      <c r="O62" s="82">
        <v>0.95</v>
      </c>
      <c r="P62" s="82">
        <v>0.95</v>
      </c>
      <c r="Q62" s="82">
        <v>0.95</v>
      </c>
      <c r="R62" s="82">
        <v>0.95</v>
      </c>
      <c r="S62" s="82">
        <v>0.95</v>
      </c>
      <c r="T62" s="82">
        <v>0.95</v>
      </c>
      <c r="U62" s="82">
        <v>0.95</v>
      </c>
      <c r="V62" s="82">
        <v>0.95</v>
      </c>
      <c r="W62" s="82">
        <v>0.95</v>
      </c>
      <c r="X62" s="82">
        <v>0.95</v>
      </c>
      <c r="Y62" s="82">
        <v>0.95</v>
      </c>
    </row>
    <row r="63" spans="1:25" x14ac:dyDescent="0.25">
      <c r="A63" s="77" t="s">
        <v>154</v>
      </c>
      <c r="B63" s="82">
        <v>0.98</v>
      </c>
      <c r="C63" s="131">
        <v>0.98</v>
      </c>
      <c r="D63" s="89">
        <v>0.98</v>
      </c>
      <c r="E63" s="82">
        <v>0.98</v>
      </c>
      <c r="F63" s="82">
        <v>0.98</v>
      </c>
      <c r="G63" s="82">
        <v>0.98</v>
      </c>
      <c r="H63" s="82">
        <v>0.98</v>
      </c>
      <c r="I63" s="82">
        <v>0.98</v>
      </c>
      <c r="J63" s="82">
        <v>0.98</v>
      </c>
      <c r="K63" s="82">
        <v>0.98</v>
      </c>
      <c r="L63" s="82">
        <v>0.98</v>
      </c>
      <c r="M63" s="82">
        <v>0.98</v>
      </c>
      <c r="N63" s="82">
        <v>0.98</v>
      </c>
      <c r="O63" s="82">
        <v>0.98</v>
      </c>
      <c r="P63" s="82">
        <v>0.98</v>
      </c>
      <c r="Q63" s="82">
        <v>0.98</v>
      </c>
      <c r="R63" s="82">
        <v>0.98</v>
      </c>
      <c r="S63" s="82">
        <v>0.98</v>
      </c>
      <c r="T63" s="82">
        <v>0.98</v>
      </c>
      <c r="U63" s="82">
        <v>0.98</v>
      </c>
      <c r="V63" s="82">
        <v>0.98</v>
      </c>
      <c r="W63" s="82">
        <v>0.98</v>
      </c>
      <c r="X63" s="82">
        <v>0.98</v>
      </c>
      <c r="Y63" s="82">
        <v>0.98</v>
      </c>
    </row>
    <row r="64" spans="1:25" x14ac:dyDescent="0.25">
      <c r="A64" t="s">
        <v>155</v>
      </c>
      <c r="B64" s="82">
        <v>42000</v>
      </c>
      <c r="C64" s="131">
        <v>42000</v>
      </c>
      <c r="D64" s="89">
        <v>42000</v>
      </c>
      <c r="E64" s="82">
        <v>42000</v>
      </c>
      <c r="F64" s="82">
        <v>42000</v>
      </c>
      <c r="G64" s="82">
        <v>42000</v>
      </c>
      <c r="H64" s="82">
        <v>42000</v>
      </c>
      <c r="I64" s="82">
        <v>42000</v>
      </c>
      <c r="J64" s="82">
        <v>42000</v>
      </c>
      <c r="K64" s="82">
        <v>42000</v>
      </c>
      <c r="L64" s="82">
        <v>42000</v>
      </c>
      <c r="M64" s="82">
        <v>42000</v>
      </c>
      <c r="N64" s="82">
        <v>42000</v>
      </c>
      <c r="O64" s="82">
        <v>42000</v>
      </c>
      <c r="P64" s="82">
        <v>42000</v>
      </c>
      <c r="Q64" s="82">
        <v>42000</v>
      </c>
      <c r="R64" s="82">
        <v>42000</v>
      </c>
      <c r="S64" s="82">
        <v>42000</v>
      </c>
      <c r="T64" s="82">
        <v>42000</v>
      </c>
      <c r="U64" s="82">
        <v>42000</v>
      </c>
      <c r="V64" s="82">
        <v>42000</v>
      </c>
      <c r="W64" s="82">
        <v>42000</v>
      </c>
      <c r="X64" s="82">
        <v>42000</v>
      </c>
      <c r="Y64" s="82">
        <v>42000</v>
      </c>
    </row>
    <row r="65" spans="1:25" x14ac:dyDescent="0.25">
      <c r="A65" t="s">
        <v>156</v>
      </c>
      <c r="B65" s="82">
        <v>2100</v>
      </c>
      <c r="C65" s="131">
        <v>1600</v>
      </c>
      <c r="D65" s="89">
        <v>2100</v>
      </c>
      <c r="E65" s="82">
        <v>1600</v>
      </c>
      <c r="F65" s="82">
        <v>1600</v>
      </c>
      <c r="G65" s="82">
        <v>1600</v>
      </c>
      <c r="H65" s="82">
        <v>1600</v>
      </c>
      <c r="I65" s="82">
        <v>1600</v>
      </c>
      <c r="J65" s="82">
        <v>1600</v>
      </c>
      <c r="K65" s="82">
        <v>1600</v>
      </c>
      <c r="L65" s="82">
        <v>1600</v>
      </c>
      <c r="M65" s="82">
        <v>1600</v>
      </c>
      <c r="N65" s="82">
        <v>1600</v>
      </c>
      <c r="O65" s="82">
        <v>1600</v>
      </c>
      <c r="P65" s="82">
        <v>1600</v>
      </c>
      <c r="Q65" s="82">
        <v>1600</v>
      </c>
      <c r="R65" s="82">
        <v>1600</v>
      </c>
      <c r="S65" s="82">
        <v>1600</v>
      </c>
      <c r="T65" s="82">
        <v>1600</v>
      </c>
      <c r="U65" s="82">
        <v>1600</v>
      </c>
      <c r="V65" s="82">
        <v>1600</v>
      </c>
      <c r="W65" s="82">
        <v>1600</v>
      </c>
      <c r="X65" s="82">
        <v>1600</v>
      </c>
      <c r="Y65" s="82">
        <v>1600</v>
      </c>
    </row>
    <row r="66" spans="1:25" x14ac:dyDescent="0.25">
      <c r="A66" t="s">
        <v>157</v>
      </c>
      <c r="B66">
        <f>B62*B56</f>
        <v>4976.7500446195854</v>
      </c>
      <c r="C66" s="130">
        <f t="shared" ref="C66:Y66" si="32">C62*C56</f>
        <v>872.17910278103216</v>
      </c>
      <c r="D66" s="88">
        <f t="shared" si="32"/>
        <v>2069.2631866495958</v>
      </c>
      <c r="E66">
        <f t="shared" si="32"/>
        <v>872.17910278103216</v>
      </c>
      <c r="F66">
        <f t="shared" si="32"/>
        <v>872.17910278103216</v>
      </c>
      <c r="G66">
        <f t="shared" si="32"/>
        <v>872.17910278103216</v>
      </c>
      <c r="H66">
        <f t="shared" si="32"/>
        <v>872.17910278103216</v>
      </c>
      <c r="I66">
        <f t="shared" si="32"/>
        <v>872.17910278103216</v>
      </c>
      <c r="J66">
        <f t="shared" si="32"/>
        <v>872.17910278103216</v>
      </c>
      <c r="K66">
        <f t="shared" si="32"/>
        <v>872.17910278103216</v>
      </c>
      <c r="L66">
        <f t="shared" si="32"/>
        <v>872.17910278103216</v>
      </c>
      <c r="M66">
        <f t="shared" si="32"/>
        <v>872.17910278103216</v>
      </c>
      <c r="N66">
        <f t="shared" si="32"/>
        <v>872.17910278103216</v>
      </c>
      <c r="O66">
        <f t="shared" si="32"/>
        <v>872.17910278103216</v>
      </c>
      <c r="P66">
        <f t="shared" si="32"/>
        <v>872.17910278103216</v>
      </c>
      <c r="Q66">
        <f t="shared" si="32"/>
        <v>872.17910278103216</v>
      </c>
      <c r="R66">
        <f t="shared" si="32"/>
        <v>872.17910278103216</v>
      </c>
      <c r="S66">
        <f t="shared" si="32"/>
        <v>872.17910278103216</v>
      </c>
      <c r="T66">
        <f t="shared" si="32"/>
        <v>872.17910278103216</v>
      </c>
      <c r="U66">
        <f t="shared" si="32"/>
        <v>872.17910278103216</v>
      </c>
      <c r="V66">
        <f t="shared" si="32"/>
        <v>872.17910278103216</v>
      </c>
      <c r="W66">
        <f t="shared" si="32"/>
        <v>872.17910278103216</v>
      </c>
      <c r="X66">
        <f t="shared" si="32"/>
        <v>872.17910278103216</v>
      </c>
      <c r="Y66">
        <f t="shared" si="32"/>
        <v>872.17910278103216</v>
      </c>
    </row>
    <row r="67" spans="1:25" x14ac:dyDescent="0.25">
      <c r="A67" t="s">
        <v>161</v>
      </c>
      <c r="B67">
        <f>B13*B65</f>
        <v>2419.1999999999998</v>
      </c>
      <c r="C67" s="130">
        <f t="shared" ref="C67:Y67" si="33">C13*C65</f>
        <v>1843.1999999999998</v>
      </c>
      <c r="D67" s="88">
        <f t="shared" si="33"/>
        <v>2419.1999999999998</v>
      </c>
      <c r="E67">
        <f t="shared" si="33"/>
        <v>1843.1999999999998</v>
      </c>
      <c r="F67">
        <f t="shared" si="33"/>
        <v>1843.1999999999998</v>
      </c>
      <c r="G67">
        <f t="shared" si="33"/>
        <v>1843.1999999999998</v>
      </c>
      <c r="H67">
        <f t="shared" si="33"/>
        <v>1843.1999999999998</v>
      </c>
      <c r="I67">
        <f t="shared" si="33"/>
        <v>1843.1999999999998</v>
      </c>
      <c r="J67">
        <f t="shared" si="33"/>
        <v>1843.1999999999998</v>
      </c>
      <c r="K67">
        <f t="shared" si="33"/>
        <v>1843.1999999999998</v>
      </c>
      <c r="L67">
        <f t="shared" si="33"/>
        <v>1843.1999999999998</v>
      </c>
      <c r="M67">
        <f t="shared" si="33"/>
        <v>1843.1999999999998</v>
      </c>
      <c r="N67">
        <f t="shared" si="33"/>
        <v>1843.1999999999998</v>
      </c>
      <c r="O67">
        <f t="shared" si="33"/>
        <v>1843.1999999999998</v>
      </c>
      <c r="P67">
        <f t="shared" si="33"/>
        <v>1843.1999999999998</v>
      </c>
      <c r="Q67">
        <f t="shared" si="33"/>
        <v>1843.1999999999998</v>
      </c>
      <c r="R67">
        <f t="shared" si="33"/>
        <v>1843.1999999999998</v>
      </c>
      <c r="S67">
        <f t="shared" si="33"/>
        <v>1843.1999999999998</v>
      </c>
      <c r="T67">
        <f t="shared" si="33"/>
        <v>1843.1999999999998</v>
      </c>
      <c r="U67">
        <f t="shared" si="33"/>
        <v>1843.1999999999998</v>
      </c>
      <c r="V67">
        <f t="shared" si="33"/>
        <v>1843.1999999999998</v>
      </c>
      <c r="W67">
        <f t="shared" si="33"/>
        <v>1843.1999999999998</v>
      </c>
      <c r="X67">
        <f t="shared" si="33"/>
        <v>1843.1999999999998</v>
      </c>
      <c r="Y67">
        <f t="shared" si="33"/>
        <v>1843.1999999999998</v>
      </c>
    </row>
    <row r="68" spans="1:25" x14ac:dyDescent="0.25">
      <c r="A68" s="83" t="s">
        <v>176</v>
      </c>
      <c r="B68">
        <f>(B13*B65)/(B11*B5)</f>
        <v>11.121909776081456</v>
      </c>
      <c r="C68" s="130">
        <f t="shared" ref="C68:Y68" si="34">(C13*C65)/(C11*C5)</f>
        <v>8.2325406892608921</v>
      </c>
      <c r="D68" s="88">
        <f t="shared" si="34"/>
        <v>10.805209654654922</v>
      </c>
      <c r="E68">
        <f t="shared" si="34"/>
        <v>8.2325406892608921</v>
      </c>
      <c r="F68">
        <f t="shared" si="34"/>
        <v>8.2325406892608921</v>
      </c>
      <c r="G68">
        <f t="shared" si="34"/>
        <v>8.2325406892608921</v>
      </c>
      <c r="H68">
        <f t="shared" si="34"/>
        <v>8.2325406892608921</v>
      </c>
      <c r="I68">
        <f t="shared" si="34"/>
        <v>8.2325406892608921</v>
      </c>
      <c r="J68">
        <f t="shared" si="34"/>
        <v>8.2325406892608921</v>
      </c>
      <c r="K68">
        <f t="shared" si="34"/>
        <v>8.2325406892608921</v>
      </c>
      <c r="L68">
        <f t="shared" si="34"/>
        <v>8.2325406892608921</v>
      </c>
      <c r="M68">
        <f t="shared" si="34"/>
        <v>8.2325406892608921</v>
      </c>
      <c r="N68">
        <f t="shared" si="34"/>
        <v>8.2325406892608921</v>
      </c>
      <c r="O68">
        <f t="shared" si="34"/>
        <v>8.2325406892608921</v>
      </c>
      <c r="P68">
        <f t="shared" si="34"/>
        <v>8.2325406892608921</v>
      </c>
      <c r="Q68">
        <f t="shared" si="34"/>
        <v>8.2325406892608921</v>
      </c>
      <c r="R68">
        <f t="shared" si="34"/>
        <v>8.2325406892608921</v>
      </c>
      <c r="S68">
        <f t="shared" si="34"/>
        <v>8.2325406892608921</v>
      </c>
      <c r="T68">
        <f t="shared" si="34"/>
        <v>8.2325406892608921</v>
      </c>
      <c r="U68">
        <f t="shared" si="34"/>
        <v>8.2325406892608921</v>
      </c>
      <c r="V68">
        <f t="shared" si="34"/>
        <v>8.2325406892608921</v>
      </c>
      <c r="W68">
        <f t="shared" si="34"/>
        <v>8.2325406892608921</v>
      </c>
      <c r="X68">
        <f t="shared" si="34"/>
        <v>8.2325406892608921</v>
      </c>
      <c r="Y68">
        <f t="shared" si="34"/>
        <v>8.2325406892608921</v>
      </c>
    </row>
    <row r="69" spans="1:25" x14ac:dyDescent="0.25">
      <c r="A69" s="79" t="s">
        <v>98</v>
      </c>
      <c r="B69" s="79">
        <f>(B67-B57)/((B64*B63)-B67)</f>
        <v>3.3938380208978637E-2</v>
      </c>
      <c r="C69" s="79">
        <f t="shared" ref="C69:Y69" si="35">(C67-C57)/((C64*C63)-C67)</f>
        <v>2.3739856753347159E-2</v>
      </c>
      <c r="D69" s="92">
        <f t="shared" si="35"/>
        <v>3.3938380208978637E-2</v>
      </c>
      <c r="E69" s="79">
        <f t="shared" si="35"/>
        <v>2.3739856753347159E-2</v>
      </c>
      <c r="F69" s="79">
        <f t="shared" si="35"/>
        <v>2.3739856753347159E-2</v>
      </c>
      <c r="G69" s="79">
        <f t="shared" si="35"/>
        <v>2.3739856753347159E-2</v>
      </c>
      <c r="H69" s="79">
        <f t="shared" si="35"/>
        <v>2.3739856753347159E-2</v>
      </c>
      <c r="I69" s="79">
        <f t="shared" si="35"/>
        <v>2.3739856753347159E-2</v>
      </c>
      <c r="J69" s="79">
        <f t="shared" si="35"/>
        <v>2.3739856753347159E-2</v>
      </c>
      <c r="K69" s="79">
        <f t="shared" si="35"/>
        <v>2.3739856753347159E-2</v>
      </c>
      <c r="L69" s="79">
        <f t="shared" si="35"/>
        <v>2.3739856753347159E-2</v>
      </c>
      <c r="M69" s="79">
        <f t="shared" si="35"/>
        <v>2.3739856753347159E-2</v>
      </c>
      <c r="N69" s="79">
        <f t="shared" si="35"/>
        <v>2.3739856753347159E-2</v>
      </c>
      <c r="O69" s="79">
        <f t="shared" si="35"/>
        <v>2.3739856753347159E-2</v>
      </c>
      <c r="P69" s="79">
        <f t="shared" si="35"/>
        <v>2.3739856753347159E-2</v>
      </c>
      <c r="Q69" s="79">
        <f t="shared" si="35"/>
        <v>2.3739856753347159E-2</v>
      </c>
      <c r="R69" s="79">
        <f t="shared" si="35"/>
        <v>2.3739856753347159E-2</v>
      </c>
      <c r="S69" s="79">
        <f t="shared" si="35"/>
        <v>2.3739856753347159E-2</v>
      </c>
      <c r="T69" s="79">
        <f t="shared" si="35"/>
        <v>2.3739856753347159E-2</v>
      </c>
      <c r="U69" s="79">
        <f t="shared" si="35"/>
        <v>2.3739856753347159E-2</v>
      </c>
      <c r="V69" s="79">
        <f t="shared" si="35"/>
        <v>2.3739856753347159E-2</v>
      </c>
      <c r="W69" s="79">
        <f t="shared" si="35"/>
        <v>2.3739856753347159E-2</v>
      </c>
      <c r="X69" s="79">
        <f t="shared" si="35"/>
        <v>2.3739856753347159E-2</v>
      </c>
      <c r="Y69" s="79">
        <f t="shared" si="35"/>
        <v>2.3739856753347159E-2</v>
      </c>
    </row>
    <row r="70" spans="1:25" x14ac:dyDescent="0.25">
      <c r="A70" s="87" t="s">
        <v>91</v>
      </c>
    </row>
    <row r="71" spans="1:25" x14ac:dyDescent="0.25">
      <c r="A71" s="83" t="s">
        <v>170</v>
      </c>
      <c r="B71">
        <f>B72^((B14-1)*B74/B14)</f>
        <v>0.74665811647891855</v>
      </c>
      <c r="C71" s="130">
        <f t="shared" ref="C71:Y71" si="36">C72^((C14-1)*C74/C14)</f>
        <v>0.65335219115015764</v>
      </c>
      <c r="D71" s="88">
        <f t="shared" si="36"/>
        <v>0.57366678029826368</v>
      </c>
      <c r="E71">
        <f t="shared" si="36"/>
        <v>0.87408595959211832</v>
      </c>
      <c r="F71">
        <f t="shared" si="36"/>
        <v>0.87408595959211832</v>
      </c>
      <c r="G71">
        <f t="shared" si="36"/>
        <v>0.87408595959211832</v>
      </c>
      <c r="H71">
        <f t="shared" si="36"/>
        <v>0.87408595959211832</v>
      </c>
      <c r="I71">
        <f t="shared" si="36"/>
        <v>0.87408595959211832</v>
      </c>
      <c r="J71">
        <f t="shared" si="36"/>
        <v>0.87408595959211832</v>
      </c>
      <c r="K71">
        <f t="shared" si="36"/>
        <v>0.87408595959211832</v>
      </c>
      <c r="L71">
        <f t="shared" si="36"/>
        <v>0.87408595959211832</v>
      </c>
      <c r="M71">
        <f t="shared" si="36"/>
        <v>0.87408595959211832</v>
      </c>
      <c r="N71">
        <f t="shared" si="36"/>
        <v>0.87408595959211832</v>
      </c>
      <c r="O71">
        <f t="shared" si="36"/>
        <v>0.87408595959211832</v>
      </c>
      <c r="P71">
        <f t="shared" si="36"/>
        <v>0.87408595959211832</v>
      </c>
      <c r="Q71">
        <f t="shared" si="36"/>
        <v>0.87408595959211832</v>
      </c>
      <c r="R71">
        <f t="shared" si="36"/>
        <v>0.87408595959211832</v>
      </c>
      <c r="S71">
        <f t="shared" si="36"/>
        <v>0.87408595959211832</v>
      </c>
      <c r="T71">
        <f t="shared" si="36"/>
        <v>0.87408595959211832</v>
      </c>
      <c r="U71">
        <f t="shared" si="36"/>
        <v>0.87408595959211832</v>
      </c>
      <c r="V71">
        <f t="shared" si="36"/>
        <v>0.87408595959211832</v>
      </c>
      <c r="W71">
        <f t="shared" si="36"/>
        <v>0.87408595959211832</v>
      </c>
      <c r="X71">
        <f t="shared" si="36"/>
        <v>0.87408595959211832</v>
      </c>
      <c r="Y71">
        <f t="shared" si="36"/>
        <v>0.87408595959211832</v>
      </c>
    </row>
    <row r="72" spans="1:25" x14ac:dyDescent="0.25">
      <c r="A72" s="83" t="s">
        <v>171</v>
      </c>
      <c r="B72">
        <f>B90/B79</f>
        <v>0.27420068515850426</v>
      </c>
      <c r="C72" s="130">
        <f t="shared" ref="C72:Y72" si="37">C90/C79</f>
        <v>0.11714796948877723</v>
      </c>
      <c r="D72" s="88">
        <f t="shared" si="37"/>
        <v>9.4652495275038828E-2</v>
      </c>
      <c r="E72">
        <f t="shared" si="37"/>
        <v>0.50764120111803468</v>
      </c>
      <c r="F72">
        <f t="shared" si="37"/>
        <v>0.50764120111803468</v>
      </c>
      <c r="G72">
        <f t="shared" si="37"/>
        <v>0.50764120111803468</v>
      </c>
      <c r="H72">
        <f t="shared" si="37"/>
        <v>0.50764120111803468</v>
      </c>
      <c r="I72">
        <f t="shared" si="37"/>
        <v>0.50764120111803468</v>
      </c>
      <c r="J72">
        <f t="shared" si="37"/>
        <v>0.50764120111803468</v>
      </c>
      <c r="K72">
        <f t="shared" si="37"/>
        <v>0.50764120111803468</v>
      </c>
      <c r="L72">
        <f t="shared" si="37"/>
        <v>0.50764120111803468</v>
      </c>
      <c r="M72">
        <f t="shared" si="37"/>
        <v>0.50764120111803468</v>
      </c>
      <c r="N72">
        <f t="shared" si="37"/>
        <v>0.50764120111803468</v>
      </c>
      <c r="O72">
        <f t="shared" si="37"/>
        <v>0.50764120111803468</v>
      </c>
      <c r="P72">
        <f t="shared" si="37"/>
        <v>0.50764120111803468</v>
      </c>
      <c r="Q72">
        <f t="shared" si="37"/>
        <v>0.50764120111803468</v>
      </c>
      <c r="R72">
        <f t="shared" si="37"/>
        <v>0.50764120111803468</v>
      </c>
      <c r="S72">
        <f t="shared" si="37"/>
        <v>0.50764120111803468</v>
      </c>
      <c r="T72">
        <f t="shared" si="37"/>
        <v>0.50764120111803468</v>
      </c>
      <c r="U72">
        <f t="shared" si="37"/>
        <v>0.50764120111803468</v>
      </c>
      <c r="V72">
        <f t="shared" si="37"/>
        <v>0.50764120111803468</v>
      </c>
      <c r="W72">
        <f t="shared" si="37"/>
        <v>0.50764120111803468</v>
      </c>
      <c r="X72">
        <f t="shared" si="37"/>
        <v>0.50764120111803468</v>
      </c>
      <c r="Y72">
        <f t="shared" si="37"/>
        <v>0.50764120111803468</v>
      </c>
    </row>
    <row r="73" spans="1:25" x14ac:dyDescent="0.25">
      <c r="A73" s="77" t="s">
        <v>172</v>
      </c>
      <c r="B73">
        <f>(1-B71)/(1-(B72^((B14-1)/B14)))</f>
        <v>0.92256183766252353</v>
      </c>
      <c r="C73" s="130">
        <f t="shared" ref="C73:Y73" si="38">(1-C71)/(1-(C72^((C14-1)/C14)))</f>
        <v>0.840155332906112</v>
      </c>
      <c r="D73" s="88">
        <f t="shared" si="38"/>
        <v>0.96266285600923329</v>
      </c>
      <c r="E73">
        <f t="shared" si="38"/>
        <v>0.81322635337390203</v>
      </c>
      <c r="F73">
        <f t="shared" si="38"/>
        <v>0.81322635337390203</v>
      </c>
      <c r="G73">
        <f t="shared" si="38"/>
        <v>0.81322635337390203</v>
      </c>
      <c r="H73">
        <f t="shared" si="38"/>
        <v>0.81322635337390203</v>
      </c>
      <c r="I73">
        <f t="shared" si="38"/>
        <v>0.81322635337390203</v>
      </c>
      <c r="J73">
        <f t="shared" si="38"/>
        <v>0.81322635337390203</v>
      </c>
      <c r="K73">
        <f t="shared" si="38"/>
        <v>0.81322635337390203</v>
      </c>
      <c r="L73">
        <f t="shared" si="38"/>
        <v>0.81322635337390203</v>
      </c>
      <c r="M73">
        <f t="shared" si="38"/>
        <v>0.81322635337390203</v>
      </c>
      <c r="N73">
        <f t="shared" si="38"/>
        <v>0.81322635337390203</v>
      </c>
      <c r="O73">
        <f t="shared" si="38"/>
        <v>0.81322635337390203</v>
      </c>
      <c r="P73">
        <f t="shared" si="38"/>
        <v>0.81322635337390203</v>
      </c>
      <c r="Q73">
        <f t="shared" si="38"/>
        <v>0.81322635337390203</v>
      </c>
      <c r="R73">
        <f t="shared" si="38"/>
        <v>0.81322635337390203</v>
      </c>
      <c r="S73">
        <f t="shared" si="38"/>
        <v>0.81322635337390203</v>
      </c>
      <c r="T73">
        <f t="shared" si="38"/>
        <v>0.81322635337390203</v>
      </c>
      <c r="U73">
        <f t="shared" si="38"/>
        <v>0.81322635337390203</v>
      </c>
      <c r="V73">
        <f t="shared" si="38"/>
        <v>0.81322635337390203</v>
      </c>
      <c r="W73">
        <f t="shared" si="38"/>
        <v>0.81322635337390203</v>
      </c>
      <c r="X73">
        <f t="shared" si="38"/>
        <v>0.81322635337390203</v>
      </c>
      <c r="Y73">
        <f t="shared" si="38"/>
        <v>0.81322635337390203</v>
      </c>
    </row>
    <row r="74" spans="1:25" x14ac:dyDescent="0.25">
      <c r="A74" t="s">
        <v>173</v>
      </c>
      <c r="B74" s="82">
        <v>0.91</v>
      </c>
      <c r="C74" s="131">
        <v>0.8</v>
      </c>
      <c r="D74" s="89">
        <v>0.95</v>
      </c>
      <c r="E74" s="82">
        <v>0.8</v>
      </c>
      <c r="F74" s="82">
        <v>0.8</v>
      </c>
      <c r="G74" s="82">
        <v>0.8</v>
      </c>
      <c r="H74" s="82">
        <v>0.8</v>
      </c>
      <c r="I74" s="82">
        <v>0.8</v>
      </c>
      <c r="J74" s="82">
        <v>0.8</v>
      </c>
      <c r="K74" s="82">
        <v>0.8</v>
      </c>
      <c r="L74" s="82">
        <v>0.8</v>
      </c>
      <c r="M74" s="82">
        <v>0.8</v>
      </c>
      <c r="N74" s="82">
        <v>0.8</v>
      </c>
      <c r="O74" s="82">
        <v>0.8</v>
      </c>
      <c r="P74" s="82">
        <v>0.8</v>
      </c>
      <c r="Q74" s="82">
        <v>0.8</v>
      </c>
      <c r="R74" s="82">
        <v>0.8</v>
      </c>
      <c r="S74" s="82">
        <v>0.8</v>
      </c>
      <c r="T74" s="82">
        <v>0.8</v>
      </c>
      <c r="U74" s="82">
        <v>0.8</v>
      </c>
      <c r="V74" s="82">
        <v>0.8</v>
      </c>
      <c r="W74" s="82">
        <v>0.8</v>
      </c>
      <c r="X74" s="82">
        <v>0.8</v>
      </c>
      <c r="Y74" s="82">
        <v>0.8</v>
      </c>
    </row>
    <row r="75" spans="1:25" x14ac:dyDescent="0.25">
      <c r="A75" t="s">
        <v>174</v>
      </c>
      <c r="B75">
        <f>B65*B71</f>
        <v>1567.982044605729</v>
      </c>
      <c r="C75" s="130">
        <f t="shared" ref="C75:Y75" si="39">C65*C71</f>
        <v>1045.3635058402522</v>
      </c>
      <c r="D75" s="88">
        <f t="shared" si="39"/>
        <v>1204.7002386263537</v>
      </c>
      <c r="E75">
        <f t="shared" si="39"/>
        <v>1398.5375353473894</v>
      </c>
      <c r="F75">
        <f t="shared" si="39"/>
        <v>1398.5375353473894</v>
      </c>
      <c r="G75">
        <f t="shared" si="39"/>
        <v>1398.5375353473894</v>
      </c>
      <c r="H75">
        <f t="shared" si="39"/>
        <v>1398.5375353473894</v>
      </c>
      <c r="I75">
        <f t="shared" si="39"/>
        <v>1398.5375353473894</v>
      </c>
      <c r="J75">
        <f t="shared" si="39"/>
        <v>1398.5375353473894</v>
      </c>
      <c r="K75">
        <f t="shared" si="39"/>
        <v>1398.5375353473894</v>
      </c>
      <c r="L75">
        <f t="shared" si="39"/>
        <v>1398.5375353473894</v>
      </c>
      <c r="M75">
        <f t="shared" si="39"/>
        <v>1398.5375353473894</v>
      </c>
      <c r="N75">
        <f t="shared" si="39"/>
        <v>1398.5375353473894</v>
      </c>
      <c r="O75">
        <f t="shared" si="39"/>
        <v>1398.5375353473894</v>
      </c>
      <c r="P75">
        <f t="shared" si="39"/>
        <v>1398.5375353473894</v>
      </c>
      <c r="Q75">
        <f t="shared" si="39"/>
        <v>1398.5375353473894</v>
      </c>
      <c r="R75">
        <f t="shared" si="39"/>
        <v>1398.5375353473894</v>
      </c>
      <c r="S75">
        <f t="shared" si="39"/>
        <v>1398.5375353473894</v>
      </c>
      <c r="T75">
        <f t="shared" si="39"/>
        <v>1398.5375353473894</v>
      </c>
      <c r="U75">
        <f t="shared" si="39"/>
        <v>1398.5375353473894</v>
      </c>
      <c r="V75">
        <f t="shared" si="39"/>
        <v>1398.5375353473894</v>
      </c>
      <c r="W75">
        <f t="shared" si="39"/>
        <v>1398.5375353473894</v>
      </c>
      <c r="X75">
        <f t="shared" si="39"/>
        <v>1398.5375353473894</v>
      </c>
      <c r="Y75">
        <f t="shared" si="39"/>
        <v>1398.5375353473894</v>
      </c>
    </row>
    <row r="76" spans="1:25" x14ac:dyDescent="0.25">
      <c r="A76" s="79" t="s">
        <v>175</v>
      </c>
      <c r="B76" s="79">
        <f>B66*B72</f>
        <v>1364.628272097307</v>
      </c>
      <c r="C76" s="130">
        <f t="shared" ref="C76:Y76" si="40">C66*C72</f>
        <v>102.17401092134146</v>
      </c>
      <c r="D76" s="92">
        <f t="shared" si="40"/>
        <v>195.86092399716264</v>
      </c>
      <c r="E76" s="79">
        <f t="shared" si="40"/>
        <v>442.75404732581296</v>
      </c>
      <c r="F76" s="79">
        <f t="shared" si="40"/>
        <v>442.75404732581296</v>
      </c>
      <c r="G76" s="79">
        <f t="shared" si="40"/>
        <v>442.75404732581296</v>
      </c>
      <c r="H76" s="79">
        <f t="shared" si="40"/>
        <v>442.75404732581296</v>
      </c>
      <c r="I76" s="79">
        <f t="shared" si="40"/>
        <v>442.75404732581296</v>
      </c>
      <c r="J76" s="79">
        <f t="shared" si="40"/>
        <v>442.75404732581296</v>
      </c>
      <c r="K76" s="79">
        <f t="shared" si="40"/>
        <v>442.75404732581296</v>
      </c>
      <c r="L76" s="79">
        <f t="shared" si="40"/>
        <v>442.75404732581296</v>
      </c>
      <c r="M76" s="79">
        <f t="shared" si="40"/>
        <v>442.75404732581296</v>
      </c>
      <c r="N76" s="79">
        <f t="shared" si="40"/>
        <v>442.75404732581296</v>
      </c>
      <c r="O76" s="79">
        <f t="shared" si="40"/>
        <v>442.75404732581296</v>
      </c>
      <c r="P76" s="79">
        <f t="shared" si="40"/>
        <v>442.75404732581296</v>
      </c>
      <c r="Q76" s="79">
        <f t="shared" si="40"/>
        <v>442.75404732581296</v>
      </c>
      <c r="R76" s="79">
        <f t="shared" si="40"/>
        <v>442.75404732581296</v>
      </c>
      <c r="S76" s="79">
        <f t="shared" si="40"/>
        <v>442.75404732581296</v>
      </c>
      <c r="T76" s="79">
        <f t="shared" si="40"/>
        <v>442.75404732581296</v>
      </c>
      <c r="U76" s="79">
        <f t="shared" si="40"/>
        <v>442.75404732581296</v>
      </c>
      <c r="V76" s="79">
        <f t="shared" si="40"/>
        <v>442.75404732581296</v>
      </c>
      <c r="W76" s="79">
        <f t="shared" si="40"/>
        <v>442.75404732581296</v>
      </c>
      <c r="X76" s="79">
        <f t="shared" si="40"/>
        <v>442.75404732581296</v>
      </c>
      <c r="Y76" s="79">
        <f t="shared" si="40"/>
        <v>442.75404732581296</v>
      </c>
    </row>
    <row r="77" spans="1:25" x14ac:dyDescent="0.25">
      <c r="A77" s="87" t="s">
        <v>90</v>
      </c>
    </row>
    <row r="78" spans="1:25" x14ac:dyDescent="0.25">
      <c r="A78" s="83" t="s">
        <v>162</v>
      </c>
      <c r="B78">
        <f>B79^((B14-1)*B81/B14)</f>
        <v>0.76653893668824502</v>
      </c>
      <c r="C78" s="130">
        <f t="shared" ref="C78:Y78" si="41">C79^((C14-1)*C81/C14)</f>
        <v>1.0534582463061128</v>
      </c>
      <c r="D78" s="88">
        <f t="shared" si="41"/>
        <v>1.0637953212794122</v>
      </c>
      <c r="E78">
        <f t="shared" si="41"/>
        <v>0.7874274217040147</v>
      </c>
      <c r="F78">
        <f t="shared" si="41"/>
        <v>0.7874274217040147</v>
      </c>
      <c r="G78">
        <f t="shared" si="41"/>
        <v>0.7874274217040147</v>
      </c>
      <c r="H78">
        <f t="shared" si="41"/>
        <v>0.7874274217040147</v>
      </c>
      <c r="I78">
        <f t="shared" si="41"/>
        <v>0.7874274217040147</v>
      </c>
      <c r="J78">
        <f t="shared" si="41"/>
        <v>0.7874274217040147</v>
      </c>
      <c r="K78">
        <f t="shared" si="41"/>
        <v>0.7874274217040147</v>
      </c>
      <c r="L78">
        <f t="shared" si="41"/>
        <v>0.7874274217040147</v>
      </c>
      <c r="M78">
        <f t="shared" si="41"/>
        <v>0.7874274217040147</v>
      </c>
      <c r="N78">
        <f t="shared" si="41"/>
        <v>0.7874274217040147</v>
      </c>
      <c r="O78">
        <f t="shared" si="41"/>
        <v>0.7874274217040147</v>
      </c>
      <c r="P78">
        <f t="shared" si="41"/>
        <v>0.7874274217040147</v>
      </c>
      <c r="Q78">
        <f t="shared" si="41"/>
        <v>0.7874274217040147</v>
      </c>
      <c r="R78">
        <f t="shared" si="41"/>
        <v>0.7874274217040147</v>
      </c>
      <c r="S78">
        <f t="shared" si="41"/>
        <v>0.7874274217040147</v>
      </c>
      <c r="T78">
        <f t="shared" si="41"/>
        <v>0.7874274217040147</v>
      </c>
      <c r="U78">
        <f t="shared" si="41"/>
        <v>0.7874274217040147</v>
      </c>
      <c r="V78">
        <f t="shared" si="41"/>
        <v>0.7874274217040147</v>
      </c>
      <c r="W78">
        <f t="shared" si="41"/>
        <v>0.7874274217040147</v>
      </c>
      <c r="X78">
        <f t="shared" si="41"/>
        <v>0.7874274217040147</v>
      </c>
      <c r="Y78">
        <f t="shared" si="41"/>
        <v>0.7874274217040147</v>
      </c>
    </row>
    <row r="79" spans="1:25" x14ac:dyDescent="0.25">
      <c r="A79" s="83" t="s">
        <v>163</v>
      </c>
      <c r="B79" s="82">
        <v>0.3</v>
      </c>
      <c r="C79" s="131">
        <v>1.3</v>
      </c>
      <c r="D79" s="89">
        <v>1.3</v>
      </c>
      <c r="E79" s="82">
        <v>0.3</v>
      </c>
      <c r="F79" s="82">
        <v>0.3</v>
      </c>
      <c r="G79" s="82">
        <v>0.3</v>
      </c>
      <c r="H79" s="82">
        <v>0.3</v>
      </c>
      <c r="I79" s="82">
        <v>0.3</v>
      </c>
      <c r="J79" s="82">
        <v>0.3</v>
      </c>
      <c r="K79" s="82">
        <v>0.3</v>
      </c>
      <c r="L79" s="82">
        <v>0.3</v>
      </c>
      <c r="M79" s="82">
        <v>0.3</v>
      </c>
      <c r="N79" s="82">
        <v>0.3</v>
      </c>
      <c r="O79" s="82">
        <v>0.3</v>
      </c>
      <c r="P79" s="82">
        <v>0.3</v>
      </c>
      <c r="Q79" s="82">
        <v>0.3</v>
      </c>
      <c r="R79" s="82">
        <v>0.3</v>
      </c>
      <c r="S79" s="82">
        <v>0.3</v>
      </c>
      <c r="T79" s="82">
        <v>0.3</v>
      </c>
      <c r="U79" s="82">
        <v>0.3</v>
      </c>
      <c r="V79" s="82">
        <v>0.3</v>
      </c>
      <c r="W79" s="82">
        <v>0.3</v>
      </c>
      <c r="X79" s="82">
        <v>0.3</v>
      </c>
      <c r="Y79" s="82">
        <v>0.3</v>
      </c>
    </row>
    <row r="80" spans="1:25" x14ac:dyDescent="0.25">
      <c r="A80" s="77" t="s">
        <v>164</v>
      </c>
      <c r="B80">
        <f>(1-B78)/(1-(B79^((B14-1)/B14)))</f>
        <v>0.90404542457734349</v>
      </c>
      <c r="C80" s="130">
        <f t="shared" ref="C80:Y80" si="42">(1-C78)/(1-(C79^((C14-1)/C14)))</f>
        <v>0.79475856386553489</v>
      </c>
      <c r="D80" s="88">
        <f t="shared" si="42"/>
        <v>0.94843885508396109</v>
      </c>
      <c r="E80">
        <f t="shared" si="42"/>
        <v>0.82315767808557927</v>
      </c>
      <c r="F80">
        <f t="shared" si="42"/>
        <v>0.82315767808557927</v>
      </c>
      <c r="G80">
        <f t="shared" si="42"/>
        <v>0.82315767808557927</v>
      </c>
      <c r="H80">
        <f t="shared" si="42"/>
        <v>0.82315767808557927</v>
      </c>
      <c r="I80">
        <f t="shared" si="42"/>
        <v>0.82315767808557927</v>
      </c>
      <c r="J80">
        <f t="shared" si="42"/>
        <v>0.82315767808557927</v>
      </c>
      <c r="K80">
        <f t="shared" si="42"/>
        <v>0.82315767808557927</v>
      </c>
      <c r="L80">
        <f t="shared" si="42"/>
        <v>0.82315767808557927</v>
      </c>
      <c r="M80">
        <f t="shared" si="42"/>
        <v>0.82315767808557927</v>
      </c>
      <c r="N80">
        <f t="shared" si="42"/>
        <v>0.82315767808557927</v>
      </c>
      <c r="O80">
        <f t="shared" si="42"/>
        <v>0.82315767808557927</v>
      </c>
      <c r="P80">
        <f t="shared" si="42"/>
        <v>0.82315767808557927</v>
      </c>
      <c r="Q80">
        <f t="shared" si="42"/>
        <v>0.82315767808557927</v>
      </c>
      <c r="R80">
        <f t="shared" si="42"/>
        <v>0.82315767808557927</v>
      </c>
      <c r="S80">
        <f t="shared" si="42"/>
        <v>0.82315767808557927</v>
      </c>
      <c r="T80">
        <f t="shared" si="42"/>
        <v>0.82315767808557927</v>
      </c>
      <c r="U80">
        <f t="shared" si="42"/>
        <v>0.82315767808557927</v>
      </c>
      <c r="V80">
        <f t="shared" si="42"/>
        <v>0.82315767808557927</v>
      </c>
      <c r="W80">
        <f t="shared" si="42"/>
        <v>0.82315767808557927</v>
      </c>
      <c r="X80">
        <f t="shared" si="42"/>
        <v>0.82315767808557927</v>
      </c>
      <c r="Y80">
        <f t="shared" si="42"/>
        <v>0.82315767808557927</v>
      </c>
    </row>
    <row r="81" spans="1:25" x14ac:dyDescent="0.25">
      <c r="A81" t="s">
        <v>165</v>
      </c>
      <c r="B81" s="82">
        <v>0.89</v>
      </c>
      <c r="C81" s="131">
        <v>0.8</v>
      </c>
      <c r="D81" s="89">
        <v>0.95</v>
      </c>
      <c r="E81" s="82">
        <v>0.8</v>
      </c>
      <c r="F81" s="82">
        <v>0.8</v>
      </c>
      <c r="G81" s="82">
        <v>0.8</v>
      </c>
      <c r="H81" s="82">
        <v>0.8</v>
      </c>
      <c r="I81" s="82">
        <v>0.8</v>
      </c>
      <c r="J81" s="82">
        <v>0.8</v>
      </c>
      <c r="K81" s="82">
        <v>0.8</v>
      </c>
      <c r="L81" s="82">
        <v>0.8</v>
      </c>
      <c r="M81" s="82">
        <v>0.8</v>
      </c>
      <c r="N81" s="82">
        <v>0.8</v>
      </c>
      <c r="O81" s="82">
        <v>0.8</v>
      </c>
      <c r="P81" s="82">
        <v>0.8</v>
      </c>
      <c r="Q81" s="82">
        <v>0.8</v>
      </c>
      <c r="R81" s="82">
        <v>0.8</v>
      </c>
      <c r="S81" s="82">
        <v>0.8</v>
      </c>
      <c r="T81" s="82">
        <v>0.8</v>
      </c>
      <c r="U81" s="82">
        <v>0.8</v>
      </c>
      <c r="V81" s="82">
        <v>0.8</v>
      </c>
      <c r="W81" s="82">
        <v>0.8</v>
      </c>
      <c r="X81" s="82">
        <v>0.8</v>
      </c>
      <c r="Y81" s="82">
        <v>0.8</v>
      </c>
    </row>
    <row r="82" spans="1:25" x14ac:dyDescent="0.25">
      <c r="A82" t="s">
        <v>166</v>
      </c>
      <c r="B82">
        <f>B75*B78</f>
        <v>1201.919289218336</v>
      </c>
      <c r="C82" s="130">
        <f t="shared" ref="C82:Y82" si="43">C75*C78</f>
        <v>1101.2468056148821</v>
      </c>
      <c r="D82" s="88">
        <f t="shared" si="43"/>
        <v>1281.5544773949064</v>
      </c>
      <c r="E82">
        <f t="shared" si="43"/>
        <v>1101.2468056148821</v>
      </c>
      <c r="F82">
        <f t="shared" si="43"/>
        <v>1101.2468056148821</v>
      </c>
      <c r="G82">
        <f t="shared" si="43"/>
        <v>1101.2468056148821</v>
      </c>
      <c r="H82">
        <f t="shared" si="43"/>
        <v>1101.2468056148821</v>
      </c>
      <c r="I82">
        <f t="shared" si="43"/>
        <v>1101.2468056148821</v>
      </c>
      <c r="J82">
        <f t="shared" si="43"/>
        <v>1101.2468056148821</v>
      </c>
      <c r="K82">
        <f t="shared" si="43"/>
        <v>1101.2468056148821</v>
      </c>
      <c r="L82">
        <f t="shared" si="43"/>
        <v>1101.2468056148821</v>
      </c>
      <c r="M82">
        <f t="shared" si="43"/>
        <v>1101.2468056148821</v>
      </c>
      <c r="N82">
        <f t="shared" si="43"/>
        <v>1101.2468056148821</v>
      </c>
      <c r="O82">
        <f t="shared" si="43"/>
        <v>1101.2468056148821</v>
      </c>
      <c r="P82">
        <f t="shared" si="43"/>
        <v>1101.2468056148821</v>
      </c>
      <c r="Q82">
        <f t="shared" si="43"/>
        <v>1101.2468056148821</v>
      </c>
      <c r="R82">
        <f t="shared" si="43"/>
        <v>1101.2468056148821</v>
      </c>
      <c r="S82">
        <f t="shared" si="43"/>
        <v>1101.2468056148821</v>
      </c>
      <c r="T82">
        <f t="shared" si="43"/>
        <v>1101.2468056148821</v>
      </c>
      <c r="U82">
        <f t="shared" si="43"/>
        <v>1101.2468056148821</v>
      </c>
      <c r="V82">
        <f t="shared" si="43"/>
        <v>1101.2468056148821</v>
      </c>
      <c r="W82">
        <f t="shared" si="43"/>
        <v>1101.2468056148821</v>
      </c>
      <c r="X82">
        <f t="shared" si="43"/>
        <v>1101.2468056148821</v>
      </c>
      <c r="Y82">
        <f t="shared" si="43"/>
        <v>1101.2468056148821</v>
      </c>
    </row>
    <row r="83" spans="1:25" x14ac:dyDescent="0.25">
      <c r="A83" t="s">
        <v>167</v>
      </c>
      <c r="B83">
        <f>B38</f>
        <v>409.38848162919203</v>
      </c>
      <c r="C83" s="130">
        <f t="shared" ref="C83:Y83" si="44">C38</f>
        <v>132.82621419774389</v>
      </c>
      <c r="D83" s="88">
        <f t="shared" si="44"/>
        <v>254.61920119631148</v>
      </c>
      <c r="E83">
        <f t="shared" si="44"/>
        <v>132.82621419774389</v>
      </c>
      <c r="F83">
        <f t="shared" si="44"/>
        <v>132.82621419774389</v>
      </c>
      <c r="G83">
        <f t="shared" si="44"/>
        <v>132.82621419774389</v>
      </c>
      <c r="H83">
        <f t="shared" si="44"/>
        <v>132.82621419774389</v>
      </c>
      <c r="I83">
        <f t="shared" si="44"/>
        <v>132.82621419774389</v>
      </c>
      <c r="J83">
        <f t="shared" si="44"/>
        <v>132.82621419774389</v>
      </c>
      <c r="K83">
        <f t="shared" si="44"/>
        <v>132.82621419774389</v>
      </c>
      <c r="L83">
        <f t="shared" si="44"/>
        <v>132.82621419774389</v>
      </c>
      <c r="M83">
        <f t="shared" si="44"/>
        <v>132.82621419774389</v>
      </c>
      <c r="N83">
        <f t="shared" si="44"/>
        <v>132.82621419774389</v>
      </c>
      <c r="O83">
        <f t="shared" si="44"/>
        <v>132.82621419774389</v>
      </c>
      <c r="P83">
        <f t="shared" si="44"/>
        <v>132.82621419774389</v>
      </c>
      <c r="Q83">
        <f t="shared" si="44"/>
        <v>132.82621419774389</v>
      </c>
      <c r="R83">
        <f t="shared" si="44"/>
        <v>132.82621419774389</v>
      </c>
      <c r="S83">
        <f t="shared" si="44"/>
        <v>132.82621419774389</v>
      </c>
      <c r="T83">
        <f t="shared" si="44"/>
        <v>132.82621419774389</v>
      </c>
      <c r="U83">
        <f t="shared" si="44"/>
        <v>132.82621419774389</v>
      </c>
      <c r="V83">
        <f t="shared" si="44"/>
        <v>132.82621419774389</v>
      </c>
      <c r="W83">
        <f t="shared" si="44"/>
        <v>132.82621419774389</v>
      </c>
      <c r="X83">
        <f t="shared" si="44"/>
        <v>132.82621419774389</v>
      </c>
      <c r="Y83">
        <f t="shared" si="44"/>
        <v>132.82621419774389</v>
      </c>
    </row>
    <row r="84" spans="1:25" x14ac:dyDescent="0.25">
      <c r="A84" t="s">
        <v>185</v>
      </c>
      <c r="B84">
        <f>(B9/(1+B93))*(1+B69)</f>
        <v>36.954226997530775</v>
      </c>
      <c r="C84" s="130">
        <f t="shared" ref="C84:Y84" si="45">(C9/(1+C93))*(1+C69)</f>
        <v>32.590099269147167</v>
      </c>
      <c r="D84" s="88">
        <f t="shared" si="45"/>
        <v>38.075120038013253</v>
      </c>
      <c r="E84">
        <f t="shared" si="45"/>
        <v>32.590099269147167</v>
      </c>
      <c r="F84">
        <f t="shared" si="45"/>
        <v>32.590099269147167</v>
      </c>
      <c r="G84">
        <f t="shared" si="45"/>
        <v>32.590099269147167</v>
      </c>
      <c r="H84">
        <f t="shared" si="45"/>
        <v>32.590099269147167</v>
      </c>
      <c r="I84">
        <f t="shared" si="45"/>
        <v>32.590099269147167</v>
      </c>
      <c r="J84">
        <f t="shared" si="45"/>
        <v>32.590099269147167</v>
      </c>
      <c r="K84">
        <f t="shared" si="45"/>
        <v>32.590099269147167</v>
      </c>
      <c r="L84">
        <f t="shared" si="45"/>
        <v>32.590099269147167</v>
      </c>
      <c r="M84">
        <f t="shared" si="45"/>
        <v>32.590099269147167</v>
      </c>
      <c r="N84">
        <f t="shared" si="45"/>
        <v>32.590099269147167</v>
      </c>
      <c r="O84">
        <f t="shared" si="45"/>
        <v>32.590099269147167</v>
      </c>
      <c r="P84">
        <f t="shared" si="45"/>
        <v>32.590099269147167</v>
      </c>
      <c r="Q84">
        <f t="shared" si="45"/>
        <v>32.590099269147167</v>
      </c>
      <c r="R84">
        <f t="shared" si="45"/>
        <v>32.590099269147167</v>
      </c>
      <c r="S84">
        <f t="shared" si="45"/>
        <v>32.590099269147167</v>
      </c>
      <c r="T84">
        <f t="shared" si="45"/>
        <v>32.590099269147167</v>
      </c>
      <c r="U84">
        <f t="shared" si="45"/>
        <v>32.590099269147167</v>
      </c>
      <c r="V84">
        <f t="shared" si="45"/>
        <v>32.590099269147167</v>
      </c>
      <c r="W84">
        <f t="shared" si="45"/>
        <v>32.590099269147167</v>
      </c>
      <c r="X84">
        <f t="shared" si="45"/>
        <v>32.590099269147167</v>
      </c>
      <c r="Y84">
        <f t="shared" si="45"/>
        <v>32.590099269147167</v>
      </c>
    </row>
    <row r="85" spans="1:25" x14ac:dyDescent="0.25">
      <c r="A85" t="s">
        <v>99</v>
      </c>
      <c r="B85" s="82">
        <v>0.5</v>
      </c>
      <c r="C85" s="131">
        <v>0.5</v>
      </c>
      <c r="D85" s="89">
        <v>0.7</v>
      </c>
      <c r="E85" s="82">
        <v>0.5</v>
      </c>
      <c r="F85" s="82">
        <v>0.5</v>
      </c>
      <c r="G85" s="82">
        <v>0.5</v>
      </c>
      <c r="H85" s="82">
        <v>0.5</v>
      </c>
      <c r="I85" s="82">
        <v>0.5</v>
      </c>
      <c r="J85" s="82">
        <v>0.5</v>
      </c>
      <c r="K85" s="82">
        <v>0.5</v>
      </c>
      <c r="L85" s="82">
        <v>0.5</v>
      </c>
      <c r="M85" s="82">
        <v>0.5</v>
      </c>
      <c r="N85" s="82">
        <v>0.5</v>
      </c>
      <c r="O85" s="82">
        <v>0.5</v>
      </c>
      <c r="P85" s="82">
        <v>0.5</v>
      </c>
      <c r="Q85" s="82">
        <v>0.5</v>
      </c>
      <c r="R85" s="82">
        <v>0.5</v>
      </c>
      <c r="S85" s="82">
        <v>0.5</v>
      </c>
      <c r="T85" s="82">
        <v>0.5</v>
      </c>
      <c r="U85" s="82">
        <v>0.5</v>
      </c>
      <c r="V85" s="82">
        <v>0.5</v>
      </c>
      <c r="W85" s="82">
        <v>0.5</v>
      </c>
      <c r="X85" s="82">
        <v>0.5</v>
      </c>
      <c r="Y85" s="82">
        <v>0.5</v>
      </c>
    </row>
    <row r="86" spans="1:25" x14ac:dyDescent="0.25">
      <c r="A86" t="s">
        <v>105</v>
      </c>
      <c r="B86">
        <f>SQRT((B14-1)*B13*1000*B87)</f>
        <v>662.43512861979536</v>
      </c>
      <c r="C86" s="130">
        <f t="shared" ref="C86:Y86" si="46">SQRT((C14-1)*C13*1000*C87)</f>
        <v>634.08580816992003</v>
      </c>
      <c r="D86" s="88">
        <f t="shared" si="46"/>
        <v>671.38097768416094</v>
      </c>
      <c r="E86">
        <f t="shared" si="46"/>
        <v>634.08580816992003</v>
      </c>
      <c r="F86">
        <f t="shared" si="46"/>
        <v>634.08580816992003</v>
      </c>
      <c r="G86">
        <f t="shared" si="46"/>
        <v>634.08580816992003</v>
      </c>
      <c r="H86">
        <f t="shared" si="46"/>
        <v>634.08580816992003</v>
      </c>
      <c r="I86">
        <f t="shared" si="46"/>
        <v>634.08580816992003</v>
      </c>
      <c r="J86">
        <f t="shared" si="46"/>
        <v>634.08580816992003</v>
      </c>
      <c r="K86">
        <f t="shared" si="46"/>
        <v>634.08580816992003</v>
      </c>
      <c r="L86">
        <f t="shared" si="46"/>
        <v>634.08580816992003</v>
      </c>
      <c r="M86">
        <f t="shared" si="46"/>
        <v>634.08580816992003</v>
      </c>
      <c r="N86">
        <f t="shared" si="46"/>
        <v>634.08580816992003</v>
      </c>
      <c r="O86">
        <f t="shared" si="46"/>
        <v>634.08580816992003</v>
      </c>
      <c r="P86">
        <f t="shared" si="46"/>
        <v>634.08580816992003</v>
      </c>
      <c r="Q86">
        <f t="shared" si="46"/>
        <v>634.08580816992003</v>
      </c>
      <c r="R86">
        <f t="shared" si="46"/>
        <v>634.08580816992003</v>
      </c>
      <c r="S86">
        <f t="shared" si="46"/>
        <v>634.08580816992003</v>
      </c>
      <c r="T86">
        <f t="shared" si="46"/>
        <v>634.08580816992003</v>
      </c>
      <c r="U86">
        <f t="shared" si="46"/>
        <v>634.08580816992003</v>
      </c>
      <c r="V86">
        <f t="shared" si="46"/>
        <v>634.08580816992003</v>
      </c>
      <c r="W86">
        <f t="shared" si="46"/>
        <v>634.08580816992003</v>
      </c>
      <c r="X86">
        <f t="shared" si="46"/>
        <v>634.08580816992003</v>
      </c>
      <c r="Y86">
        <f t="shared" si="46"/>
        <v>634.08580816992003</v>
      </c>
    </row>
    <row r="87" spans="1:25" x14ac:dyDescent="0.25">
      <c r="A87" t="s">
        <v>103</v>
      </c>
      <c r="B87">
        <f>B82/(1+((B14-1)/2*B85^2))</f>
        <v>1154.3042393453406</v>
      </c>
      <c r="C87" s="130">
        <f t="shared" ref="C87:Y87" si="47">C82/(1+((C14-1)/2*C85^2))</f>
        <v>1057.61998138284</v>
      </c>
      <c r="D87" s="88">
        <f t="shared" si="47"/>
        <v>1185.6913331127412</v>
      </c>
      <c r="E87">
        <f t="shared" si="47"/>
        <v>1057.61998138284</v>
      </c>
      <c r="F87">
        <f t="shared" si="47"/>
        <v>1057.61998138284</v>
      </c>
      <c r="G87">
        <f t="shared" si="47"/>
        <v>1057.61998138284</v>
      </c>
      <c r="H87">
        <f t="shared" si="47"/>
        <v>1057.61998138284</v>
      </c>
      <c r="I87">
        <f t="shared" si="47"/>
        <v>1057.61998138284</v>
      </c>
      <c r="J87">
        <f t="shared" si="47"/>
        <v>1057.61998138284</v>
      </c>
      <c r="K87">
        <f t="shared" si="47"/>
        <v>1057.61998138284</v>
      </c>
      <c r="L87">
        <f t="shared" si="47"/>
        <v>1057.61998138284</v>
      </c>
      <c r="M87">
        <f t="shared" si="47"/>
        <v>1057.61998138284</v>
      </c>
      <c r="N87">
        <f t="shared" si="47"/>
        <v>1057.61998138284</v>
      </c>
      <c r="O87">
        <f t="shared" si="47"/>
        <v>1057.61998138284</v>
      </c>
      <c r="P87">
        <f t="shared" si="47"/>
        <v>1057.61998138284</v>
      </c>
      <c r="Q87">
        <f t="shared" si="47"/>
        <v>1057.61998138284</v>
      </c>
      <c r="R87">
        <f t="shared" si="47"/>
        <v>1057.61998138284</v>
      </c>
      <c r="S87">
        <f t="shared" si="47"/>
        <v>1057.61998138284</v>
      </c>
      <c r="T87">
        <f t="shared" si="47"/>
        <v>1057.61998138284</v>
      </c>
      <c r="U87">
        <f t="shared" si="47"/>
        <v>1057.61998138284</v>
      </c>
      <c r="V87">
        <f t="shared" si="47"/>
        <v>1057.61998138284</v>
      </c>
      <c r="W87">
        <f t="shared" si="47"/>
        <v>1057.61998138284</v>
      </c>
      <c r="X87">
        <f t="shared" si="47"/>
        <v>1057.61998138284</v>
      </c>
      <c r="Y87">
        <f t="shared" si="47"/>
        <v>1057.61998138284</v>
      </c>
    </row>
    <row r="88" spans="1:25" x14ac:dyDescent="0.25">
      <c r="A88" t="s">
        <v>101</v>
      </c>
      <c r="B88">
        <f>B83/(1+((B14-1)/2*B85^2))^(B14/(B14-1))</f>
        <v>347.84325915180955</v>
      </c>
      <c r="C88" s="130">
        <f t="shared" ref="C88:Y88" si="48">C83/(1+((C14-1)/2*C85^2))^(C14/(C14-1))</f>
        <v>112.85784852439542</v>
      </c>
      <c r="D88" s="88">
        <f t="shared" si="48"/>
        <v>186.12565923908761</v>
      </c>
      <c r="E88">
        <f t="shared" si="48"/>
        <v>112.85784852439542</v>
      </c>
      <c r="F88">
        <f t="shared" si="48"/>
        <v>112.85784852439542</v>
      </c>
      <c r="G88">
        <f t="shared" si="48"/>
        <v>112.85784852439542</v>
      </c>
      <c r="H88">
        <f t="shared" si="48"/>
        <v>112.85784852439542</v>
      </c>
      <c r="I88">
        <f t="shared" si="48"/>
        <v>112.85784852439542</v>
      </c>
      <c r="J88">
        <f t="shared" si="48"/>
        <v>112.85784852439542</v>
      </c>
      <c r="K88">
        <f t="shared" si="48"/>
        <v>112.85784852439542</v>
      </c>
      <c r="L88">
        <f t="shared" si="48"/>
        <v>112.85784852439542</v>
      </c>
      <c r="M88">
        <f t="shared" si="48"/>
        <v>112.85784852439542</v>
      </c>
      <c r="N88">
        <f t="shared" si="48"/>
        <v>112.85784852439542</v>
      </c>
      <c r="O88">
        <f t="shared" si="48"/>
        <v>112.85784852439542</v>
      </c>
      <c r="P88">
        <f t="shared" si="48"/>
        <v>112.85784852439542</v>
      </c>
      <c r="Q88">
        <f t="shared" si="48"/>
        <v>112.85784852439542</v>
      </c>
      <c r="R88">
        <f t="shared" si="48"/>
        <v>112.85784852439542</v>
      </c>
      <c r="S88">
        <f t="shared" si="48"/>
        <v>112.85784852439542</v>
      </c>
      <c r="T88">
        <f t="shared" si="48"/>
        <v>112.85784852439542</v>
      </c>
      <c r="U88">
        <f t="shared" si="48"/>
        <v>112.85784852439542</v>
      </c>
      <c r="V88">
        <f t="shared" si="48"/>
        <v>112.85784852439542</v>
      </c>
      <c r="W88">
        <f t="shared" si="48"/>
        <v>112.85784852439542</v>
      </c>
      <c r="X88">
        <f t="shared" si="48"/>
        <v>112.85784852439542</v>
      </c>
      <c r="Y88">
        <f t="shared" si="48"/>
        <v>112.85784852439542</v>
      </c>
    </row>
    <row r="89" spans="1:25" x14ac:dyDescent="0.25">
      <c r="A89" s="83" t="s">
        <v>179</v>
      </c>
      <c r="B89">
        <f>B78*B71</f>
        <v>0.57234251867539798</v>
      </c>
      <c r="C89" s="130">
        <f t="shared" ref="C89:Y89" si="49">C78*C71</f>
        <v>0.6882792535093013</v>
      </c>
      <c r="D89" s="88">
        <f t="shared" si="49"/>
        <v>0.61026403685471742</v>
      </c>
      <c r="E89">
        <f t="shared" si="49"/>
        <v>0.6882792535093013</v>
      </c>
      <c r="F89">
        <f t="shared" si="49"/>
        <v>0.6882792535093013</v>
      </c>
      <c r="G89">
        <f t="shared" si="49"/>
        <v>0.6882792535093013</v>
      </c>
      <c r="H89">
        <f t="shared" si="49"/>
        <v>0.6882792535093013</v>
      </c>
      <c r="I89">
        <f t="shared" si="49"/>
        <v>0.6882792535093013</v>
      </c>
      <c r="J89">
        <f t="shared" si="49"/>
        <v>0.6882792535093013</v>
      </c>
      <c r="K89">
        <f t="shared" si="49"/>
        <v>0.6882792535093013</v>
      </c>
      <c r="L89">
        <f t="shared" si="49"/>
        <v>0.6882792535093013</v>
      </c>
      <c r="M89">
        <f t="shared" si="49"/>
        <v>0.6882792535093013</v>
      </c>
      <c r="N89">
        <f t="shared" si="49"/>
        <v>0.6882792535093013</v>
      </c>
      <c r="O89">
        <f t="shared" si="49"/>
        <v>0.6882792535093013</v>
      </c>
      <c r="P89">
        <f t="shared" si="49"/>
        <v>0.6882792535093013</v>
      </c>
      <c r="Q89">
        <f t="shared" si="49"/>
        <v>0.6882792535093013</v>
      </c>
      <c r="R89">
        <f t="shared" si="49"/>
        <v>0.6882792535093013</v>
      </c>
      <c r="S89">
        <f t="shared" si="49"/>
        <v>0.6882792535093013</v>
      </c>
      <c r="T89">
        <f t="shared" si="49"/>
        <v>0.6882792535093013</v>
      </c>
      <c r="U89">
        <f t="shared" si="49"/>
        <v>0.6882792535093013</v>
      </c>
      <c r="V89">
        <f t="shared" si="49"/>
        <v>0.6882792535093013</v>
      </c>
      <c r="W89">
        <f t="shared" si="49"/>
        <v>0.6882792535093013</v>
      </c>
      <c r="X89">
        <f t="shared" si="49"/>
        <v>0.6882792535093013</v>
      </c>
      <c r="Y89">
        <f t="shared" si="49"/>
        <v>0.6882792535093013</v>
      </c>
    </row>
    <row r="90" spans="1:25" x14ac:dyDescent="0.25">
      <c r="A90" s="84" t="s">
        <v>168</v>
      </c>
      <c r="B90" s="79">
        <f>(B34*B28)/(B62*B59)</f>
        <v>8.2260205547551271E-2</v>
      </c>
      <c r="C90" s="79">
        <f t="shared" ref="C90:Y90" si="50">(C34*C28)/(C62*C59)</f>
        <v>0.15229236033541041</v>
      </c>
      <c r="D90" s="92">
        <f t="shared" si="50"/>
        <v>0.12304824385755048</v>
      </c>
      <c r="E90" s="79">
        <f t="shared" si="50"/>
        <v>0.15229236033541041</v>
      </c>
      <c r="F90" s="79">
        <f t="shared" si="50"/>
        <v>0.15229236033541041</v>
      </c>
      <c r="G90" s="79">
        <f t="shared" si="50"/>
        <v>0.15229236033541041</v>
      </c>
      <c r="H90" s="79">
        <f t="shared" si="50"/>
        <v>0.15229236033541041</v>
      </c>
      <c r="I90" s="79">
        <f t="shared" si="50"/>
        <v>0.15229236033541041</v>
      </c>
      <c r="J90" s="79">
        <f t="shared" si="50"/>
        <v>0.15229236033541041</v>
      </c>
      <c r="K90" s="79">
        <f t="shared" si="50"/>
        <v>0.15229236033541041</v>
      </c>
      <c r="L90" s="79">
        <f t="shared" si="50"/>
        <v>0.15229236033541041</v>
      </c>
      <c r="M90" s="79">
        <f t="shared" si="50"/>
        <v>0.15229236033541041</v>
      </c>
      <c r="N90" s="79">
        <f t="shared" si="50"/>
        <v>0.15229236033541041</v>
      </c>
      <c r="O90" s="79">
        <f t="shared" si="50"/>
        <v>0.15229236033541041</v>
      </c>
      <c r="P90" s="79">
        <f t="shared" si="50"/>
        <v>0.15229236033541041</v>
      </c>
      <c r="Q90" s="79">
        <f t="shared" si="50"/>
        <v>0.15229236033541041</v>
      </c>
      <c r="R90" s="79">
        <f t="shared" si="50"/>
        <v>0.15229236033541041</v>
      </c>
      <c r="S90" s="79">
        <f t="shared" si="50"/>
        <v>0.15229236033541041</v>
      </c>
      <c r="T90" s="79">
        <f t="shared" si="50"/>
        <v>0.15229236033541041</v>
      </c>
      <c r="U90" s="79">
        <f t="shared" si="50"/>
        <v>0.15229236033541041</v>
      </c>
      <c r="V90" s="79">
        <f t="shared" si="50"/>
        <v>0.15229236033541041</v>
      </c>
      <c r="W90" s="79">
        <f t="shared" si="50"/>
        <v>0.15229236033541041</v>
      </c>
      <c r="X90" s="79">
        <f t="shared" si="50"/>
        <v>0.15229236033541041</v>
      </c>
      <c r="Y90" s="79">
        <f t="shared" si="50"/>
        <v>0.15229236033541041</v>
      </c>
    </row>
    <row r="91" spans="1:25" x14ac:dyDescent="0.25">
      <c r="A91" s="87" t="s">
        <v>85</v>
      </c>
    </row>
    <row r="92" spans="1:25" x14ac:dyDescent="0.25">
      <c r="A92" s="77" t="s">
        <v>177</v>
      </c>
      <c r="B92" s="82">
        <v>0.9</v>
      </c>
      <c r="C92" s="131">
        <v>0.95</v>
      </c>
      <c r="D92" s="89">
        <v>0.95</v>
      </c>
      <c r="E92" s="82">
        <v>0.95</v>
      </c>
      <c r="F92" s="82">
        <v>0.95</v>
      </c>
      <c r="G92" s="82">
        <v>0.95</v>
      </c>
      <c r="H92" s="82">
        <v>0.95</v>
      </c>
      <c r="I92" s="82">
        <v>0.95</v>
      </c>
      <c r="J92" s="82">
        <v>0.95</v>
      </c>
      <c r="K92" s="82">
        <v>0.95</v>
      </c>
      <c r="L92" s="82">
        <v>0.95</v>
      </c>
      <c r="M92" s="82">
        <v>0.95</v>
      </c>
      <c r="N92" s="82">
        <v>0.95</v>
      </c>
      <c r="O92" s="82">
        <v>0.95</v>
      </c>
      <c r="P92" s="82">
        <v>0.95</v>
      </c>
      <c r="Q92" s="82">
        <v>0.95</v>
      </c>
      <c r="R92" s="82">
        <v>0.95</v>
      </c>
      <c r="S92" s="82">
        <v>0.95</v>
      </c>
      <c r="T92" s="82">
        <v>0.95</v>
      </c>
      <c r="U92" s="82">
        <v>0.95</v>
      </c>
      <c r="V92" s="82">
        <v>0.95</v>
      </c>
      <c r="W92" s="82">
        <v>0.95</v>
      </c>
      <c r="X92" s="82">
        <v>0.95</v>
      </c>
      <c r="Y92" s="82">
        <v>0.95</v>
      </c>
    </row>
    <row r="93" spans="1:25" x14ac:dyDescent="0.25">
      <c r="A93" s="78" t="s">
        <v>178</v>
      </c>
      <c r="B93" s="79">
        <f>((B92*(1+B69)*B68*(1-B89))-(B18*(B58-1)))/(B18*(B27-1))</f>
        <v>1.2383114771212824</v>
      </c>
      <c r="C93" s="79">
        <f t="shared" ref="C93:Y93" si="51">((C92*(1+C69)*C68*(1-C89))-(C18*(C58-1)))/(C18*(C27-1))</f>
        <v>0.57063016025010205</v>
      </c>
      <c r="D93" s="92">
        <f>((D92*(1+D69)*D68*(1-D89))-(D18*(D58-1)))/(D18*(D27-1))</f>
        <v>1.1724178501377704</v>
      </c>
      <c r="E93" s="79">
        <f t="shared" si="51"/>
        <v>0.57063016025010205</v>
      </c>
      <c r="F93" s="79">
        <f t="shared" si="51"/>
        <v>0.57063016025010205</v>
      </c>
      <c r="G93" s="79">
        <f t="shared" si="51"/>
        <v>0.57063016025010205</v>
      </c>
      <c r="H93" s="79">
        <f t="shared" si="51"/>
        <v>0.57063016025010205</v>
      </c>
      <c r="I93" s="79">
        <f t="shared" si="51"/>
        <v>0.57063016025010205</v>
      </c>
      <c r="J93" s="79">
        <f t="shared" si="51"/>
        <v>0.57063016025010205</v>
      </c>
      <c r="K93" s="79">
        <f t="shared" si="51"/>
        <v>0.57063016025010205</v>
      </c>
      <c r="L93" s="79">
        <f t="shared" si="51"/>
        <v>0.57063016025010205</v>
      </c>
      <c r="M93" s="79">
        <f t="shared" si="51"/>
        <v>0.57063016025010205</v>
      </c>
      <c r="N93" s="79">
        <f t="shared" si="51"/>
        <v>0.57063016025010205</v>
      </c>
      <c r="O93" s="79">
        <f t="shared" si="51"/>
        <v>0.57063016025010205</v>
      </c>
      <c r="P93" s="79">
        <f t="shared" si="51"/>
        <v>0.57063016025010205</v>
      </c>
      <c r="Q93" s="79">
        <f t="shared" si="51"/>
        <v>0.57063016025010205</v>
      </c>
      <c r="R93" s="79">
        <f t="shared" si="51"/>
        <v>0.57063016025010205</v>
      </c>
      <c r="S93" s="79">
        <f t="shared" si="51"/>
        <v>0.57063016025010205</v>
      </c>
      <c r="T93" s="79">
        <f t="shared" si="51"/>
        <v>0.57063016025010205</v>
      </c>
      <c r="U93" s="79">
        <f t="shared" si="51"/>
        <v>0.57063016025010205</v>
      </c>
      <c r="V93" s="79">
        <f t="shared" si="51"/>
        <v>0.57063016025010205</v>
      </c>
      <c r="W93" s="79">
        <f t="shared" si="51"/>
        <v>0.57063016025010205</v>
      </c>
      <c r="X93" s="79">
        <f t="shared" si="51"/>
        <v>0.57063016025010205</v>
      </c>
      <c r="Y93" s="79">
        <f t="shared" si="51"/>
        <v>0.57063016025010205</v>
      </c>
    </row>
    <row r="94" spans="1:25" x14ac:dyDescent="0.25">
      <c r="A94" s="86" t="s">
        <v>92</v>
      </c>
      <c r="B94" s="85"/>
      <c r="D94" s="90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spans="1:25" x14ac:dyDescent="0.25">
      <c r="A95" t="s">
        <v>182</v>
      </c>
      <c r="B95">
        <f>B10*(((1+B69)*B89*B68)+(B93*B27*B18))/(1+B93+B69)</f>
        <v>920.80331582208328</v>
      </c>
      <c r="C95" s="130">
        <f t="shared" ref="C95:Y95" si="52">C10*(((1+C69)*C89*C68)+(C93*C27*C18))/(1+C93+C69)</f>
        <v>991.42297600331301</v>
      </c>
      <c r="D95" s="88">
        <f t="shared" si="52"/>
        <v>1007.841733378075</v>
      </c>
      <c r="E95">
        <f t="shared" si="52"/>
        <v>991.42297600331301</v>
      </c>
      <c r="F95">
        <f t="shared" si="52"/>
        <v>991.42297600331301</v>
      </c>
      <c r="G95">
        <f t="shared" si="52"/>
        <v>991.42297600331301</v>
      </c>
      <c r="H95">
        <f t="shared" si="52"/>
        <v>991.42297600331301</v>
      </c>
      <c r="I95">
        <f t="shared" si="52"/>
        <v>991.42297600331301</v>
      </c>
      <c r="J95">
        <f t="shared" si="52"/>
        <v>991.42297600331301</v>
      </c>
      <c r="K95">
        <f t="shared" si="52"/>
        <v>991.42297600331301</v>
      </c>
      <c r="L95">
        <f t="shared" si="52"/>
        <v>991.42297600331301</v>
      </c>
      <c r="M95">
        <f t="shared" si="52"/>
        <v>991.42297600331301</v>
      </c>
      <c r="N95">
        <f t="shared" si="52"/>
        <v>991.42297600331301</v>
      </c>
      <c r="O95">
        <f t="shared" si="52"/>
        <v>991.42297600331301</v>
      </c>
      <c r="P95">
        <f t="shared" si="52"/>
        <v>991.42297600331301</v>
      </c>
      <c r="Q95">
        <f t="shared" si="52"/>
        <v>991.42297600331301</v>
      </c>
      <c r="R95">
        <f t="shared" si="52"/>
        <v>991.42297600331301</v>
      </c>
      <c r="S95">
        <f t="shared" si="52"/>
        <v>991.42297600331301</v>
      </c>
      <c r="T95">
        <f t="shared" si="52"/>
        <v>991.42297600331301</v>
      </c>
      <c r="U95">
        <f t="shared" si="52"/>
        <v>991.42297600331301</v>
      </c>
      <c r="V95">
        <f t="shared" si="52"/>
        <v>991.42297600331301</v>
      </c>
      <c r="W95">
        <f t="shared" si="52"/>
        <v>991.42297600331301</v>
      </c>
      <c r="X95">
        <f t="shared" si="52"/>
        <v>991.42297600331301</v>
      </c>
      <c r="Y95">
        <f t="shared" si="52"/>
        <v>991.42297600331301</v>
      </c>
    </row>
    <row r="96" spans="1:25" x14ac:dyDescent="0.25">
      <c r="A96" t="s">
        <v>187</v>
      </c>
      <c r="B96">
        <f>((B84*B13)+(B36*B11))/(B36+B84)</f>
        <v>1.0713442138316251</v>
      </c>
      <c r="C96" s="130">
        <f t="shared" ref="C96:Y96" si="53">((C84*C13)+(C36*C11))/(C36+C84)</f>
        <v>1.0990303236912713</v>
      </c>
      <c r="D96" s="88">
        <f t="shared" si="53"/>
        <v>1.0733554731399289</v>
      </c>
      <c r="E96">
        <f t="shared" si="53"/>
        <v>1.0990303236912713</v>
      </c>
      <c r="F96">
        <f t="shared" si="53"/>
        <v>1.0990303236912713</v>
      </c>
      <c r="G96">
        <f t="shared" si="53"/>
        <v>1.0990303236912713</v>
      </c>
      <c r="H96">
        <f t="shared" si="53"/>
        <v>1.0990303236912713</v>
      </c>
      <c r="I96">
        <f t="shared" si="53"/>
        <v>1.0990303236912713</v>
      </c>
      <c r="J96">
        <f t="shared" si="53"/>
        <v>1.0990303236912713</v>
      </c>
      <c r="K96">
        <f t="shared" si="53"/>
        <v>1.0990303236912713</v>
      </c>
      <c r="L96">
        <f t="shared" si="53"/>
        <v>1.0990303236912713</v>
      </c>
      <c r="M96">
        <f t="shared" si="53"/>
        <v>1.0990303236912713</v>
      </c>
      <c r="N96">
        <f t="shared" si="53"/>
        <v>1.0990303236912713</v>
      </c>
      <c r="O96">
        <f t="shared" si="53"/>
        <v>1.0990303236912713</v>
      </c>
      <c r="P96">
        <f t="shared" si="53"/>
        <v>1.0990303236912713</v>
      </c>
      <c r="Q96">
        <f t="shared" si="53"/>
        <v>1.0990303236912713</v>
      </c>
      <c r="R96">
        <f t="shared" si="53"/>
        <v>1.0990303236912713</v>
      </c>
      <c r="S96">
        <f t="shared" si="53"/>
        <v>1.0990303236912713</v>
      </c>
      <c r="T96">
        <f t="shared" si="53"/>
        <v>1.0990303236912713</v>
      </c>
      <c r="U96">
        <f t="shared" si="53"/>
        <v>1.0990303236912713</v>
      </c>
      <c r="V96">
        <f t="shared" si="53"/>
        <v>1.0990303236912713</v>
      </c>
      <c r="W96">
        <f t="shared" si="53"/>
        <v>1.0990303236912713</v>
      </c>
      <c r="X96">
        <f t="shared" si="53"/>
        <v>1.0990303236912713</v>
      </c>
      <c r="Y96">
        <f t="shared" si="53"/>
        <v>1.0990303236912713</v>
      </c>
    </row>
    <row r="97" spans="1:25" x14ac:dyDescent="0.25">
      <c r="A97" t="s">
        <v>186</v>
      </c>
      <c r="B97">
        <f>((B84*B13)+(B36*B11))/((B84*B13/B14)+(B36*B11/B12))</f>
        <v>1.3648525235349587</v>
      </c>
      <c r="C97" s="130">
        <f t="shared" ref="C97:Y97" si="54">((C84*C13)+(C36*C11))/((C84*C13/C14)+(C36*C11/C12))</f>
        <v>1.3521039415887359</v>
      </c>
      <c r="D97" s="88">
        <f t="shared" si="54"/>
        <v>1.3638959788135847</v>
      </c>
      <c r="E97">
        <f t="shared" si="54"/>
        <v>1.3521039415887359</v>
      </c>
      <c r="F97">
        <f t="shared" si="54"/>
        <v>1.3521039415887359</v>
      </c>
      <c r="G97">
        <f t="shared" si="54"/>
        <v>1.3521039415887359</v>
      </c>
      <c r="H97">
        <f t="shared" si="54"/>
        <v>1.3521039415887359</v>
      </c>
      <c r="I97">
        <f t="shared" si="54"/>
        <v>1.3521039415887359</v>
      </c>
      <c r="J97">
        <f t="shared" si="54"/>
        <v>1.3521039415887359</v>
      </c>
      <c r="K97">
        <f t="shared" si="54"/>
        <v>1.3521039415887359</v>
      </c>
      <c r="L97">
        <f t="shared" si="54"/>
        <v>1.3521039415887359</v>
      </c>
      <c r="M97">
        <f t="shared" si="54"/>
        <v>1.3521039415887359</v>
      </c>
      <c r="N97">
        <f t="shared" si="54"/>
        <v>1.3521039415887359</v>
      </c>
      <c r="O97">
        <f t="shared" si="54"/>
        <v>1.3521039415887359</v>
      </c>
      <c r="P97">
        <f t="shared" si="54"/>
        <v>1.3521039415887359</v>
      </c>
      <c r="Q97">
        <f t="shared" si="54"/>
        <v>1.3521039415887359</v>
      </c>
      <c r="R97">
        <f t="shared" si="54"/>
        <v>1.3521039415887359</v>
      </c>
      <c r="S97">
        <f t="shared" si="54"/>
        <v>1.3521039415887359</v>
      </c>
      <c r="T97">
        <f t="shared" si="54"/>
        <v>1.3521039415887359</v>
      </c>
      <c r="U97">
        <f t="shared" si="54"/>
        <v>1.3521039415887359</v>
      </c>
      <c r="V97">
        <f t="shared" si="54"/>
        <v>1.3521039415887359</v>
      </c>
      <c r="W97">
        <f t="shared" si="54"/>
        <v>1.3521039415887359</v>
      </c>
      <c r="X97">
        <f t="shared" si="54"/>
        <v>1.3521039415887359</v>
      </c>
      <c r="Y97">
        <f t="shared" si="54"/>
        <v>1.3521039415887359</v>
      </c>
    </row>
    <row r="98" spans="1:25" x14ac:dyDescent="0.25">
      <c r="A98" t="s">
        <v>106</v>
      </c>
      <c r="B98">
        <f>(B93/(1+B69))*(B14/B12)*(B40/B86)*(B85/B37)</f>
        <v>0.79412941777604484</v>
      </c>
      <c r="C98" s="130">
        <f>(C93/(1+C69))*(C14/C12)*(C40/C86)*(C85/C37)</f>
        <v>0.37156415027549244</v>
      </c>
      <c r="D98" s="88">
        <f t="shared" ref="D98:Y98" si="55">(D93/(1+D69))*(D14/D12)*(D40/D86)*(D85/D37)</f>
        <v>0.76544002353972684</v>
      </c>
      <c r="E98">
        <f t="shared" si="55"/>
        <v>0.37156415027549244</v>
      </c>
      <c r="F98">
        <f t="shared" si="55"/>
        <v>0.37156415027549244</v>
      </c>
      <c r="G98">
        <f t="shared" si="55"/>
        <v>0.37156415027549244</v>
      </c>
      <c r="H98">
        <f t="shared" si="55"/>
        <v>0.37156415027549244</v>
      </c>
      <c r="I98">
        <f t="shared" si="55"/>
        <v>0.37156415027549244</v>
      </c>
      <c r="J98">
        <f t="shared" si="55"/>
        <v>0.37156415027549244</v>
      </c>
      <c r="K98">
        <f t="shared" si="55"/>
        <v>0.37156415027549244</v>
      </c>
      <c r="L98">
        <f t="shared" si="55"/>
        <v>0.37156415027549244</v>
      </c>
      <c r="M98">
        <f t="shared" si="55"/>
        <v>0.37156415027549244</v>
      </c>
      <c r="N98">
        <f t="shared" si="55"/>
        <v>0.37156415027549244</v>
      </c>
      <c r="O98">
        <f t="shared" si="55"/>
        <v>0.37156415027549244</v>
      </c>
      <c r="P98">
        <f t="shared" si="55"/>
        <v>0.37156415027549244</v>
      </c>
      <c r="Q98">
        <f t="shared" si="55"/>
        <v>0.37156415027549244</v>
      </c>
      <c r="R98">
        <f t="shared" si="55"/>
        <v>0.37156415027549244</v>
      </c>
      <c r="S98">
        <f t="shared" si="55"/>
        <v>0.37156415027549244</v>
      </c>
      <c r="T98">
        <f t="shared" si="55"/>
        <v>0.37156415027549244</v>
      </c>
      <c r="U98">
        <f t="shared" si="55"/>
        <v>0.37156415027549244</v>
      </c>
      <c r="V98">
        <f t="shared" si="55"/>
        <v>0.37156415027549244</v>
      </c>
      <c r="W98">
        <f t="shared" si="55"/>
        <v>0.37156415027549244</v>
      </c>
      <c r="X98">
        <f t="shared" si="55"/>
        <v>0.37156415027549244</v>
      </c>
      <c r="Y98">
        <f t="shared" si="55"/>
        <v>0.37156415027549244</v>
      </c>
    </row>
    <row r="99" spans="1:25" x14ac:dyDescent="0.25">
      <c r="A99" t="s">
        <v>107</v>
      </c>
      <c r="B99">
        <f>((1+(B14*B85^2))+(B98*(1+(B12*B37^2))))/(1+B98)</f>
        <v>1.3329546509562396</v>
      </c>
      <c r="C99" s="130">
        <f t="shared" ref="C99:Y99" si="56">((1+(C14*C85^2))+(C98*(1+(C12*C37^2))))/(1+C98)</f>
        <v>1.3327782647997013</v>
      </c>
      <c r="D99" s="88">
        <f t="shared" si="56"/>
        <v>1.6533925004157255</v>
      </c>
      <c r="E99">
        <f t="shared" si="56"/>
        <v>1.3327782647997013</v>
      </c>
      <c r="F99">
        <f t="shared" si="56"/>
        <v>1.3327782647997013</v>
      </c>
      <c r="G99">
        <f t="shared" si="56"/>
        <v>1.3327782647997013</v>
      </c>
      <c r="H99">
        <f t="shared" si="56"/>
        <v>1.3327782647997013</v>
      </c>
      <c r="I99">
        <f t="shared" si="56"/>
        <v>1.3327782647997013</v>
      </c>
      <c r="J99">
        <f t="shared" si="56"/>
        <v>1.3327782647997013</v>
      </c>
      <c r="K99">
        <f t="shared" si="56"/>
        <v>1.3327782647997013</v>
      </c>
      <c r="L99">
        <f t="shared" si="56"/>
        <v>1.3327782647997013</v>
      </c>
      <c r="M99">
        <f t="shared" si="56"/>
        <v>1.3327782647997013</v>
      </c>
      <c r="N99">
        <f t="shared" si="56"/>
        <v>1.3327782647997013</v>
      </c>
      <c r="O99">
        <f t="shared" si="56"/>
        <v>1.3327782647997013</v>
      </c>
      <c r="P99">
        <f t="shared" si="56"/>
        <v>1.3327782647997013</v>
      </c>
      <c r="Q99">
        <f t="shared" si="56"/>
        <v>1.3327782647997013</v>
      </c>
      <c r="R99">
        <f t="shared" si="56"/>
        <v>1.3327782647997013</v>
      </c>
      <c r="S99">
        <f t="shared" si="56"/>
        <v>1.3327782647997013</v>
      </c>
      <c r="T99">
        <f t="shared" si="56"/>
        <v>1.3327782647997013</v>
      </c>
      <c r="U99">
        <f t="shared" si="56"/>
        <v>1.3327782647997013</v>
      </c>
      <c r="V99">
        <f t="shared" si="56"/>
        <v>1.3327782647997013</v>
      </c>
      <c r="W99">
        <f t="shared" si="56"/>
        <v>1.3327782647997013</v>
      </c>
      <c r="X99">
        <f t="shared" si="56"/>
        <v>1.3327782647997013</v>
      </c>
      <c r="Y99">
        <f t="shared" si="56"/>
        <v>1.3327782647997013</v>
      </c>
    </row>
    <row r="100" spans="1:25" x14ac:dyDescent="0.25">
      <c r="A100" t="s">
        <v>108</v>
      </c>
      <c r="B100">
        <f>(((B14/B97)*(B85/B86))+((B12/B97)*(B37*B98/B40)))*((SQRT((B97-1)*B95*1000))/(1+B98))</f>
        <v>0.52220657863531716</v>
      </c>
      <c r="C100" s="130">
        <f t="shared" ref="C100:Y100" si="57">(((C14/C97)*(C85/C86))+((C12/C97)*(C37*C98/C40)))*((SQRT((C97-1)*C95*1000))/(1+C98))</f>
        <v>0.5203695173916838</v>
      </c>
      <c r="D100" s="88">
        <f t="shared" si="57"/>
        <v>0.74423862502614158</v>
      </c>
      <c r="E100">
        <f t="shared" si="57"/>
        <v>0.5203695173916838</v>
      </c>
      <c r="F100">
        <f t="shared" si="57"/>
        <v>0.5203695173916838</v>
      </c>
      <c r="G100">
        <f t="shared" si="57"/>
        <v>0.5203695173916838</v>
      </c>
      <c r="H100">
        <f t="shared" si="57"/>
        <v>0.5203695173916838</v>
      </c>
      <c r="I100">
        <f t="shared" si="57"/>
        <v>0.5203695173916838</v>
      </c>
      <c r="J100">
        <f t="shared" si="57"/>
        <v>0.5203695173916838</v>
      </c>
      <c r="K100">
        <f t="shared" si="57"/>
        <v>0.5203695173916838</v>
      </c>
      <c r="L100">
        <f t="shared" si="57"/>
        <v>0.5203695173916838</v>
      </c>
      <c r="M100">
        <f t="shared" si="57"/>
        <v>0.5203695173916838</v>
      </c>
      <c r="N100">
        <f t="shared" si="57"/>
        <v>0.5203695173916838</v>
      </c>
      <c r="O100">
        <f t="shared" si="57"/>
        <v>0.5203695173916838</v>
      </c>
      <c r="P100">
        <f t="shared" si="57"/>
        <v>0.5203695173916838</v>
      </c>
      <c r="Q100">
        <f t="shared" si="57"/>
        <v>0.5203695173916838</v>
      </c>
      <c r="R100">
        <f t="shared" si="57"/>
        <v>0.5203695173916838</v>
      </c>
      <c r="S100">
        <f t="shared" si="57"/>
        <v>0.5203695173916838</v>
      </c>
      <c r="T100">
        <f t="shared" si="57"/>
        <v>0.5203695173916838</v>
      </c>
      <c r="U100">
        <f t="shared" si="57"/>
        <v>0.5203695173916838</v>
      </c>
      <c r="V100">
        <f t="shared" si="57"/>
        <v>0.5203695173916838</v>
      </c>
      <c r="W100">
        <f t="shared" si="57"/>
        <v>0.5203695173916838</v>
      </c>
      <c r="X100">
        <f t="shared" si="57"/>
        <v>0.5203695173916838</v>
      </c>
      <c r="Y100">
        <f t="shared" si="57"/>
        <v>0.5203695173916838</v>
      </c>
    </row>
    <row r="101" spans="1:25" x14ac:dyDescent="0.25">
      <c r="A101" t="s">
        <v>87</v>
      </c>
      <c r="B101">
        <f>(B99/B100)^2</f>
        <v>6.5154748293972551</v>
      </c>
      <c r="C101" s="130">
        <f t="shared" ref="C101:Y101" si="58">(C99/C100)^2</f>
        <v>6.5598227813450931</v>
      </c>
      <c r="D101" s="88">
        <f t="shared" si="58"/>
        <v>4.9354586263012701</v>
      </c>
      <c r="E101">
        <f t="shared" si="58"/>
        <v>6.5598227813450931</v>
      </c>
      <c r="F101">
        <f t="shared" si="58"/>
        <v>6.5598227813450931</v>
      </c>
      <c r="G101">
        <f t="shared" si="58"/>
        <v>6.5598227813450931</v>
      </c>
      <c r="H101">
        <f t="shared" si="58"/>
        <v>6.5598227813450931</v>
      </c>
      <c r="I101">
        <f t="shared" si="58"/>
        <v>6.5598227813450931</v>
      </c>
      <c r="J101">
        <f t="shared" si="58"/>
        <v>6.5598227813450931</v>
      </c>
      <c r="K101">
        <f t="shared" si="58"/>
        <v>6.5598227813450931</v>
      </c>
      <c r="L101">
        <f t="shared" si="58"/>
        <v>6.5598227813450931</v>
      </c>
      <c r="M101">
        <f t="shared" si="58"/>
        <v>6.5598227813450931</v>
      </c>
      <c r="N101">
        <f t="shared" si="58"/>
        <v>6.5598227813450931</v>
      </c>
      <c r="O101">
        <f t="shared" si="58"/>
        <v>6.5598227813450931</v>
      </c>
      <c r="P101">
        <f t="shared" si="58"/>
        <v>6.5598227813450931</v>
      </c>
      <c r="Q101">
        <f t="shared" si="58"/>
        <v>6.5598227813450931</v>
      </c>
      <c r="R101">
        <f t="shared" si="58"/>
        <v>6.5598227813450931</v>
      </c>
      <c r="S101">
        <f t="shared" si="58"/>
        <v>6.5598227813450931</v>
      </c>
      <c r="T101">
        <f t="shared" si="58"/>
        <v>6.5598227813450931</v>
      </c>
      <c r="U101">
        <f t="shared" si="58"/>
        <v>6.5598227813450931</v>
      </c>
      <c r="V101">
        <f t="shared" si="58"/>
        <v>6.5598227813450931</v>
      </c>
      <c r="W101">
        <f t="shared" si="58"/>
        <v>6.5598227813450931</v>
      </c>
      <c r="X101">
        <f t="shared" si="58"/>
        <v>6.5598227813450931</v>
      </c>
      <c r="Y101">
        <f t="shared" si="58"/>
        <v>6.5598227813450931</v>
      </c>
    </row>
    <row r="102" spans="1:25" x14ac:dyDescent="0.25">
      <c r="A102" t="s">
        <v>189</v>
      </c>
      <c r="B102">
        <f>SQRT((B101-(2*B97)-SQRT((B101-(2*B97))^2-(4*(B97^2-(B101*(B97-1)/2)))))/((2*B97^2)-(B101*(B97-1))))</f>
        <v>0.52716337850888673</v>
      </c>
      <c r="C102" s="130">
        <f t="shared" ref="C102:Y102" si="59">SQRT((C101-(2*C97)-SQRT((C101-(2*C97))^2-(4*(C97^2-(C101*(C97-1)/2)))))/((2*C97^2)-(C101*(C97-1))))</f>
        <v>0.52183486711123206</v>
      </c>
      <c r="D102" s="88">
        <f t="shared" si="59"/>
        <v>0.78810366844318336</v>
      </c>
      <c r="E102">
        <f t="shared" si="59"/>
        <v>0.52183486711123206</v>
      </c>
      <c r="F102">
        <f t="shared" si="59"/>
        <v>0.52183486711123206</v>
      </c>
      <c r="G102">
        <f t="shared" si="59"/>
        <v>0.52183486711123206</v>
      </c>
      <c r="H102">
        <f t="shared" si="59"/>
        <v>0.52183486711123206</v>
      </c>
      <c r="I102">
        <f t="shared" si="59"/>
        <v>0.52183486711123206</v>
      </c>
      <c r="J102">
        <f t="shared" si="59"/>
        <v>0.52183486711123206</v>
      </c>
      <c r="K102">
        <f t="shared" si="59"/>
        <v>0.52183486711123206</v>
      </c>
      <c r="L102">
        <f t="shared" si="59"/>
        <v>0.52183486711123206</v>
      </c>
      <c r="M102">
        <f t="shared" si="59"/>
        <v>0.52183486711123206</v>
      </c>
      <c r="N102">
        <f t="shared" si="59"/>
        <v>0.52183486711123206</v>
      </c>
      <c r="O102">
        <f t="shared" si="59"/>
        <v>0.52183486711123206</v>
      </c>
      <c r="P102">
        <f t="shared" si="59"/>
        <v>0.52183486711123206</v>
      </c>
      <c r="Q102">
        <f t="shared" si="59"/>
        <v>0.52183486711123206</v>
      </c>
      <c r="R102">
        <f t="shared" si="59"/>
        <v>0.52183486711123206</v>
      </c>
      <c r="S102">
        <f t="shared" si="59"/>
        <v>0.52183486711123206</v>
      </c>
      <c r="T102">
        <f t="shared" si="59"/>
        <v>0.52183486711123206</v>
      </c>
      <c r="U102">
        <f t="shared" si="59"/>
        <v>0.52183486711123206</v>
      </c>
      <c r="V102">
        <f t="shared" si="59"/>
        <v>0.52183486711123206</v>
      </c>
      <c r="W102">
        <f t="shared" si="59"/>
        <v>0.52183486711123206</v>
      </c>
      <c r="X102">
        <f t="shared" si="59"/>
        <v>0.52183486711123206</v>
      </c>
      <c r="Y102">
        <f t="shared" si="59"/>
        <v>0.52183486711123206</v>
      </c>
    </row>
    <row r="103" spans="1:25" x14ac:dyDescent="0.25">
      <c r="A103" t="s">
        <v>190</v>
      </c>
      <c r="B103">
        <f>(B88*B99)/(1+(B97*B102^2))</f>
        <v>336.15692202106487</v>
      </c>
      <c r="C103" s="130">
        <f t="shared" ref="C103:Y103" si="60">(C88*C99)/(1+(C97*C102^2))</f>
        <v>109.93655038018615</v>
      </c>
      <c r="D103" s="88">
        <f t="shared" si="60"/>
        <v>166.60411363621748</v>
      </c>
      <c r="E103">
        <f t="shared" si="60"/>
        <v>109.93655038018615</v>
      </c>
      <c r="F103">
        <f t="shared" si="60"/>
        <v>109.93655038018615</v>
      </c>
      <c r="G103">
        <f t="shared" si="60"/>
        <v>109.93655038018615</v>
      </c>
      <c r="H103">
        <f t="shared" si="60"/>
        <v>109.93655038018615</v>
      </c>
      <c r="I103">
        <f t="shared" si="60"/>
        <v>109.93655038018615</v>
      </c>
      <c r="J103">
        <f t="shared" si="60"/>
        <v>109.93655038018615</v>
      </c>
      <c r="K103">
        <f t="shared" si="60"/>
        <v>109.93655038018615</v>
      </c>
      <c r="L103">
        <f t="shared" si="60"/>
        <v>109.93655038018615</v>
      </c>
      <c r="M103">
        <f t="shared" si="60"/>
        <v>109.93655038018615</v>
      </c>
      <c r="N103">
        <f t="shared" si="60"/>
        <v>109.93655038018615</v>
      </c>
      <c r="O103">
        <f t="shared" si="60"/>
        <v>109.93655038018615</v>
      </c>
      <c r="P103">
        <f t="shared" si="60"/>
        <v>109.93655038018615</v>
      </c>
      <c r="Q103">
        <f t="shared" si="60"/>
        <v>109.93655038018615</v>
      </c>
      <c r="R103">
        <f t="shared" si="60"/>
        <v>109.93655038018615</v>
      </c>
      <c r="S103">
        <f t="shared" si="60"/>
        <v>109.93655038018615</v>
      </c>
      <c r="T103">
        <f t="shared" si="60"/>
        <v>109.93655038018615</v>
      </c>
      <c r="U103">
        <f t="shared" si="60"/>
        <v>109.93655038018615</v>
      </c>
      <c r="V103">
        <f t="shared" si="60"/>
        <v>109.93655038018615</v>
      </c>
      <c r="W103">
        <f t="shared" si="60"/>
        <v>109.93655038018615</v>
      </c>
      <c r="X103">
        <f t="shared" si="60"/>
        <v>109.93655038018615</v>
      </c>
      <c r="Y103">
        <f t="shared" si="60"/>
        <v>109.93655038018615</v>
      </c>
    </row>
    <row r="104" spans="1:25" x14ac:dyDescent="0.25">
      <c r="A104" t="s">
        <v>191</v>
      </c>
      <c r="B104">
        <f>B105/B83</f>
        <v>0.98798274484855286</v>
      </c>
      <c r="C104" s="130">
        <f t="shared" ref="C104:Y104" si="61">C105/C83</f>
        <v>0.99072512591198691</v>
      </c>
      <c r="D104" s="88">
        <f t="shared" si="61"/>
        <v>0.97740313977072746</v>
      </c>
      <c r="E104">
        <f t="shared" si="61"/>
        <v>0.99072512591198691</v>
      </c>
      <c r="F104">
        <f t="shared" si="61"/>
        <v>0.99072512591198691</v>
      </c>
      <c r="G104">
        <f t="shared" si="61"/>
        <v>0.99072512591198691</v>
      </c>
      <c r="H104">
        <f t="shared" si="61"/>
        <v>0.99072512591198691</v>
      </c>
      <c r="I104">
        <f t="shared" si="61"/>
        <v>0.99072512591198691</v>
      </c>
      <c r="J104">
        <f t="shared" si="61"/>
        <v>0.99072512591198691</v>
      </c>
      <c r="K104">
        <f t="shared" si="61"/>
        <v>0.99072512591198691</v>
      </c>
      <c r="L104">
        <f t="shared" si="61"/>
        <v>0.99072512591198691</v>
      </c>
      <c r="M104">
        <f t="shared" si="61"/>
        <v>0.99072512591198691</v>
      </c>
      <c r="N104">
        <f t="shared" si="61"/>
        <v>0.99072512591198691</v>
      </c>
      <c r="O104">
        <f t="shared" si="61"/>
        <v>0.99072512591198691</v>
      </c>
      <c r="P104">
        <f t="shared" si="61"/>
        <v>0.99072512591198691</v>
      </c>
      <c r="Q104">
        <f t="shared" si="61"/>
        <v>0.99072512591198691</v>
      </c>
      <c r="R104">
        <f t="shared" si="61"/>
        <v>0.99072512591198691</v>
      </c>
      <c r="S104">
        <f t="shared" si="61"/>
        <v>0.99072512591198691</v>
      </c>
      <c r="T104">
        <f t="shared" si="61"/>
        <v>0.99072512591198691</v>
      </c>
      <c r="U104">
        <f t="shared" si="61"/>
        <v>0.99072512591198691</v>
      </c>
      <c r="V104">
        <f t="shared" si="61"/>
        <v>0.99072512591198691</v>
      </c>
      <c r="W104">
        <f t="shared" si="61"/>
        <v>0.99072512591198691</v>
      </c>
      <c r="X104">
        <f t="shared" si="61"/>
        <v>0.99072512591198691</v>
      </c>
      <c r="Y104">
        <f t="shared" si="61"/>
        <v>0.99072512591198691</v>
      </c>
    </row>
    <row r="105" spans="1:25" x14ac:dyDescent="0.25">
      <c r="A105" t="s">
        <v>194</v>
      </c>
      <c r="B105">
        <f>B103*(1+((B97-1)/2*B102^2))^(B97/(B97-1))</f>
        <v>404.46875578939051</v>
      </c>
      <c r="C105" s="130">
        <f t="shared" ref="C105:Y105" si="62">C103*(1+((C97-1)/2*C102^2))^(C97/(C97-1))</f>
        <v>131.59426778547237</v>
      </c>
      <c r="D105" s="88">
        <f t="shared" si="62"/>
        <v>248.8656066951894</v>
      </c>
      <c r="E105">
        <f t="shared" si="62"/>
        <v>131.59426778547237</v>
      </c>
      <c r="F105">
        <f t="shared" si="62"/>
        <v>131.59426778547237</v>
      </c>
      <c r="G105">
        <f t="shared" si="62"/>
        <v>131.59426778547237</v>
      </c>
      <c r="H105">
        <f t="shared" si="62"/>
        <v>131.59426778547237</v>
      </c>
      <c r="I105">
        <f t="shared" si="62"/>
        <v>131.59426778547237</v>
      </c>
      <c r="J105">
        <f t="shared" si="62"/>
        <v>131.59426778547237</v>
      </c>
      <c r="K105">
        <f t="shared" si="62"/>
        <v>131.59426778547237</v>
      </c>
      <c r="L105">
        <f t="shared" si="62"/>
        <v>131.59426778547237</v>
      </c>
      <c r="M105">
        <f t="shared" si="62"/>
        <v>131.59426778547237</v>
      </c>
      <c r="N105">
        <f t="shared" si="62"/>
        <v>131.59426778547237</v>
      </c>
      <c r="O105">
        <f t="shared" si="62"/>
        <v>131.59426778547237</v>
      </c>
      <c r="P105">
        <f t="shared" si="62"/>
        <v>131.59426778547237</v>
      </c>
      <c r="Q105">
        <f t="shared" si="62"/>
        <v>131.59426778547237</v>
      </c>
      <c r="R105">
        <f t="shared" si="62"/>
        <v>131.59426778547237</v>
      </c>
      <c r="S105">
        <f t="shared" si="62"/>
        <v>131.59426778547237</v>
      </c>
      <c r="T105">
        <f t="shared" si="62"/>
        <v>131.59426778547237</v>
      </c>
      <c r="U105">
        <f t="shared" si="62"/>
        <v>131.59426778547237</v>
      </c>
      <c r="V105">
        <f t="shared" si="62"/>
        <v>131.59426778547237</v>
      </c>
      <c r="W105">
        <f t="shared" si="62"/>
        <v>131.59426778547237</v>
      </c>
      <c r="X105">
        <f t="shared" si="62"/>
        <v>131.59426778547237</v>
      </c>
      <c r="Y105">
        <f t="shared" si="62"/>
        <v>131.59426778547237</v>
      </c>
    </row>
    <row r="106" spans="1:25" x14ac:dyDescent="0.25">
      <c r="A106" t="s">
        <v>193</v>
      </c>
      <c r="B106" s="82">
        <v>0.98</v>
      </c>
      <c r="C106" s="131">
        <v>0.98</v>
      </c>
      <c r="D106" s="89">
        <v>0.98</v>
      </c>
      <c r="E106" s="82">
        <v>0.98</v>
      </c>
      <c r="F106" s="82">
        <v>0.98</v>
      </c>
      <c r="G106" s="82">
        <v>0.98</v>
      </c>
      <c r="H106" s="82">
        <v>0.98</v>
      </c>
      <c r="I106" s="82">
        <v>0.98</v>
      </c>
      <c r="J106" s="82">
        <v>0.98</v>
      </c>
      <c r="K106" s="82">
        <v>0.98</v>
      </c>
      <c r="L106" s="82">
        <v>0.98</v>
      </c>
      <c r="M106" s="82">
        <v>0.98</v>
      </c>
      <c r="N106" s="82">
        <v>0.98</v>
      </c>
      <c r="O106" s="82">
        <v>0.98</v>
      </c>
      <c r="P106" s="82">
        <v>0.98</v>
      </c>
      <c r="Q106" s="82">
        <v>0.98</v>
      </c>
      <c r="R106" s="82">
        <v>0.98</v>
      </c>
      <c r="S106" s="82">
        <v>0.98</v>
      </c>
      <c r="T106" s="82">
        <v>0.98</v>
      </c>
      <c r="U106" s="82">
        <v>0.98</v>
      </c>
      <c r="V106" s="82">
        <v>0.98</v>
      </c>
      <c r="W106" s="82">
        <v>0.98</v>
      </c>
      <c r="X106" s="82">
        <v>0.98</v>
      </c>
      <c r="Y106" s="82">
        <v>0.98</v>
      </c>
    </row>
    <row r="107" spans="1:25" x14ac:dyDescent="0.25">
      <c r="A107" s="79" t="s">
        <v>192</v>
      </c>
      <c r="B107" s="79">
        <f>B106*B105</f>
        <v>396.37938067360267</v>
      </c>
      <c r="C107" s="130">
        <f>C106*C105</f>
        <v>128.96238242976293</v>
      </c>
      <c r="D107" s="92">
        <f t="shared" ref="D107:Y107" si="63">D106*D105</f>
        <v>243.88829456128562</v>
      </c>
      <c r="E107" s="79">
        <f t="shared" si="63"/>
        <v>128.96238242976293</v>
      </c>
      <c r="F107" s="79">
        <f t="shared" si="63"/>
        <v>128.96238242976293</v>
      </c>
      <c r="G107" s="79">
        <f t="shared" si="63"/>
        <v>128.96238242976293</v>
      </c>
      <c r="H107" s="79">
        <f t="shared" si="63"/>
        <v>128.96238242976293</v>
      </c>
      <c r="I107" s="79">
        <f t="shared" si="63"/>
        <v>128.96238242976293</v>
      </c>
      <c r="J107" s="79">
        <f t="shared" si="63"/>
        <v>128.96238242976293</v>
      </c>
      <c r="K107" s="79">
        <f t="shared" si="63"/>
        <v>128.96238242976293</v>
      </c>
      <c r="L107" s="79">
        <f t="shared" si="63"/>
        <v>128.96238242976293</v>
      </c>
      <c r="M107" s="79">
        <f t="shared" si="63"/>
        <v>128.96238242976293</v>
      </c>
      <c r="N107" s="79">
        <f t="shared" si="63"/>
        <v>128.96238242976293</v>
      </c>
      <c r="O107" s="79">
        <f t="shared" si="63"/>
        <v>128.96238242976293</v>
      </c>
      <c r="P107" s="79">
        <f t="shared" si="63"/>
        <v>128.96238242976293</v>
      </c>
      <c r="Q107" s="79">
        <f t="shared" si="63"/>
        <v>128.96238242976293</v>
      </c>
      <c r="R107" s="79">
        <f t="shared" si="63"/>
        <v>128.96238242976293</v>
      </c>
      <c r="S107" s="79">
        <f t="shared" si="63"/>
        <v>128.96238242976293</v>
      </c>
      <c r="T107" s="79">
        <f t="shared" si="63"/>
        <v>128.96238242976293</v>
      </c>
      <c r="U107" s="79">
        <f t="shared" si="63"/>
        <v>128.96238242976293</v>
      </c>
      <c r="V107" s="79">
        <f t="shared" si="63"/>
        <v>128.96238242976293</v>
      </c>
      <c r="W107" s="79">
        <f t="shared" si="63"/>
        <v>128.96238242976293</v>
      </c>
      <c r="X107" s="79">
        <f t="shared" si="63"/>
        <v>128.96238242976293</v>
      </c>
      <c r="Y107" s="79">
        <f t="shared" si="63"/>
        <v>128.96238242976293</v>
      </c>
    </row>
    <row r="108" spans="1:25" x14ac:dyDescent="0.25">
      <c r="A108" s="86" t="s">
        <v>93</v>
      </c>
      <c r="B108" s="85"/>
      <c r="D108" s="90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spans="1:25" x14ac:dyDescent="0.25">
      <c r="A109" s="83" t="s">
        <v>195</v>
      </c>
      <c r="B109" s="82">
        <v>0.92</v>
      </c>
      <c r="C109" s="131">
        <v>0.92</v>
      </c>
      <c r="D109" s="89">
        <v>0.92</v>
      </c>
      <c r="E109" s="82">
        <v>0.92</v>
      </c>
      <c r="F109" s="82">
        <v>0.92</v>
      </c>
      <c r="G109" s="82">
        <v>0.92</v>
      </c>
      <c r="H109" s="82">
        <v>0.92</v>
      </c>
      <c r="I109" s="82">
        <v>0.92</v>
      </c>
      <c r="J109" s="82">
        <v>0.92</v>
      </c>
      <c r="K109" s="82">
        <v>0.92</v>
      </c>
      <c r="L109" s="82">
        <v>0.92</v>
      </c>
      <c r="M109" s="82">
        <v>0.92</v>
      </c>
      <c r="N109" s="82">
        <v>0.92</v>
      </c>
      <c r="O109" s="82">
        <v>0.92</v>
      </c>
      <c r="P109" s="82">
        <v>0.92</v>
      </c>
      <c r="Q109" s="82">
        <v>0.92</v>
      </c>
      <c r="R109" s="82">
        <v>0.92</v>
      </c>
      <c r="S109" s="82">
        <v>0.92</v>
      </c>
      <c r="T109" s="82">
        <v>0.92</v>
      </c>
      <c r="U109" s="82">
        <v>0.92</v>
      </c>
      <c r="V109" s="82">
        <v>0.92</v>
      </c>
      <c r="W109" s="82">
        <v>0.92</v>
      </c>
      <c r="X109" s="82">
        <v>0.92</v>
      </c>
      <c r="Y109" s="82">
        <v>0.92</v>
      </c>
    </row>
    <row r="110" spans="1:25" x14ac:dyDescent="0.25">
      <c r="A110" s="77" t="s">
        <v>196</v>
      </c>
      <c r="B110" s="82">
        <v>0.98</v>
      </c>
      <c r="C110" s="131">
        <v>0.98</v>
      </c>
      <c r="D110" s="89">
        <v>0.98</v>
      </c>
      <c r="E110" s="82">
        <v>0.98</v>
      </c>
      <c r="F110" s="82">
        <v>0.98</v>
      </c>
      <c r="G110" s="82">
        <v>0.98</v>
      </c>
      <c r="H110" s="82">
        <v>0.98</v>
      </c>
      <c r="I110" s="82">
        <v>0.98</v>
      </c>
      <c r="J110" s="82">
        <v>0.98</v>
      </c>
      <c r="K110" s="82">
        <v>0.98</v>
      </c>
      <c r="L110" s="82">
        <v>0.98</v>
      </c>
      <c r="M110" s="82">
        <v>0.98</v>
      </c>
      <c r="N110" s="82">
        <v>0.98</v>
      </c>
      <c r="O110" s="82">
        <v>0.98</v>
      </c>
      <c r="P110" s="82">
        <v>0.98</v>
      </c>
      <c r="Q110" s="82">
        <v>0.98</v>
      </c>
      <c r="R110" s="82">
        <v>0.98</v>
      </c>
      <c r="S110" s="82">
        <v>0.98</v>
      </c>
      <c r="T110" s="82">
        <v>0.98</v>
      </c>
      <c r="U110" s="82">
        <v>0.98</v>
      </c>
      <c r="V110" s="82">
        <v>0.98</v>
      </c>
      <c r="W110" s="82">
        <v>0.98</v>
      </c>
      <c r="X110" s="82">
        <v>0.98</v>
      </c>
      <c r="Y110" s="82">
        <v>0.98</v>
      </c>
    </row>
    <row r="111" spans="1:25" x14ac:dyDescent="0.25">
      <c r="A111" t="s">
        <v>198</v>
      </c>
      <c r="B111" s="82">
        <v>2000</v>
      </c>
      <c r="C111" s="131">
        <v>2000</v>
      </c>
      <c r="D111" s="89">
        <v>2000</v>
      </c>
      <c r="E111" s="82">
        <v>2000</v>
      </c>
      <c r="F111" s="82">
        <v>2000</v>
      </c>
      <c r="G111" s="82">
        <v>2000</v>
      </c>
      <c r="H111" s="82">
        <v>2000</v>
      </c>
      <c r="I111" s="82">
        <v>2000</v>
      </c>
      <c r="J111" s="82">
        <v>2000</v>
      </c>
      <c r="K111" s="82">
        <v>2000</v>
      </c>
      <c r="L111" s="82">
        <v>2000</v>
      </c>
      <c r="M111" s="82">
        <v>2000</v>
      </c>
      <c r="N111" s="82">
        <v>2000</v>
      </c>
      <c r="O111" s="82">
        <v>2000</v>
      </c>
      <c r="P111" s="82">
        <v>2000</v>
      </c>
      <c r="Q111" s="82">
        <v>2000</v>
      </c>
      <c r="R111" s="82">
        <v>2000</v>
      </c>
      <c r="S111" s="82">
        <v>2000</v>
      </c>
      <c r="T111" s="82">
        <v>2000</v>
      </c>
      <c r="U111" s="82">
        <v>2000</v>
      </c>
      <c r="V111" s="82">
        <v>2000</v>
      </c>
      <c r="W111" s="82">
        <v>2000</v>
      </c>
      <c r="X111" s="82">
        <v>2000</v>
      </c>
      <c r="Y111" s="82">
        <v>2000</v>
      </c>
    </row>
    <row r="112" spans="1:25" x14ac:dyDescent="0.25">
      <c r="A112" t="s">
        <v>203</v>
      </c>
      <c r="B112">
        <f>B107*B109</f>
        <v>364.66903021971444</v>
      </c>
      <c r="C112" s="130">
        <f>C107*C109</f>
        <v>118.6453918353819</v>
      </c>
      <c r="D112" s="88">
        <f t="shared" ref="D112:Y112" si="64">D107*D109</f>
        <v>224.37723099638279</v>
      </c>
      <c r="E112">
        <f t="shared" si="64"/>
        <v>118.6453918353819</v>
      </c>
      <c r="F112">
        <f t="shared" si="64"/>
        <v>118.6453918353819</v>
      </c>
      <c r="G112">
        <f t="shared" si="64"/>
        <v>118.6453918353819</v>
      </c>
      <c r="H112">
        <f t="shared" si="64"/>
        <v>118.6453918353819</v>
      </c>
      <c r="I112">
        <f t="shared" si="64"/>
        <v>118.6453918353819</v>
      </c>
      <c r="J112">
        <f t="shared" si="64"/>
        <v>118.6453918353819</v>
      </c>
      <c r="K112">
        <f t="shared" si="64"/>
        <v>118.6453918353819</v>
      </c>
      <c r="L112">
        <f t="shared" si="64"/>
        <v>118.6453918353819</v>
      </c>
      <c r="M112">
        <f t="shared" si="64"/>
        <v>118.6453918353819</v>
      </c>
      <c r="N112">
        <f t="shared" si="64"/>
        <v>118.6453918353819</v>
      </c>
      <c r="O112">
        <f t="shared" si="64"/>
        <v>118.6453918353819</v>
      </c>
      <c r="P112">
        <f t="shared" si="64"/>
        <v>118.6453918353819</v>
      </c>
      <c r="Q112">
        <f t="shared" si="64"/>
        <v>118.6453918353819</v>
      </c>
      <c r="R112">
        <f t="shared" si="64"/>
        <v>118.6453918353819</v>
      </c>
      <c r="S112">
        <f t="shared" si="64"/>
        <v>118.6453918353819</v>
      </c>
      <c r="T112">
        <f t="shared" si="64"/>
        <v>118.6453918353819</v>
      </c>
      <c r="U112">
        <f t="shared" si="64"/>
        <v>118.6453918353819</v>
      </c>
      <c r="V112">
        <f t="shared" si="64"/>
        <v>118.6453918353819</v>
      </c>
      <c r="W112">
        <f t="shared" si="64"/>
        <v>118.6453918353819</v>
      </c>
      <c r="X112">
        <f t="shared" si="64"/>
        <v>118.6453918353819</v>
      </c>
      <c r="Y112">
        <f t="shared" si="64"/>
        <v>118.6453918353819</v>
      </c>
    </row>
    <row r="113" spans="1:25" x14ac:dyDescent="0.25">
      <c r="A113" s="79" t="s">
        <v>197</v>
      </c>
      <c r="B113" s="79">
        <f>((B111*B15)-B95)/((B64*B110)-(B111*B15))</f>
        <v>4.0363945503333075E-2</v>
      </c>
      <c r="C113" s="130">
        <f t="shared" ref="C113:Y113" si="65">((C111*C15)-C95)/((C64*C110)-(C111*C15))</f>
        <v>3.8538110140045684E-2</v>
      </c>
      <c r="D113" s="92">
        <f t="shared" si="65"/>
        <v>3.8113611526498919E-2</v>
      </c>
      <c r="E113" s="79">
        <f t="shared" si="65"/>
        <v>3.8538110140045684E-2</v>
      </c>
      <c r="F113" s="79">
        <f t="shared" si="65"/>
        <v>3.8538110140045684E-2</v>
      </c>
      <c r="G113" s="79">
        <f t="shared" si="65"/>
        <v>3.8538110140045684E-2</v>
      </c>
      <c r="H113" s="79">
        <f t="shared" si="65"/>
        <v>3.8538110140045684E-2</v>
      </c>
      <c r="I113" s="79">
        <f t="shared" si="65"/>
        <v>3.8538110140045684E-2</v>
      </c>
      <c r="J113" s="79">
        <f t="shared" si="65"/>
        <v>3.8538110140045684E-2</v>
      </c>
      <c r="K113" s="79">
        <f t="shared" si="65"/>
        <v>3.8538110140045684E-2</v>
      </c>
      <c r="L113" s="79">
        <f t="shared" si="65"/>
        <v>3.8538110140045684E-2</v>
      </c>
      <c r="M113" s="79">
        <f t="shared" si="65"/>
        <v>3.8538110140045684E-2</v>
      </c>
      <c r="N113" s="79">
        <f t="shared" si="65"/>
        <v>3.8538110140045684E-2</v>
      </c>
      <c r="O113" s="79">
        <f t="shared" si="65"/>
        <v>3.8538110140045684E-2</v>
      </c>
      <c r="P113" s="79">
        <f t="shared" si="65"/>
        <v>3.8538110140045684E-2</v>
      </c>
      <c r="Q113" s="79">
        <f t="shared" si="65"/>
        <v>3.8538110140045684E-2</v>
      </c>
      <c r="R113" s="79">
        <f t="shared" si="65"/>
        <v>3.8538110140045684E-2</v>
      </c>
      <c r="S113" s="79">
        <f t="shared" si="65"/>
        <v>3.8538110140045684E-2</v>
      </c>
      <c r="T113" s="79">
        <f t="shared" si="65"/>
        <v>3.8538110140045684E-2</v>
      </c>
      <c r="U113" s="79">
        <f t="shared" si="65"/>
        <v>3.8538110140045684E-2</v>
      </c>
      <c r="V113" s="79">
        <f t="shared" si="65"/>
        <v>3.8538110140045684E-2</v>
      </c>
      <c r="W113" s="79">
        <f t="shared" si="65"/>
        <v>3.8538110140045684E-2</v>
      </c>
      <c r="X113" s="79">
        <f t="shared" si="65"/>
        <v>3.8538110140045684E-2</v>
      </c>
      <c r="Y113" s="79">
        <f t="shared" si="65"/>
        <v>3.8538110140045684E-2</v>
      </c>
    </row>
    <row r="114" spans="1:25" x14ac:dyDescent="0.25">
      <c r="A114" s="86" t="s">
        <v>43</v>
      </c>
      <c r="B114" s="85"/>
      <c r="D114" s="90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spans="1:25" x14ac:dyDescent="0.25">
      <c r="A115" s="83" t="s">
        <v>201</v>
      </c>
      <c r="B115" s="82">
        <v>0.95</v>
      </c>
      <c r="C115" s="131">
        <v>0.95</v>
      </c>
      <c r="D115" s="89">
        <v>0.95</v>
      </c>
      <c r="E115" s="82">
        <v>0.95</v>
      </c>
      <c r="F115" s="82">
        <v>0.95</v>
      </c>
      <c r="G115" s="82">
        <v>0.95</v>
      </c>
      <c r="H115" s="82">
        <v>0.95</v>
      </c>
      <c r="I115" s="82">
        <v>0.95</v>
      </c>
      <c r="J115" s="82">
        <v>0.95</v>
      </c>
      <c r="K115" s="82">
        <v>0.95</v>
      </c>
      <c r="L115" s="82">
        <v>0.95</v>
      </c>
      <c r="M115" s="82">
        <v>0.95</v>
      </c>
      <c r="N115" s="82">
        <v>0.95</v>
      </c>
      <c r="O115" s="82">
        <v>0.95</v>
      </c>
      <c r="P115" s="82">
        <v>0.95</v>
      </c>
      <c r="Q115" s="82">
        <v>0.95</v>
      </c>
      <c r="R115" s="82">
        <v>0.95</v>
      </c>
      <c r="S115" s="82">
        <v>0.95</v>
      </c>
      <c r="T115" s="82">
        <v>0.95</v>
      </c>
      <c r="U115" s="82">
        <v>0.95</v>
      </c>
      <c r="V115" s="82">
        <v>0.95</v>
      </c>
      <c r="W115" s="82">
        <v>0.95</v>
      </c>
      <c r="X115" s="82">
        <v>0.95</v>
      </c>
      <c r="Y115" s="82">
        <v>0.95</v>
      </c>
    </row>
    <row r="116" spans="1:25" x14ac:dyDescent="0.25">
      <c r="A116" t="s">
        <v>109</v>
      </c>
      <c r="B116" s="82">
        <v>3.8</v>
      </c>
      <c r="C116" s="131">
        <v>3.8</v>
      </c>
      <c r="D116" s="89">
        <v>3.8</v>
      </c>
      <c r="E116" s="82">
        <v>3.8</v>
      </c>
      <c r="F116" s="82">
        <v>3.8</v>
      </c>
      <c r="G116" s="82">
        <v>3.8</v>
      </c>
      <c r="H116" s="82">
        <v>3.8</v>
      </c>
      <c r="I116" s="82">
        <v>3.8</v>
      </c>
      <c r="J116" s="82">
        <v>3.8</v>
      </c>
      <c r="K116" s="82">
        <v>3.8</v>
      </c>
      <c r="L116" s="82">
        <v>3.8</v>
      </c>
      <c r="M116" s="82">
        <v>3.8</v>
      </c>
      <c r="N116" s="82">
        <v>3.8</v>
      </c>
      <c r="O116" s="82">
        <v>3.8</v>
      </c>
      <c r="P116" s="82">
        <v>3.8</v>
      </c>
      <c r="Q116" s="82">
        <v>3.8</v>
      </c>
      <c r="R116" s="82">
        <v>3.8</v>
      </c>
      <c r="S116" s="82">
        <v>3.8</v>
      </c>
      <c r="T116" s="82">
        <v>3.8</v>
      </c>
      <c r="U116" s="82">
        <v>3.8</v>
      </c>
      <c r="V116" s="82">
        <v>3.8</v>
      </c>
      <c r="W116" s="82">
        <v>3.8</v>
      </c>
      <c r="X116" s="82">
        <v>3.8</v>
      </c>
      <c r="Y116" s="82">
        <v>3.8</v>
      </c>
    </row>
    <row r="117" spans="1:25" x14ac:dyDescent="0.25">
      <c r="A117" t="s">
        <v>202</v>
      </c>
      <c r="B117">
        <f>B112*B115</f>
        <v>346.43557870872871</v>
      </c>
      <c r="C117" s="130">
        <f t="shared" ref="C117:Y117" si="66">C112*C115</f>
        <v>112.7131222436128</v>
      </c>
      <c r="D117" s="88">
        <f t="shared" si="66"/>
        <v>213.15836944656365</v>
      </c>
      <c r="E117">
        <f t="shared" si="66"/>
        <v>112.7131222436128</v>
      </c>
      <c r="F117">
        <f t="shared" si="66"/>
        <v>112.7131222436128</v>
      </c>
      <c r="G117">
        <f t="shared" si="66"/>
        <v>112.7131222436128</v>
      </c>
      <c r="H117">
        <f t="shared" si="66"/>
        <v>112.7131222436128</v>
      </c>
      <c r="I117">
        <f t="shared" si="66"/>
        <v>112.7131222436128</v>
      </c>
      <c r="J117">
        <f t="shared" si="66"/>
        <v>112.7131222436128</v>
      </c>
      <c r="K117">
        <f t="shared" si="66"/>
        <v>112.7131222436128</v>
      </c>
      <c r="L117">
        <f t="shared" si="66"/>
        <v>112.7131222436128</v>
      </c>
      <c r="M117">
        <f t="shared" si="66"/>
        <v>112.7131222436128</v>
      </c>
      <c r="N117">
        <f t="shared" si="66"/>
        <v>112.7131222436128</v>
      </c>
      <c r="O117">
        <f t="shared" si="66"/>
        <v>112.7131222436128</v>
      </c>
      <c r="P117">
        <f t="shared" si="66"/>
        <v>112.7131222436128</v>
      </c>
      <c r="Q117">
        <f t="shared" si="66"/>
        <v>112.7131222436128</v>
      </c>
      <c r="R117">
        <f t="shared" si="66"/>
        <v>112.7131222436128</v>
      </c>
      <c r="S117">
        <f t="shared" si="66"/>
        <v>112.7131222436128</v>
      </c>
      <c r="T117">
        <f t="shared" si="66"/>
        <v>112.7131222436128</v>
      </c>
      <c r="U117">
        <f t="shared" si="66"/>
        <v>112.7131222436128</v>
      </c>
      <c r="V117">
        <f t="shared" si="66"/>
        <v>112.7131222436128</v>
      </c>
      <c r="W117">
        <f t="shared" si="66"/>
        <v>112.7131222436128</v>
      </c>
      <c r="X117">
        <f t="shared" si="66"/>
        <v>112.7131222436128</v>
      </c>
      <c r="Y117">
        <f t="shared" si="66"/>
        <v>112.7131222436128</v>
      </c>
    </row>
    <row r="118" spans="1:25" x14ac:dyDescent="0.25">
      <c r="A118" t="s">
        <v>77</v>
      </c>
      <c r="B118">
        <f>B116*B4</f>
        <v>79.48153053988743</v>
      </c>
      <c r="C118" s="130">
        <f t="shared" ref="C118:Y118" si="67">C116*C4</f>
        <v>38</v>
      </c>
      <c r="D118" s="88">
        <f t="shared" si="67"/>
        <v>38</v>
      </c>
      <c r="E118">
        <f t="shared" si="67"/>
        <v>38</v>
      </c>
      <c r="F118">
        <f t="shared" si="67"/>
        <v>38</v>
      </c>
      <c r="G118">
        <f t="shared" si="67"/>
        <v>38</v>
      </c>
      <c r="H118">
        <f t="shared" si="67"/>
        <v>38</v>
      </c>
      <c r="I118">
        <f t="shared" si="67"/>
        <v>38</v>
      </c>
      <c r="J118">
        <f t="shared" si="67"/>
        <v>38</v>
      </c>
      <c r="K118">
        <f t="shared" si="67"/>
        <v>38</v>
      </c>
      <c r="L118">
        <f t="shared" si="67"/>
        <v>38</v>
      </c>
      <c r="M118">
        <f t="shared" si="67"/>
        <v>38</v>
      </c>
      <c r="N118">
        <f t="shared" si="67"/>
        <v>38</v>
      </c>
      <c r="O118">
        <f t="shared" si="67"/>
        <v>38</v>
      </c>
      <c r="P118">
        <f t="shared" si="67"/>
        <v>38</v>
      </c>
      <c r="Q118">
        <f t="shared" si="67"/>
        <v>38</v>
      </c>
      <c r="R118">
        <f t="shared" si="67"/>
        <v>38</v>
      </c>
      <c r="S118">
        <f t="shared" si="67"/>
        <v>38</v>
      </c>
      <c r="T118">
        <f t="shared" si="67"/>
        <v>38</v>
      </c>
      <c r="U118">
        <f t="shared" si="67"/>
        <v>38</v>
      </c>
      <c r="V118">
        <f t="shared" si="67"/>
        <v>38</v>
      </c>
      <c r="W118">
        <f t="shared" si="67"/>
        <v>38</v>
      </c>
      <c r="X118">
        <f t="shared" si="67"/>
        <v>38</v>
      </c>
      <c r="Y118">
        <f t="shared" si="67"/>
        <v>38</v>
      </c>
    </row>
    <row r="119" spans="1:25" x14ac:dyDescent="0.25">
      <c r="A119" t="s">
        <v>205</v>
      </c>
      <c r="B119">
        <f>B111</f>
        <v>2000</v>
      </c>
      <c r="C119" s="130">
        <f>C111</f>
        <v>2000</v>
      </c>
      <c r="D119" s="88">
        <f t="shared" ref="D119:Y119" si="68">D111</f>
        <v>2000</v>
      </c>
      <c r="E119">
        <f t="shared" si="68"/>
        <v>2000</v>
      </c>
      <c r="F119">
        <f t="shared" si="68"/>
        <v>2000</v>
      </c>
      <c r="G119">
        <f t="shared" si="68"/>
        <v>2000</v>
      </c>
      <c r="H119">
        <f t="shared" si="68"/>
        <v>2000</v>
      </c>
      <c r="I119">
        <f t="shared" si="68"/>
        <v>2000</v>
      </c>
      <c r="J119">
        <f t="shared" si="68"/>
        <v>2000</v>
      </c>
      <c r="K119">
        <f t="shared" si="68"/>
        <v>2000</v>
      </c>
      <c r="L119">
        <f t="shared" si="68"/>
        <v>2000</v>
      </c>
      <c r="M119">
        <f t="shared" si="68"/>
        <v>2000</v>
      </c>
      <c r="N119">
        <f t="shared" si="68"/>
        <v>2000</v>
      </c>
      <c r="O119">
        <f t="shared" si="68"/>
        <v>2000</v>
      </c>
      <c r="P119">
        <f t="shared" si="68"/>
        <v>2000</v>
      </c>
      <c r="Q119">
        <f t="shared" si="68"/>
        <v>2000</v>
      </c>
      <c r="R119">
        <f t="shared" si="68"/>
        <v>2000</v>
      </c>
      <c r="S119">
        <f t="shared" si="68"/>
        <v>2000</v>
      </c>
      <c r="T119">
        <f t="shared" si="68"/>
        <v>2000</v>
      </c>
      <c r="U119">
        <f t="shared" si="68"/>
        <v>2000</v>
      </c>
      <c r="V119">
        <f t="shared" si="68"/>
        <v>2000</v>
      </c>
      <c r="W119">
        <f t="shared" si="68"/>
        <v>2000</v>
      </c>
      <c r="X119">
        <f t="shared" si="68"/>
        <v>2000</v>
      </c>
      <c r="Y119">
        <f t="shared" si="68"/>
        <v>2000</v>
      </c>
    </row>
    <row r="120" spans="1:25" x14ac:dyDescent="0.25">
      <c r="A120" t="s">
        <v>111</v>
      </c>
      <c r="B120">
        <f>B119/(1+((B16-1)/2*B121^2))</f>
        <v>1423.9221375596869</v>
      </c>
      <c r="C120" s="130">
        <f>C119/(1+((C16-1)/2*C121^2))</f>
        <v>1556.1908902159294</v>
      </c>
      <c r="D120" s="88">
        <f t="shared" ref="D120:Y120" si="69">D119/(1+((D16-1)/2*D121^2))</f>
        <v>1343.3914562620846</v>
      </c>
      <c r="E120">
        <f t="shared" si="69"/>
        <v>1556.1908902159294</v>
      </c>
      <c r="F120">
        <f t="shared" si="69"/>
        <v>1556.1908902159294</v>
      </c>
      <c r="G120">
        <f t="shared" si="69"/>
        <v>1556.1908902159294</v>
      </c>
      <c r="H120">
        <f t="shared" si="69"/>
        <v>1556.1908902159294</v>
      </c>
      <c r="I120">
        <f t="shared" si="69"/>
        <v>1556.1908902159294</v>
      </c>
      <c r="J120">
        <f t="shared" si="69"/>
        <v>1556.1908902159294</v>
      </c>
      <c r="K120">
        <f t="shared" si="69"/>
        <v>1556.1908902159294</v>
      </c>
      <c r="L120">
        <f t="shared" si="69"/>
        <v>1556.1908902159294</v>
      </c>
      <c r="M120">
        <f t="shared" si="69"/>
        <v>1556.1908902159294</v>
      </c>
      <c r="N120">
        <f t="shared" si="69"/>
        <v>1556.1908902159294</v>
      </c>
      <c r="O120">
        <f t="shared" si="69"/>
        <v>1556.1908902159294</v>
      </c>
      <c r="P120">
        <f t="shared" si="69"/>
        <v>1556.1908902159294</v>
      </c>
      <c r="Q120">
        <f t="shared" si="69"/>
        <v>1556.1908902159294</v>
      </c>
      <c r="R120">
        <f t="shared" si="69"/>
        <v>1556.1908902159294</v>
      </c>
      <c r="S120">
        <f t="shared" si="69"/>
        <v>1556.1908902159294</v>
      </c>
      <c r="T120">
        <f t="shared" si="69"/>
        <v>1556.1908902159294</v>
      </c>
      <c r="U120">
        <f t="shared" si="69"/>
        <v>1556.1908902159294</v>
      </c>
      <c r="V120">
        <f t="shared" si="69"/>
        <v>1556.1908902159294</v>
      </c>
      <c r="W120">
        <f t="shared" si="69"/>
        <v>1556.1908902159294</v>
      </c>
      <c r="X120">
        <f t="shared" si="69"/>
        <v>1556.1908902159294</v>
      </c>
      <c r="Y120">
        <f t="shared" si="69"/>
        <v>1556.1908902159294</v>
      </c>
    </row>
    <row r="121" spans="1:25" x14ac:dyDescent="0.25">
      <c r="A121" t="s">
        <v>110</v>
      </c>
      <c r="B121">
        <f>SQRT((2/(B16-1))*(((B117/B118)^((B16-1)/B16))-1))</f>
        <v>1.6422975412932324</v>
      </c>
      <c r="C121" s="130">
        <f>SQRT((2/(C16-1))*(((C117/C118)^((C16-1)/C16))-1))</f>
        <v>1.3788627598056102</v>
      </c>
      <c r="D121" s="88">
        <f t="shared" ref="D121:Y121" si="70">SQRT((2/(D16-1))*(((D117/D118)^((D16-1)/D16))-1))</f>
        <v>1.8051211063526971</v>
      </c>
      <c r="E121">
        <f t="shared" si="70"/>
        <v>1.3788627598056102</v>
      </c>
      <c r="F121">
        <f t="shared" si="70"/>
        <v>1.3788627598056102</v>
      </c>
      <c r="G121">
        <f t="shared" si="70"/>
        <v>1.3788627598056102</v>
      </c>
      <c r="H121">
        <f t="shared" si="70"/>
        <v>1.3788627598056102</v>
      </c>
      <c r="I121">
        <f t="shared" si="70"/>
        <v>1.3788627598056102</v>
      </c>
      <c r="J121">
        <f t="shared" si="70"/>
        <v>1.3788627598056102</v>
      </c>
      <c r="K121">
        <f t="shared" si="70"/>
        <v>1.3788627598056102</v>
      </c>
      <c r="L121">
        <f t="shared" si="70"/>
        <v>1.3788627598056102</v>
      </c>
      <c r="M121">
        <f t="shared" si="70"/>
        <v>1.3788627598056102</v>
      </c>
      <c r="N121">
        <f t="shared" si="70"/>
        <v>1.3788627598056102</v>
      </c>
      <c r="O121">
        <f t="shared" si="70"/>
        <v>1.3788627598056102</v>
      </c>
      <c r="P121">
        <f t="shared" si="70"/>
        <v>1.3788627598056102</v>
      </c>
      <c r="Q121">
        <f t="shared" si="70"/>
        <v>1.3788627598056102</v>
      </c>
      <c r="R121">
        <f t="shared" si="70"/>
        <v>1.3788627598056102</v>
      </c>
      <c r="S121">
        <f t="shared" si="70"/>
        <v>1.3788627598056102</v>
      </c>
      <c r="T121">
        <f t="shared" si="70"/>
        <v>1.3788627598056102</v>
      </c>
      <c r="U121">
        <f t="shared" si="70"/>
        <v>1.3788627598056102</v>
      </c>
      <c r="V121">
        <f t="shared" si="70"/>
        <v>1.3788627598056102</v>
      </c>
      <c r="W121">
        <f t="shared" si="70"/>
        <v>1.3788627598056102</v>
      </c>
      <c r="X121">
        <f t="shared" si="70"/>
        <v>1.3788627598056102</v>
      </c>
      <c r="Y121">
        <f t="shared" si="70"/>
        <v>1.3788627598056102</v>
      </c>
    </row>
    <row r="122" spans="1:25" x14ac:dyDescent="0.25">
      <c r="A122" t="s">
        <v>204</v>
      </c>
      <c r="B122">
        <f>B15*(B16-1)/(B16)</f>
        <v>0.28638461538461546</v>
      </c>
      <c r="C122" s="130">
        <f>C15*(C16-1)/(C16)</f>
        <v>0.28638461538461546</v>
      </c>
      <c r="D122" s="88">
        <f t="shared" ref="D122:Y122" si="71">D15*(D16-1)/(D16)</f>
        <v>0.28638461538461546</v>
      </c>
      <c r="E122">
        <f t="shared" si="71"/>
        <v>0.28638461538461546</v>
      </c>
      <c r="F122">
        <f t="shared" si="71"/>
        <v>0.28638461538461546</v>
      </c>
      <c r="G122">
        <f t="shared" si="71"/>
        <v>0.28638461538461546</v>
      </c>
      <c r="H122">
        <f t="shared" si="71"/>
        <v>0.28638461538461546</v>
      </c>
      <c r="I122">
        <f t="shared" si="71"/>
        <v>0.28638461538461546</v>
      </c>
      <c r="J122">
        <f t="shared" si="71"/>
        <v>0.28638461538461546</v>
      </c>
      <c r="K122">
        <f t="shared" si="71"/>
        <v>0.28638461538461546</v>
      </c>
      <c r="L122">
        <f t="shared" si="71"/>
        <v>0.28638461538461546</v>
      </c>
      <c r="M122">
        <f t="shared" si="71"/>
        <v>0.28638461538461546</v>
      </c>
      <c r="N122">
        <f t="shared" si="71"/>
        <v>0.28638461538461546</v>
      </c>
      <c r="O122">
        <f t="shared" si="71"/>
        <v>0.28638461538461546</v>
      </c>
      <c r="P122">
        <f t="shared" si="71"/>
        <v>0.28638461538461546</v>
      </c>
      <c r="Q122">
        <f t="shared" si="71"/>
        <v>0.28638461538461546</v>
      </c>
      <c r="R122">
        <f t="shared" si="71"/>
        <v>0.28638461538461546</v>
      </c>
      <c r="S122">
        <f t="shared" si="71"/>
        <v>0.28638461538461546</v>
      </c>
      <c r="T122">
        <f t="shared" si="71"/>
        <v>0.28638461538461546</v>
      </c>
      <c r="U122">
        <f t="shared" si="71"/>
        <v>0.28638461538461546</v>
      </c>
      <c r="V122">
        <f t="shared" si="71"/>
        <v>0.28638461538461546</v>
      </c>
      <c r="W122">
        <f t="shared" si="71"/>
        <v>0.28638461538461546</v>
      </c>
      <c r="X122">
        <f t="shared" si="71"/>
        <v>0.28638461538461546</v>
      </c>
      <c r="Y122">
        <f t="shared" si="71"/>
        <v>0.28638461538461546</v>
      </c>
    </row>
    <row r="123" spans="1:25" x14ac:dyDescent="0.25">
      <c r="A123" t="s">
        <v>112</v>
      </c>
      <c r="B123">
        <f>SQRT((B16*B122*1000*B119)/(1+((B16-1)*B121^2/2)))</f>
        <v>728.09766639749068</v>
      </c>
      <c r="C123" s="130">
        <f>SQRT((C16*C122*1000*C119)/(1+((C16-1)*C121^2/2)))</f>
        <v>761.16349651529583</v>
      </c>
      <c r="D123" s="88">
        <f t="shared" ref="D123:Y123" si="72">SQRT((D16*D122*1000*D119)/(1+((D16-1)*D121^2/2)))</f>
        <v>707.20904912647586</v>
      </c>
      <c r="E123">
        <f t="shared" si="72"/>
        <v>761.16349651529583</v>
      </c>
      <c r="F123">
        <f t="shared" si="72"/>
        <v>761.16349651529583</v>
      </c>
      <c r="G123">
        <f t="shared" si="72"/>
        <v>761.16349651529583</v>
      </c>
      <c r="H123">
        <f t="shared" si="72"/>
        <v>761.16349651529583</v>
      </c>
      <c r="I123">
        <f t="shared" si="72"/>
        <v>761.16349651529583</v>
      </c>
      <c r="J123">
        <f t="shared" si="72"/>
        <v>761.16349651529583</v>
      </c>
      <c r="K123">
        <f t="shared" si="72"/>
        <v>761.16349651529583</v>
      </c>
      <c r="L123">
        <f t="shared" si="72"/>
        <v>761.16349651529583</v>
      </c>
      <c r="M123">
        <f t="shared" si="72"/>
        <v>761.16349651529583</v>
      </c>
      <c r="N123">
        <f t="shared" si="72"/>
        <v>761.16349651529583</v>
      </c>
      <c r="O123">
        <f t="shared" si="72"/>
        <v>761.16349651529583</v>
      </c>
      <c r="P123">
        <f t="shared" si="72"/>
        <v>761.16349651529583</v>
      </c>
      <c r="Q123">
        <f t="shared" si="72"/>
        <v>761.16349651529583</v>
      </c>
      <c r="R123">
        <f t="shared" si="72"/>
        <v>761.16349651529583</v>
      </c>
      <c r="S123">
        <f t="shared" si="72"/>
        <v>761.16349651529583</v>
      </c>
      <c r="T123">
        <f t="shared" si="72"/>
        <v>761.16349651529583</v>
      </c>
      <c r="U123">
        <f t="shared" si="72"/>
        <v>761.16349651529583</v>
      </c>
      <c r="V123">
        <f t="shared" si="72"/>
        <v>761.16349651529583</v>
      </c>
      <c r="W123">
        <f t="shared" si="72"/>
        <v>761.16349651529583</v>
      </c>
      <c r="X123">
        <f t="shared" si="72"/>
        <v>761.16349651529583</v>
      </c>
      <c r="Y123">
        <f t="shared" si="72"/>
        <v>761.16349651529583</v>
      </c>
    </row>
    <row r="124" spans="1:25" x14ac:dyDescent="0.25">
      <c r="A124" t="s">
        <v>79</v>
      </c>
      <c r="B124">
        <f>B123*B121</f>
        <v>1195.7530073459391</v>
      </c>
      <c r="C124" s="130">
        <f t="shared" ref="C124:Y124" si="73">C123*C121</f>
        <v>1049.5399994683687</v>
      </c>
      <c r="D124" s="88">
        <f t="shared" si="73"/>
        <v>1276.5979811818229</v>
      </c>
      <c r="E124">
        <f t="shared" si="73"/>
        <v>1049.5399994683687</v>
      </c>
      <c r="F124">
        <f t="shared" si="73"/>
        <v>1049.5399994683687</v>
      </c>
      <c r="G124">
        <f t="shared" si="73"/>
        <v>1049.5399994683687</v>
      </c>
      <c r="H124">
        <f t="shared" si="73"/>
        <v>1049.5399994683687</v>
      </c>
      <c r="I124">
        <f t="shared" si="73"/>
        <v>1049.5399994683687</v>
      </c>
      <c r="J124">
        <f t="shared" si="73"/>
        <v>1049.5399994683687</v>
      </c>
      <c r="K124">
        <f t="shared" si="73"/>
        <v>1049.5399994683687</v>
      </c>
      <c r="L124">
        <f t="shared" si="73"/>
        <v>1049.5399994683687</v>
      </c>
      <c r="M124">
        <f t="shared" si="73"/>
        <v>1049.5399994683687</v>
      </c>
      <c r="N124">
        <f t="shared" si="73"/>
        <v>1049.5399994683687</v>
      </c>
      <c r="O124">
        <f t="shared" si="73"/>
        <v>1049.5399994683687</v>
      </c>
      <c r="P124">
        <f t="shared" si="73"/>
        <v>1049.5399994683687</v>
      </c>
      <c r="Q124">
        <f t="shared" si="73"/>
        <v>1049.5399994683687</v>
      </c>
      <c r="R124">
        <f t="shared" si="73"/>
        <v>1049.5399994683687</v>
      </c>
      <c r="S124">
        <f t="shared" si="73"/>
        <v>1049.5399994683687</v>
      </c>
      <c r="T124">
        <f t="shared" si="73"/>
        <v>1049.5399994683687</v>
      </c>
      <c r="U124">
        <f t="shared" si="73"/>
        <v>1049.5399994683687</v>
      </c>
      <c r="V124">
        <f t="shared" si="73"/>
        <v>1049.5399994683687</v>
      </c>
      <c r="W124">
        <f t="shared" si="73"/>
        <v>1049.5399994683687</v>
      </c>
      <c r="X124">
        <f t="shared" si="73"/>
        <v>1049.5399994683687</v>
      </c>
      <c r="Y124">
        <f t="shared" si="73"/>
        <v>1049.5399994683687</v>
      </c>
    </row>
    <row r="125" spans="1:25" x14ac:dyDescent="0.25">
      <c r="A125" t="s">
        <v>113</v>
      </c>
      <c r="B125">
        <f>B124+(((B123^2)*(1-(1/B116)))/(B16*B124))</f>
        <v>1447.0393461750521</v>
      </c>
      <c r="C125" s="130">
        <f>C124+(((C123^2)*(1-(1/C116)))/(C16*C124))</f>
        <v>1362.4273404384935</v>
      </c>
      <c r="D125" s="88">
        <f t="shared" ref="D125:Y125" si="74">D124+(((D123^2)*(1-(1/D116)))/(D16*D124))</f>
        <v>1498.6591121009683</v>
      </c>
      <c r="E125">
        <f t="shared" si="74"/>
        <v>1362.4273404384935</v>
      </c>
      <c r="F125">
        <f t="shared" si="74"/>
        <v>1362.4273404384935</v>
      </c>
      <c r="G125">
        <f t="shared" si="74"/>
        <v>1362.4273404384935</v>
      </c>
      <c r="H125">
        <f t="shared" si="74"/>
        <v>1362.4273404384935</v>
      </c>
      <c r="I125">
        <f t="shared" si="74"/>
        <v>1362.4273404384935</v>
      </c>
      <c r="J125">
        <f t="shared" si="74"/>
        <v>1362.4273404384935</v>
      </c>
      <c r="K125">
        <f t="shared" si="74"/>
        <v>1362.4273404384935</v>
      </c>
      <c r="L125">
        <f t="shared" si="74"/>
        <v>1362.4273404384935</v>
      </c>
      <c r="M125">
        <f t="shared" si="74"/>
        <v>1362.4273404384935</v>
      </c>
      <c r="N125">
        <f t="shared" si="74"/>
        <v>1362.4273404384935</v>
      </c>
      <c r="O125">
        <f t="shared" si="74"/>
        <v>1362.4273404384935</v>
      </c>
      <c r="P125">
        <f t="shared" si="74"/>
        <v>1362.4273404384935</v>
      </c>
      <c r="Q125">
        <f t="shared" si="74"/>
        <v>1362.4273404384935</v>
      </c>
      <c r="R125">
        <f t="shared" si="74"/>
        <v>1362.4273404384935</v>
      </c>
      <c r="S125">
        <f t="shared" si="74"/>
        <v>1362.4273404384935</v>
      </c>
      <c r="T125">
        <f t="shared" si="74"/>
        <v>1362.4273404384935</v>
      </c>
      <c r="U125">
        <f t="shared" si="74"/>
        <v>1362.4273404384935</v>
      </c>
      <c r="V125">
        <f t="shared" si="74"/>
        <v>1362.4273404384935</v>
      </c>
      <c r="W125">
        <f t="shared" si="74"/>
        <v>1362.4273404384935</v>
      </c>
      <c r="X125">
        <f t="shared" si="74"/>
        <v>1362.4273404384935</v>
      </c>
      <c r="Y125">
        <f t="shared" si="74"/>
        <v>1362.4273404384935</v>
      </c>
    </row>
    <row r="126" spans="1:25" x14ac:dyDescent="0.25">
      <c r="A126" t="s">
        <v>206</v>
      </c>
      <c r="B126">
        <f>((1+B93+B69+B113)/(1+B93))*(B125/B7)-B6</f>
        <v>3.2685849901536477</v>
      </c>
      <c r="C126" s="130">
        <f>((1+C93+C69+C113)/(1+C93))*(C125/C7)-C6</f>
        <v>2.7331676155573783</v>
      </c>
      <c r="D126" s="88">
        <f t="shared" ref="D126:Y126" si="75">((1+D93+D69+D113)/(1+D93))*(D125/D7)-D6</f>
        <v>3.1739709590307008</v>
      </c>
      <c r="E126">
        <f t="shared" si="75"/>
        <v>2.7331676155573783</v>
      </c>
      <c r="F126">
        <f t="shared" si="75"/>
        <v>2.7331676155573783</v>
      </c>
      <c r="G126">
        <f t="shared" si="75"/>
        <v>2.7331676155573783</v>
      </c>
      <c r="H126">
        <f t="shared" si="75"/>
        <v>2.7331676155573783</v>
      </c>
      <c r="I126">
        <f t="shared" si="75"/>
        <v>2.7331676155573783</v>
      </c>
      <c r="J126">
        <f t="shared" si="75"/>
        <v>2.7331676155573783</v>
      </c>
      <c r="K126">
        <f t="shared" si="75"/>
        <v>2.7331676155573783</v>
      </c>
      <c r="L126">
        <f t="shared" si="75"/>
        <v>2.7331676155573783</v>
      </c>
      <c r="M126">
        <f t="shared" si="75"/>
        <v>2.7331676155573783</v>
      </c>
      <c r="N126">
        <f t="shared" si="75"/>
        <v>2.7331676155573783</v>
      </c>
      <c r="O126">
        <f t="shared" si="75"/>
        <v>2.7331676155573783</v>
      </c>
      <c r="P126">
        <f t="shared" si="75"/>
        <v>2.7331676155573783</v>
      </c>
      <c r="Q126">
        <f t="shared" si="75"/>
        <v>2.7331676155573783</v>
      </c>
      <c r="R126">
        <f t="shared" si="75"/>
        <v>2.7331676155573783</v>
      </c>
      <c r="S126">
        <f t="shared" si="75"/>
        <v>2.7331676155573783</v>
      </c>
      <c r="T126">
        <f t="shared" si="75"/>
        <v>2.7331676155573783</v>
      </c>
      <c r="U126">
        <f t="shared" si="75"/>
        <v>2.7331676155573783</v>
      </c>
      <c r="V126">
        <f t="shared" si="75"/>
        <v>2.7331676155573783</v>
      </c>
      <c r="W126">
        <f t="shared" si="75"/>
        <v>2.7331676155573783</v>
      </c>
      <c r="X126">
        <f t="shared" si="75"/>
        <v>2.7331676155573783</v>
      </c>
      <c r="Y126">
        <f t="shared" si="75"/>
        <v>2.7331676155573783</v>
      </c>
    </row>
    <row r="127" spans="1:25" x14ac:dyDescent="0.25">
      <c r="A127" t="s">
        <v>114</v>
      </c>
      <c r="B127">
        <f>((B69+B113)/((1+B93)*B7))/B126*10^6</f>
        <v>34.430704201933054</v>
      </c>
      <c r="C127" s="130">
        <f>((C69+C113)/((1+C93)*C7))/C126*10^6</f>
        <v>48.478027826448965</v>
      </c>
      <c r="D127" s="88">
        <f t="shared" ref="D127:Y127" si="76">((D69+D113)/((1+D93)*D7))/D126*10^6</f>
        <v>34.918083210188961</v>
      </c>
      <c r="E127">
        <f t="shared" si="76"/>
        <v>48.478027826448965</v>
      </c>
      <c r="F127">
        <f t="shared" si="76"/>
        <v>48.478027826448965</v>
      </c>
      <c r="G127">
        <f t="shared" si="76"/>
        <v>48.478027826448965</v>
      </c>
      <c r="H127">
        <f t="shared" si="76"/>
        <v>48.478027826448965</v>
      </c>
      <c r="I127">
        <f t="shared" si="76"/>
        <v>48.478027826448965</v>
      </c>
      <c r="J127">
        <f t="shared" si="76"/>
        <v>48.478027826448965</v>
      </c>
      <c r="K127">
        <f t="shared" si="76"/>
        <v>48.478027826448965</v>
      </c>
      <c r="L127">
        <f t="shared" si="76"/>
        <v>48.478027826448965</v>
      </c>
      <c r="M127">
        <f t="shared" si="76"/>
        <v>48.478027826448965</v>
      </c>
      <c r="N127">
        <f t="shared" si="76"/>
        <v>48.478027826448965</v>
      </c>
      <c r="O127">
        <f t="shared" si="76"/>
        <v>48.478027826448965</v>
      </c>
      <c r="P127">
        <f t="shared" si="76"/>
        <v>48.478027826448965</v>
      </c>
      <c r="Q127">
        <f t="shared" si="76"/>
        <v>48.478027826448965</v>
      </c>
      <c r="R127">
        <f t="shared" si="76"/>
        <v>48.478027826448965</v>
      </c>
      <c r="S127">
        <f t="shared" si="76"/>
        <v>48.478027826448965</v>
      </c>
      <c r="T127">
        <f t="shared" si="76"/>
        <v>48.478027826448965</v>
      </c>
      <c r="U127">
        <f t="shared" si="76"/>
        <v>48.478027826448965</v>
      </c>
      <c r="V127">
        <f t="shared" si="76"/>
        <v>48.478027826448965</v>
      </c>
      <c r="W127">
        <f t="shared" si="76"/>
        <v>48.478027826448965</v>
      </c>
      <c r="X127">
        <f t="shared" si="76"/>
        <v>48.478027826448965</v>
      </c>
      <c r="Y127">
        <f t="shared" si="76"/>
        <v>48.478027826448965</v>
      </c>
    </row>
    <row r="128" spans="1:25" x14ac:dyDescent="0.25">
      <c r="A128" s="79" t="s">
        <v>207</v>
      </c>
      <c r="B128" s="79">
        <f>B126*B9*(1+B93)*B8</f>
        <v>310755.62206979719</v>
      </c>
      <c r="C128" s="130">
        <f>C126*C9*(1+C93)*C8</f>
        <v>128466.37886414766</v>
      </c>
      <c r="D128" s="92">
        <f t="shared" ref="D128:Y128" si="77">D126*D9*(1+D93)*D8</f>
        <v>330153.25063182414</v>
      </c>
      <c r="E128" s="79">
        <f t="shared" si="77"/>
        <v>128466.37886414766</v>
      </c>
      <c r="F128" s="79">
        <f t="shared" si="77"/>
        <v>128466.37886414766</v>
      </c>
      <c r="G128" s="79">
        <f t="shared" si="77"/>
        <v>128466.37886414766</v>
      </c>
      <c r="H128" s="79">
        <f t="shared" si="77"/>
        <v>128466.37886414766</v>
      </c>
      <c r="I128" s="79">
        <f t="shared" si="77"/>
        <v>128466.37886414766</v>
      </c>
      <c r="J128" s="79">
        <f t="shared" si="77"/>
        <v>128466.37886414766</v>
      </c>
      <c r="K128" s="79">
        <f t="shared" si="77"/>
        <v>128466.37886414766</v>
      </c>
      <c r="L128" s="79">
        <f t="shared" si="77"/>
        <v>128466.37886414766</v>
      </c>
      <c r="M128" s="79">
        <f t="shared" si="77"/>
        <v>128466.37886414766</v>
      </c>
      <c r="N128" s="79">
        <f t="shared" si="77"/>
        <v>128466.37886414766</v>
      </c>
      <c r="O128" s="79">
        <f t="shared" si="77"/>
        <v>128466.37886414766</v>
      </c>
      <c r="P128" s="79">
        <f t="shared" si="77"/>
        <v>128466.37886414766</v>
      </c>
      <c r="Q128" s="79">
        <f t="shared" si="77"/>
        <v>128466.37886414766</v>
      </c>
      <c r="R128" s="79">
        <f t="shared" si="77"/>
        <v>128466.37886414766</v>
      </c>
      <c r="S128" s="79">
        <f t="shared" si="77"/>
        <v>128466.37886414766</v>
      </c>
      <c r="T128" s="79">
        <f t="shared" si="77"/>
        <v>128466.37886414766</v>
      </c>
      <c r="U128" s="79">
        <f t="shared" si="77"/>
        <v>128466.37886414766</v>
      </c>
      <c r="V128" s="79">
        <f t="shared" si="77"/>
        <v>128466.37886414766</v>
      </c>
      <c r="W128" s="79">
        <f t="shared" si="77"/>
        <v>128466.37886414766</v>
      </c>
      <c r="X128" s="79">
        <f t="shared" si="77"/>
        <v>128466.37886414766</v>
      </c>
      <c r="Y128" s="79">
        <f t="shared" si="77"/>
        <v>128466.37886414766</v>
      </c>
    </row>
    <row r="129" spans="1:25" x14ac:dyDescent="0.25">
      <c r="A129" s="86" t="s">
        <v>208</v>
      </c>
      <c r="B129" s="85"/>
      <c r="D129" s="90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spans="1:25" x14ac:dyDescent="0.25">
      <c r="A130" s="77" t="s">
        <v>209</v>
      </c>
      <c r="B130">
        <f>(((1+B93+B69+B113)*B125^2)-((1+B93)*B8^2))/(2*B64*1000*(B69+B113))</f>
        <v>0.67476121823458768</v>
      </c>
      <c r="C130" s="130">
        <f>(((1+C93+C69+C113)*C125^2)-((1+C93)*C8^2))/(2*C64*1000*(C69+C113))</f>
        <v>0.47184292277581485</v>
      </c>
      <c r="D130" s="88">
        <f t="shared" ref="D130:Y130" si="78">(((1+D93+D69+D113)*D125^2)-((1+D93)*D8^2))/(2*D64*1000*(D69+D113))</f>
        <v>0.70432164033062505</v>
      </c>
      <c r="E130">
        <f t="shared" si="78"/>
        <v>0.47184292277581485</v>
      </c>
      <c r="F130">
        <f t="shared" si="78"/>
        <v>0.47184292277581485</v>
      </c>
      <c r="G130">
        <f t="shared" si="78"/>
        <v>0.47184292277581485</v>
      </c>
      <c r="H130">
        <f t="shared" si="78"/>
        <v>0.47184292277581485</v>
      </c>
      <c r="I130">
        <f t="shared" si="78"/>
        <v>0.47184292277581485</v>
      </c>
      <c r="J130">
        <f t="shared" si="78"/>
        <v>0.47184292277581485</v>
      </c>
      <c r="K130">
        <f t="shared" si="78"/>
        <v>0.47184292277581485</v>
      </c>
      <c r="L130">
        <f t="shared" si="78"/>
        <v>0.47184292277581485</v>
      </c>
      <c r="M130">
        <f t="shared" si="78"/>
        <v>0.47184292277581485</v>
      </c>
      <c r="N130">
        <f t="shared" si="78"/>
        <v>0.47184292277581485</v>
      </c>
      <c r="O130">
        <f t="shared" si="78"/>
        <v>0.47184292277581485</v>
      </c>
      <c r="P130">
        <f t="shared" si="78"/>
        <v>0.47184292277581485</v>
      </c>
      <c r="Q130">
        <f t="shared" si="78"/>
        <v>0.47184292277581485</v>
      </c>
      <c r="R130">
        <f t="shared" si="78"/>
        <v>0.47184292277581485</v>
      </c>
      <c r="S130">
        <f t="shared" si="78"/>
        <v>0.47184292277581485</v>
      </c>
      <c r="T130">
        <f t="shared" si="78"/>
        <v>0.47184292277581485</v>
      </c>
      <c r="U130">
        <f t="shared" si="78"/>
        <v>0.47184292277581485</v>
      </c>
      <c r="V130">
        <f t="shared" si="78"/>
        <v>0.47184292277581485</v>
      </c>
      <c r="W130">
        <f t="shared" si="78"/>
        <v>0.47184292277581485</v>
      </c>
      <c r="X130">
        <f t="shared" si="78"/>
        <v>0.47184292277581485</v>
      </c>
      <c r="Y130">
        <f t="shared" si="78"/>
        <v>0.47184292277581485</v>
      </c>
    </row>
    <row r="131" spans="1:25" x14ac:dyDescent="0.25">
      <c r="A131" s="77" t="s">
        <v>210</v>
      </c>
      <c r="B131">
        <f>(2*B8)/(B8+B125)</f>
        <v>0.53685385061055613</v>
      </c>
      <c r="C131" s="130">
        <f>(2*C8)/(C8+C125)</f>
        <v>0.61044024349236758</v>
      </c>
      <c r="D131" s="88">
        <f t="shared" ref="D131:Y131" si="79">(2*D8)/(D8+D125)</f>
        <v>0.5707863474848357</v>
      </c>
      <c r="E131">
        <f t="shared" si="79"/>
        <v>0.61044024349236758</v>
      </c>
      <c r="F131">
        <f t="shared" si="79"/>
        <v>0.61044024349236758</v>
      </c>
      <c r="G131">
        <f t="shared" si="79"/>
        <v>0.61044024349236758</v>
      </c>
      <c r="H131">
        <f t="shared" si="79"/>
        <v>0.61044024349236758</v>
      </c>
      <c r="I131">
        <f t="shared" si="79"/>
        <v>0.61044024349236758</v>
      </c>
      <c r="J131">
        <f t="shared" si="79"/>
        <v>0.61044024349236758</v>
      </c>
      <c r="K131">
        <f t="shared" si="79"/>
        <v>0.61044024349236758</v>
      </c>
      <c r="L131">
        <f t="shared" si="79"/>
        <v>0.61044024349236758</v>
      </c>
      <c r="M131">
        <f t="shared" si="79"/>
        <v>0.61044024349236758</v>
      </c>
      <c r="N131">
        <f t="shared" si="79"/>
        <v>0.61044024349236758</v>
      </c>
      <c r="O131">
        <f t="shared" si="79"/>
        <v>0.61044024349236758</v>
      </c>
      <c r="P131">
        <f t="shared" si="79"/>
        <v>0.61044024349236758</v>
      </c>
      <c r="Q131">
        <f t="shared" si="79"/>
        <v>0.61044024349236758</v>
      </c>
      <c r="R131">
        <f t="shared" si="79"/>
        <v>0.61044024349236758</v>
      </c>
      <c r="S131">
        <f t="shared" si="79"/>
        <v>0.61044024349236758</v>
      </c>
      <c r="T131">
        <f t="shared" si="79"/>
        <v>0.61044024349236758</v>
      </c>
      <c r="U131">
        <f t="shared" si="79"/>
        <v>0.61044024349236758</v>
      </c>
      <c r="V131">
        <f t="shared" si="79"/>
        <v>0.61044024349236758</v>
      </c>
      <c r="W131">
        <f t="shared" si="79"/>
        <v>0.61044024349236758</v>
      </c>
      <c r="X131">
        <f t="shared" si="79"/>
        <v>0.61044024349236758</v>
      </c>
      <c r="Y131">
        <f t="shared" si="79"/>
        <v>0.61044024349236758</v>
      </c>
    </row>
    <row r="132" spans="1:25" x14ac:dyDescent="0.25">
      <c r="A132" t="s">
        <v>211</v>
      </c>
      <c r="B132">
        <f>B131*B130</f>
        <v>0.3622481582519082</v>
      </c>
      <c r="C132" s="130">
        <f>C131*C130</f>
        <v>0.2880319086694188</v>
      </c>
      <c r="D132" s="88">
        <f t="shared" ref="D132:Y132" si="80">D131*D130</f>
        <v>0.40201717653884561</v>
      </c>
      <c r="E132">
        <f t="shared" si="80"/>
        <v>0.2880319086694188</v>
      </c>
      <c r="F132">
        <f t="shared" si="80"/>
        <v>0.2880319086694188</v>
      </c>
      <c r="G132">
        <f t="shared" si="80"/>
        <v>0.2880319086694188</v>
      </c>
      <c r="H132">
        <f t="shared" si="80"/>
        <v>0.2880319086694188</v>
      </c>
      <c r="I132">
        <f t="shared" si="80"/>
        <v>0.2880319086694188</v>
      </c>
      <c r="J132">
        <f t="shared" si="80"/>
        <v>0.2880319086694188</v>
      </c>
      <c r="K132">
        <f t="shared" si="80"/>
        <v>0.2880319086694188</v>
      </c>
      <c r="L132">
        <f t="shared" si="80"/>
        <v>0.2880319086694188</v>
      </c>
      <c r="M132">
        <f t="shared" si="80"/>
        <v>0.2880319086694188</v>
      </c>
      <c r="N132">
        <f t="shared" si="80"/>
        <v>0.2880319086694188</v>
      </c>
      <c r="O132">
        <f t="shared" si="80"/>
        <v>0.2880319086694188</v>
      </c>
      <c r="P132">
        <f t="shared" si="80"/>
        <v>0.2880319086694188</v>
      </c>
      <c r="Q132">
        <f t="shared" si="80"/>
        <v>0.2880319086694188</v>
      </c>
      <c r="R132">
        <f t="shared" si="80"/>
        <v>0.2880319086694188</v>
      </c>
      <c r="S132">
        <f t="shared" si="80"/>
        <v>0.2880319086694188</v>
      </c>
      <c r="T132">
        <f t="shared" si="80"/>
        <v>0.2880319086694188</v>
      </c>
      <c r="U132">
        <f t="shared" si="80"/>
        <v>0.2880319086694188</v>
      </c>
      <c r="V132">
        <f t="shared" si="80"/>
        <v>0.2880319086694188</v>
      </c>
      <c r="W132">
        <f t="shared" si="80"/>
        <v>0.2880319086694188</v>
      </c>
      <c r="X132">
        <f t="shared" si="80"/>
        <v>0.2880319086694188</v>
      </c>
      <c r="Y132">
        <f t="shared" si="80"/>
        <v>0.2880319086694188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D97F-F287-44F6-835A-6055799EEC8B}">
  <sheetPr>
    <tabColor theme="5"/>
  </sheetPr>
  <dimension ref="A1:Y132"/>
  <sheetViews>
    <sheetView topLeftCell="A65" zoomScale="86" zoomScaleNormal="80" workbookViewId="0">
      <selection activeCell="B39" sqref="B39"/>
    </sheetView>
    <sheetView tabSelected="1" zoomScale="88" workbookViewId="1">
      <selection activeCell="C128" sqref="C128"/>
    </sheetView>
  </sheetViews>
  <sheetFormatPr baseColWidth="10" defaultRowHeight="15" x14ac:dyDescent="0.25"/>
  <cols>
    <col min="1" max="1" width="24.140625" customWidth="1"/>
    <col min="2" max="2" width="11.42578125" style="130"/>
    <col min="3" max="3" width="11.42578125" style="134"/>
  </cols>
  <sheetData>
    <row r="1" spans="1:25" x14ac:dyDescent="0.25">
      <c r="A1" s="87" t="s">
        <v>115</v>
      </c>
    </row>
    <row r="2" spans="1:25" x14ac:dyDescent="0.25">
      <c r="A2" t="s">
        <v>116</v>
      </c>
      <c r="B2" s="130">
        <v>11500</v>
      </c>
      <c r="C2" s="134">
        <v>11500</v>
      </c>
      <c r="D2">
        <v>11500</v>
      </c>
      <c r="E2">
        <v>11500</v>
      </c>
      <c r="F2">
        <v>11500</v>
      </c>
      <c r="G2">
        <v>11500</v>
      </c>
      <c r="H2">
        <v>11500</v>
      </c>
    </row>
    <row r="3" spans="1:25" x14ac:dyDescent="0.25">
      <c r="A3" t="s">
        <v>117</v>
      </c>
      <c r="B3" s="130">
        <v>0.33629999999999999</v>
      </c>
      <c r="C3" s="134">
        <v>0.33629999999999999</v>
      </c>
      <c r="D3">
        <v>0.33629999999999999</v>
      </c>
      <c r="E3">
        <v>0.33629999999999999</v>
      </c>
      <c r="F3">
        <v>0.33629999999999999</v>
      </c>
      <c r="G3">
        <v>0.33629999999999999</v>
      </c>
      <c r="H3">
        <v>0.33629999999999999</v>
      </c>
    </row>
    <row r="4" spans="1:25" x14ac:dyDescent="0.25">
      <c r="A4" t="s">
        <v>118</v>
      </c>
      <c r="B4" s="130">
        <f>20916.1922473388/1000</f>
        <v>20.916192247338799</v>
      </c>
      <c r="C4" s="134">
        <f t="shared" ref="C4:H4" si="0">20916.1922473388/1000</f>
        <v>20.916192247338799</v>
      </c>
      <c r="D4">
        <f t="shared" si="0"/>
        <v>20.916192247338799</v>
      </c>
      <c r="E4">
        <f t="shared" si="0"/>
        <v>20.916192247338799</v>
      </c>
      <c r="F4">
        <f t="shared" si="0"/>
        <v>20.916192247338799</v>
      </c>
      <c r="G4">
        <f t="shared" si="0"/>
        <v>20.916192247338799</v>
      </c>
      <c r="H4">
        <f t="shared" si="0"/>
        <v>20.916192247338799</v>
      </c>
    </row>
    <row r="5" spans="1:25" x14ac:dyDescent="0.25">
      <c r="A5" t="s">
        <v>83</v>
      </c>
      <c r="B5" s="130">
        <v>216.65</v>
      </c>
      <c r="C5" s="134">
        <v>216.65</v>
      </c>
      <c r="D5">
        <v>216.65</v>
      </c>
      <c r="E5">
        <v>216.65</v>
      </c>
      <c r="F5">
        <v>216.65</v>
      </c>
      <c r="G5">
        <v>216.65</v>
      </c>
      <c r="H5">
        <v>216.65</v>
      </c>
    </row>
    <row r="6" spans="1:25" x14ac:dyDescent="0.25">
      <c r="A6" t="s">
        <v>58</v>
      </c>
      <c r="B6" s="130">
        <v>1.8</v>
      </c>
      <c r="C6" s="134">
        <v>1.8</v>
      </c>
      <c r="D6">
        <v>1.8</v>
      </c>
      <c r="E6">
        <v>1.8</v>
      </c>
      <c r="F6">
        <v>1.8</v>
      </c>
      <c r="G6">
        <v>1.8</v>
      </c>
      <c r="H6">
        <v>1.8</v>
      </c>
    </row>
    <row r="7" spans="1:25" x14ac:dyDescent="0.25">
      <c r="A7" t="s">
        <v>119</v>
      </c>
      <c r="B7" s="130">
        <f>SQRT(($B$12-1)*$B$11*1000*B5)</f>
        <v>294.96887971445392</v>
      </c>
      <c r="C7" s="134">
        <f t="shared" ref="C7:H7" si="1">SQRT(($B$12-1)*$B$11*1000*C5)</f>
        <v>294.96887971445392</v>
      </c>
      <c r="D7">
        <f t="shared" si="1"/>
        <v>294.96887971445392</v>
      </c>
      <c r="E7">
        <f t="shared" si="1"/>
        <v>294.96887971445392</v>
      </c>
      <c r="F7">
        <f t="shared" si="1"/>
        <v>294.96887971445392</v>
      </c>
      <c r="G7">
        <f t="shared" si="1"/>
        <v>294.96887971445392</v>
      </c>
      <c r="H7">
        <f t="shared" si="1"/>
        <v>294.96887971445392</v>
      </c>
    </row>
    <row r="8" spans="1:25" x14ac:dyDescent="0.25">
      <c r="A8" t="s">
        <v>120</v>
      </c>
      <c r="B8" s="130">
        <f>B7*B6</f>
        <v>530.94398348601703</v>
      </c>
      <c r="C8" s="134">
        <f t="shared" ref="C8:H8" si="2">C7*C6</f>
        <v>530.94398348601703</v>
      </c>
      <c r="D8">
        <f t="shared" si="2"/>
        <v>530.94398348601703</v>
      </c>
      <c r="E8">
        <f t="shared" si="2"/>
        <v>530.94398348601703</v>
      </c>
      <c r="F8">
        <f t="shared" si="2"/>
        <v>530.94398348601703</v>
      </c>
      <c r="G8">
        <f t="shared" si="2"/>
        <v>530.94398348601703</v>
      </c>
      <c r="H8">
        <f t="shared" si="2"/>
        <v>530.94398348601703</v>
      </c>
    </row>
    <row r="9" spans="1:25" x14ac:dyDescent="0.25">
      <c r="A9" t="s">
        <v>183</v>
      </c>
      <c r="B9" s="131">
        <v>80</v>
      </c>
      <c r="C9" s="135">
        <v>81</v>
      </c>
      <c r="D9" s="82">
        <v>82</v>
      </c>
      <c r="E9" s="82">
        <v>83</v>
      </c>
      <c r="F9" s="82">
        <v>84</v>
      </c>
      <c r="G9" s="82">
        <v>85</v>
      </c>
      <c r="H9" s="82">
        <v>86</v>
      </c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</row>
    <row r="10" spans="1:25" x14ac:dyDescent="0.25">
      <c r="A10" t="s">
        <v>181</v>
      </c>
      <c r="B10" s="130">
        <f>B11*B5</f>
        <v>217.51660000000001</v>
      </c>
      <c r="C10" s="134">
        <f t="shared" ref="C10:H10" si="3">C11*C5</f>
        <v>217.51660000000001</v>
      </c>
      <c r="D10">
        <f t="shared" si="3"/>
        <v>217.51660000000001</v>
      </c>
      <c r="E10">
        <f t="shared" si="3"/>
        <v>217.51660000000001</v>
      </c>
      <c r="F10">
        <f t="shared" si="3"/>
        <v>217.51660000000001</v>
      </c>
      <c r="G10">
        <f t="shared" si="3"/>
        <v>217.51660000000001</v>
      </c>
      <c r="H10">
        <f t="shared" si="3"/>
        <v>217.51660000000001</v>
      </c>
    </row>
    <row r="11" spans="1:25" x14ac:dyDescent="0.25">
      <c r="A11" t="s">
        <v>121</v>
      </c>
      <c r="B11" s="130">
        <v>1.004</v>
      </c>
      <c r="C11" s="134">
        <v>1.004</v>
      </c>
      <c r="D11">
        <v>1.004</v>
      </c>
      <c r="E11">
        <v>1.004</v>
      </c>
      <c r="F11">
        <v>1.004</v>
      </c>
      <c r="G11">
        <v>1.004</v>
      </c>
      <c r="H11">
        <v>1.004</v>
      </c>
    </row>
    <row r="12" spans="1:25" x14ac:dyDescent="0.25">
      <c r="A12" s="77" t="s">
        <v>129</v>
      </c>
      <c r="B12" s="130">
        <v>1.4</v>
      </c>
      <c r="C12" s="134">
        <v>1.4</v>
      </c>
      <c r="D12">
        <v>1.4</v>
      </c>
      <c r="E12">
        <v>1.4</v>
      </c>
      <c r="F12">
        <v>1.4</v>
      </c>
      <c r="G12">
        <v>1.4</v>
      </c>
      <c r="H12">
        <v>1.4</v>
      </c>
    </row>
    <row r="13" spans="1:25" x14ac:dyDescent="0.25">
      <c r="A13" s="77" t="s">
        <v>159</v>
      </c>
      <c r="B13" s="130">
        <v>1.1519999999999999</v>
      </c>
      <c r="C13" s="134">
        <v>1.1519999999999999</v>
      </c>
      <c r="D13">
        <v>1.1519999999999999</v>
      </c>
      <c r="E13">
        <v>1.1519999999999999</v>
      </c>
      <c r="F13">
        <v>1.1519999999999999</v>
      </c>
      <c r="G13">
        <v>1.1519999999999999</v>
      </c>
      <c r="H13">
        <v>1.1519999999999999</v>
      </c>
    </row>
    <row r="14" spans="1:25" x14ac:dyDescent="0.25">
      <c r="A14" s="77" t="s">
        <v>160</v>
      </c>
      <c r="B14" s="130">
        <v>1.33</v>
      </c>
      <c r="C14" s="134">
        <v>1.33</v>
      </c>
      <c r="D14">
        <v>1.33</v>
      </c>
      <c r="E14">
        <v>1.33</v>
      </c>
      <c r="F14">
        <v>1.33</v>
      </c>
      <c r="G14">
        <v>1.33</v>
      </c>
      <c r="H14">
        <v>1.33</v>
      </c>
    </row>
    <row r="15" spans="1:25" x14ac:dyDescent="0.25">
      <c r="A15" s="77" t="s">
        <v>199</v>
      </c>
      <c r="B15" s="130">
        <v>1.2410000000000001</v>
      </c>
      <c r="C15" s="134">
        <v>1.2410000000000001</v>
      </c>
      <c r="D15">
        <v>1.2410000000000001</v>
      </c>
      <c r="E15">
        <v>1.2410000000000001</v>
      </c>
      <c r="F15">
        <v>1.2410000000000001</v>
      </c>
      <c r="G15">
        <v>1.2410000000000001</v>
      </c>
      <c r="H15">
        <v>1.2410000000000001</v>
      </c>
    </row>
    <row r="16" spans="1:25" x14ac:dyDescent="0.25">
      <c r="A16" s="77" t="s">
        <v>200</v>
      </c>
      <c r="B16" s="130">
        <v>1.3</v>
      </c>
      <c r="C16" s="138">
        <v>1.3</v>
      </c>
      <c r="D16">
        <v>1.3</v>
      </c>
      <c r="E16">
        <v>1.3</v>
      </c>
      <c r="F16">
        <v>1.3</v>
      </c>
      <c r="G16">
        <v>1.3</v>
      </c>
      <c r="H16">
        <v>1.3</v>
      </c>
    </row>
    <row r="17" spans="1:25" x14ac:dyDescent="0.25">
      <c r="A17" s="86" t="s">
        <v>39</v>
      </c>
      <c r="B17" s="85"/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</row>
    <row r="18" spans="1:25" x14ac:dyDescent="0.25">
      <c r="A18" s="80" t="s">
        <v>124</v>
      </c>
      <c r="B18" s="132">
        <f>1+((B12-1)/2*B6^2)</f>
        <v>1.6479999999999999</v>
      </c>
      <c r="C18" s="136">
        <f t="shared" ref="C18:H18" si="4">1+((C12-1)/2*C6^2)</f>
        <v>1.6479999999999999</v>
      </c>
      <c r="D18" s="81">
        <f t="shared" si="4"/>
        <v>1.6479999999999999</v>
      </c>
      <c r="E18" s="81">
        <f t="shared" si="4"/>
        <v>1.6479999999999999</v>
      </c>
      <c r="F18" s="81">
        <f t="shared" si="4"/>
        <v>1.6479999999999999</v>
      </c>
      <c r="G18" s="81">
        <f t="shared" si="4"/>
        <v>1.6479999999999999</v>
      </c>
      <c r="H18" s="81">
        <f t="shared" si="4"/>
        <v>1.6479999999999999</v>
      </c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</row>
    <row r="19" spans="1:25" x14ac:dyDescent="0.25">
      <c r="A19" s="80" t="s">
        <v>125</v>
      </c>
      <c r="B19" s="132">
        <f>(1+((B12-1)/2*B6^2))^(B12/(B12-1))</f>
        <v>5.7457963058901393</v>
      </c>
      <c r="C19" s="136">
        <f t="shared" ref="C19:H19" si="5">(1+((C12-1)/2*C6^2))^(C12/(C12-1))</f>
        <v>5.7457963058901393</v>
      </c>
      <c r="D19" s="81">
        <f t="shared" si="5"/>
        <v>5.7457963058901393</v>
      </c>
      <c r="E19" s="81">
        <f t="shared" si="5"/>
        <v>5.7457963058901393</v>
      </c>
      <c r="F19" s="81">
        <f t="shared" si="5"/>
        <v>5.7457963058901393</v>
      </c>
      <c r="G19" s="81">
        <f t="shared" si="5"/>
        <v>5.7457963058901393</v>
      </c>
      <c r="H19" s="81">
        <f t="shared" si="5"/>
        <v>5.7457963058901393</v>
      </c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</row>
    <row r="20" spans="1:25" x14ac:dyDescent="0.25">
      <c r="A20" t="s">
        <v>126</v>
      </c>
      <c r="B20" s="131">
        <v>0.995</v>
      </c>
      <c r="C20" s="135">
        <v>1.9950000000000001</v>
      </c>
      <c r="D20" s="82">
        <v>2.9950000000000001</v>
      </c>
      <c r="E20" s="82">
        <v>3.9950000000000001</v>
      </c>
      <c r="F20" s="82">
        <v>4.9950000000000001</v>
      </c>
      <c r="G20" s="82">
        <v>5.9950000000000001</v>
      </c>
      <c r="H20" s="82">
        <v>6.9950000000000001</v>
      </c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</row>
    <row r="21" spans="1:25" x14ac:dyDescent="0.25">
      <c r="A21" s="83" t="s">
        <v>130</v>
      </c>
      <c r="B21" s="130">
        <f>B25/B23</f>
        <v>0.99313582581137227</v>
      </c>
      <c r="C21" s="134">
        <f t="shared" ref="C21:H21" si="6">C25/C23</f>
        <v>3.1761782055521719</v>
      </c>
      <c r="D21">
        <f t="shared" si="6"/>
        <v>7.5902890182584031</v>
      </c>
      <c r="E21">
        <f t="shared" si="6"/>
        <v>15.238956489038344</v>
      </c>
      <c r="F21">
        <f t="shared" si="6"/>
        <v>27.24383839110255</v>
      </c>
      <c r="G21">
        <f t="shared" si="6"/>
        <v>44.833338689301215</v>
      </c>
      <c r="H21">
        <f t="shared" si="6"/>
        <v>69.333988730567015</v>
      </c>
    </row>
    <row r="22" spans="1:25" x14ac:dyDescent="0.25">
      <c r="A22" t="s">
        <v>122</v>
      </c>
      <c r="B22" s="130">
        <f>B5*(1+((B12-1)/2*B6^2))</f>
        <v>357.03919999999999</v>
      </c>
      <c r="C22" s="134">
        <f t="shared" ref="C22:H22" si="7">C5*(1+((C12-1)/2*C6^2))</f>
        <v>357.03919999999999</v>
      </c>
      <c r="D22">
        <f t="shared" si="7"/>
        <v>357.03919999999999</v>
      </c>
      <c r="E22">
        <f t="shared" si="7"/>
        <v>357.03919999999999</v>
      </c>
      <c r="F22">
        <f t="shared" si="7"/>
        <v>357.03919999999999</v>
      </c>
      <c r="G22">
        <f t="shared" si="7"/>
        <v>357.03919999999999</v>
      </c>
      <c r="H22">
        <f t="shared" si="7"/>
        <v>357.03919999999999</v>
      </c>
    </row>
    <row r="23" spans="1:25" x14ac:dyDescent="0.25">
      <c r="A23" t="s">
        <v>123</v>
      </c>
      <c r="B23" s="130">
        <f>B4*(1+((B12-1)/2*B6^2))^(B12/(B12-1))</f>
        <v>120.18018014804724</v>
      </c>
      <c r="C23" s="134">
        <f t="shared" ref="C23:H23" si="8">C4*(1+((C12-1)/2*C6^2))^(C12/(C12-1))</f>
        <v>120.18018014804724</v>
      </c>
      <c r="D23">
        <f t="shared" si="8"/>
        <v>120.18018014804724</v>
      </c>
      <c r="E23">
        <f t="shared" si="8"/>
        <v>120.18018014804724</v>
      </c>
      <c r="F23">
        <f t="shared" si="8"/>
        <v>120.18018014804724</v>
      </c>
      <c r="G23">
        <f t="shared" si="8"/>
        <v>120.18018014804724</v>
      </c>
      <c r="H23">
        <f t="shared" si="8"/>
        <v>120.18018014804724</v>
      </c>
    </row>
    <row r="24" spans="1:25" x14ac:dyDescent="0.25">
      <c r="A24" t="s">
        <v>127</v>
      </c>
      <c r="B24" s="130">
        <f>B22</f>
        <v>357.03919999999999</v>
      </c>
      <c r="C24" s="134">
        <f t="shared" ref="C24:H24" si="9">C22</f>
        <v>357.03919999999999</v>
      </c>
      <c r="D24">
        <f t="shared" si="9"/>
        <v>357.03919999999999</v>
      </c>
      <c r="E24">
        <f t="shared" si="9"/>
        <v>357.03919999999999</v>
      </c>
      <c r="F24">
        <f t="shared" si="9"/>
        <v>357.03919999999999</v>
      </c>
      <c r="G24">
        <f t="shared" si="9"/>
        <v>357.03919999999999</v>
      </c>
      <c r="H24">
        <f t="shared" si="9"/>
        <v>357.03919999999999</v>
      </c>
    </row>
    <row r="25" spans="1:25" x14ac:dyDescent="0.25">
      <c r="A25" s="79" t="s">
        <v>128</v>
      </c>
      <c r="B25" s="79">
        <f>B4*(1+(B20*(B12-1)/2*B6^2))^(B12/(B12-1))</f>
        <v>119.35524245749039</v>
      </c>
      <c r="C25" s="138">
        <f t="shared" ref="C25:H25" si="10">C4*(1+(C20*(C12-1)/2*C6^2))^(C12/(C12-1))</f>
        <v>381.71366892556142</v>
      </c>
      <c r="D25" s="79">
        <f t="shared" si="10"/>
        <v>912.2023015900395</v>
      </c>
      <c r="E25" s="79">
        <f t="shared" si="10"/>
        <v>1831.4205361208817</v>
      </c>
      <c r="F25" s="79">
        <f t="shared" si="10"/>
        <v>3274.1694057669902</v>
      </c>
      <c r="G25" s="79">
        <f t="shared" si="10"/>
        <v>5388.0787203186364</v>
      </c>
      <c r="H25" s="79">
        <f t="shared" si="10"/>
        <v>8332.5712560222219</v>
      </c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</row>
    <row r="26" spans="1:25" x14ac:dyDescent="0.25">
      <c r="A26" s="86" t="s">
        <v>84</v>
      </c>
      <c r="B26" s="85"/>
      <c r="D26" s="85"/>
      <c r="E26" s="85"/>
      <c r="F26" s="85"/>
      <c r="G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</row>
    <row r="27" spans="1:25" x14ac:dyDescent="0.25">
      <c r="A27" s="83" t="s">
        <v>131</v>
      </c>
      <c r="B27" s="130">
        <f>(B28)^((B12-1)/(B12*B30))</f>
        <v>1.4884012088651863</v>
      </c>
      <c r="C27" s="134">
        <f t="shared" ref="C27:H27" si="11">(C28)^((C12-1)/(C12*C30))</f>
        <v>1.4884012088651863</v>
      </c>
      <c r="D27">
        <f t="shared" si="11"/>
        <v>1.4884012088651863</v>
      </c>
      <c r="E27">
        <f t="shared" si="11"/>
        <v>1.4884012088651863</v>
      </c>
      <c r="F27">
        <f t="shared" si="11"/>
        <v>1.4884012088651863</v>
      </c>
      <c r="G27">
        <f t="shared" si="11"/>
        <v>1.4884012088651863</v>
      </c>
      <c r="H27">
        <f t="shared" si="11"/>
        <v>1.4884012088651863</v>
      </c>
    </row>
    <row r="28" spans="1:25" x14ac:dyDescent="0.25">
      <c r="A28" s="83" t="s">
        <v>132</v>
      </c>
      <c r="B28" s="131">
        <v>3.5</v>
      </c>
      <c r="C28" s="135">
        <v>3.5</v>
      </c>
      <c r="D28" s="82">
        <v>3.5</v>
      </c>
      <c r="E28" s="82">
        <v>3.5</v>
      </c>
      <c r="F28" s="82">
        <v>3.5</v>
      </c>
      <c r="G28" s="82">
        <v>3.5</v>
      </c>
      <c r="H28" s="82">
        <v>3.5</v>
      </c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</row>
    <row r="29" spans="1:25" x14ac:dyDescent="0.25">
      <c r="A29" s="77" t="s">
        <v>133</v>
      </c>
      <c r="B29" s="131">
        <v>0.95</v>
      </c>
      <c r="C29" s="135">
        <v>0.95</v>
      </c>
      <c r="D29" s="82">
        <v>0.95</v>
      </c>
      <c r="E29" s="82">
        <v>0.95</v>
      </c>
      <c r="F29" s="82">
        <v>0.95</v>
      </c>
      <c r="G29" s="82">
        <v>0.95</v>
      </c>
      <c r="H29" s="82">
        <v>0.95</v>
      </c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</row>
    <row r="30" spans="1:25" x14ac:dyDescent="0.25">
      <c r="A30" t="s">
        <v>136</v>
      </c>
      <c r="B30" s="131">
        <v>0.9</v>
      </c>
      <c r="C30" s="135">
        <v>0.9</v>
      </c>
      <c r="D30" s="82">
        <v>0.9</v>
      </c>
      <c r="E30" s="82">
        <v>0.9</v>
      </c>
      <c r="F30" s="82">
        <v>0.9</v>
      </c>
      <c r="G30" s="82">
        <v>0.9</v>
      </c>
      <c r="H30" s="82">
        <v>0.9</v>
      </c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</row>
    <row r="31" spans="1:25" x14ac:dyDescent="0.25">
      <c r="A31" t="s">
        <v>134</v>
      </c>
      <c r="B31" s="130">
        <f>B25*B28</f>
        <v>417.74334860121638</v>
      </c>
      <c r="C31" s="134">
        <f t="shared" ref="C31:H31" si="12">C25*C28</f>
        <v>1335.9978412394651</v>
      </c>
      <c r="D31">
        <f t="shared" si="12"/>
        <v>3192.7080555651382</v>
      </c>
      <c r="E31">
        <f t="shared" si="12"/>
        <v>6409.9718764230856</v>
      </c>
      <c r="F31">
        <f t="shared" si="12"/>
        <v>11459.592920184466</v>
      </c>
      <c r="G31">
        <f t="shared" si="12"/>
        <v>18858.275521115229</v>
      </c>
      <c r="H31">
        <f t="shared" si="12"/>
        <v>29163.999396077776</v>
      </c>
    </row>
    <row r="32" spans="1:25" x14ac:dyDescent="0.25">
      <c r="A32" s="79" t="s">
        <v>135</v>
      </c>
      <c r="B32" s="79">
        <f>B22*B27</f>
        <v>531.41757689225904</v>
      </c>
      <c r="C32" s="138">
        <f t="shared" ref="C32:H32" si="13">C22*C27</f>
        <v>531.41757689225904</v>
      </c>
      <c r="D32" s="79">
        <f t="shared" si="13"/>
        <v>531.41757689225904</v>
      </c>
      <c r="E32" s="79">
        <f t="shared" si="13"/>
        <v>531.41757689225904</v>
      </c>
      <c r="F32" s="79">
        <f t="shared" si="13"/>
        <v>531.41757689225904</v>
      </c>
      <c r="G32" s="79">
        <f t="shared" si="13"/>
        <v>531.41757689225904</v>
      </c>
      <c r="H32" s="79">
        <f t="shared" si="13"/>
        <v>531.41757689225904</v>
      </c>
      <c r="I32" s="79"/>
      <c r="J32" s="79"/>
      <c r="K32" s="79"/>
      <c r="L32" s="79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</row>
    <row r="33" spans="1:25" x14ac:dyDescent="0.25">
      <c r="A33" s="86" t="s">
        <v>86</v>
      </c>
      <c r="B33" s="85"/>
      <c r="D33" s="85"/>
      <c r="E33" s="85"/>
      <c r="F33" s="85"/>
      <c r="G33" s="85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</row>
    <row r="34" spans="1:25" x14ac:dyDescent="0.25">
      <c r="A34" s="83" t="s">
        <v>137</v>
      </c>
      <c r="B34" s="131">
        <v>0.98</v>
      </c>
      <c r="C34" s="135">
        <v>0.98</v>
      </c>
      <c r="D34" s="82">
        <v>0.98</v>
      </c>
      <c r="E34" s="82">
        <v>0.98</v>
      </c>
      <c r="F34" s="82">
        <v>0.98</v>
      </c>
      <c r="G34" s="82">
        <v>0.98</v>
      </c>
      <c r="H34" s="82">
        <v>0.98</v>
      </c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</row>
    <row r="35" spans="1:25" x14ac:dyDescent="0.25">
      <c r="A35" s="77" t="s">
        <v>138</v>
      </c>
      <c r="B35" s="131">
        <v>0.99</v>
      </c>
      <c r="C35" s="135">
        <v>0.99</v>
      </c>
      <c r="D35" s="82">
        <v>0.99</v>
      </c>
      <c r="E35" s="82">
        <v>0.99</v>
      </c>
      <c r="F35" s="82">
        <v>0.99</v>
      </c>
      <c r="G35" s="82">
        <v>0.99</v>
      </c>
      <c r="H35" s="82">
        <v>0.99</v>
      </c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</row>
    <row r="36" spans="1:25" x14ac:dyDescent="0.25">
      <c r="A36" s="77" t="s">
        <v>184</v>
      </c>
      <c r="B36" s="130">
        <f>(B9*B93)/(B93+1)</f>
        <v>60</v>
      </c>
      <c r="C36" s="134">
        <f t="shared" ref="C36:H36" si="14">(C9*C93)/(C93+1)</f>
        <v>60.75</v>
      </c>
      <c r="D36">
        <f t="shared" si="14"/>
        <v>61.5</v>
      </c>
      <c r="E36">
        <f t="shared" si="14"/>
        <v>62.25</v>
      </c>
      <c r="F36">
        <f t="shared" si="14"/>
        <v>63</v>
      </c>
      <c r="G36">
        <f t="shared" si="14"/>
        <v>63.75</v>
      </c>
      <c r="H36">
        <f t="shared" si="14"/>
        <v>64.5</v>
      </c>
    </row>
    <row r="37" spans="1:25" x14ac:dyDescent="0.25">
      <c r="A37" s="77" t="s">
        <v>188</v>
      </c>
      <c r="B37" s="130">
        <f>SQRT((2/(B12-1))*((((1+((B14-1)/2*B85^2))^(B14/(B14-1)))^((B12-1)/B12))-1))</f>
        <v>0.48809188676531728</v>
      </c>
      <c r="C37" s="134">
        <f t="shared" ref="C37:H37" si="15">SQRT((2/(C12-1))*((((1+((C14-1)/2*C85^2))^(C14/(C14-1)))^((C12-1)/C12))-1))</f>
        <v>1.4806087537655859</v>
      </c>
      <c r="D37">
        <f t="shared" si="15"/>
        <v>2.5114612364635289</v>
      </c>
      <c r="E37">
        <f t="shared" si="15"/>
        <v>3.5862606380546427</v>
      </c>
      <c r="F37">
        <f t="shared" si="15"/>
        <v>4.7025492550724115</v>
      </c>
      <c r="G37">
        <f t="shared" si="15"/>
        <v>5.8558520609202374</v>
      </c>
      <c r="H37">
        <f t="shared" si="15"/>
        <v>7.0418226755935738</v>
      </c>
    </row>
    <row r="38" spans="1:25" x14ac:dyDescent="0.25">
      <c r="A38" t="s">
        <v>139</v>
      </c>
      <c r="B38" s="130">
        <f>B31*B34</f>
        <v>409.38848162919203</v>
      </c>
      <c r="C38" s="134">
        <f t="shared" ref="C38:H38" si="16">C31*C34</f>
        <v>1309.2778844146758</v>
      </c>
      <c r="D38">
        <f t="shared" si="16"/>
        <v>3128.8538944538354</v>
      </c>
      <c r="E38">
        <f t="shared" si="16"/>
        <v>6281.7724388946235</v>
      </c>
      <c r="F38">
        <f t="shared" si="16"/>
        <v>11230.401061780776</v>
      </c>
      <c r="G38">
        <f t="shared" si="16"/>
        <v>18481.110010692923</v>
      </c>
      <c r="H38">
        <f t="shared" si="16"/>
        <v>28580.719408156219</v>
      </c>
    </row>
    <row r="39" spans="1:25" x14ac:dyDescent="0.25">
      <c r="A39" t="s">
        <v>140</v>
      </c>
      <c r="B39" s="130">
        <f>B32</f>
        <v>531.41757689225904</v>
      </c>
      <c r="C39" s="134">
        <f t="shared" ref="C39:H39" si="17">C32</f>
        <v>531.41757689225904</v>
      </c>
      <c r="D39">
        <f t="shared" si="17"/>
        <v>531.41757689225904</v>
      </c>
      <c r="E39">
        <f t="shared" si="17"/>
        <v>531.41757689225904</v>
      </c>
      <c r="F39">
        <f t="shared" si="17"/>
        <v>531.41757689225904</v>
      </c>
      <c r="G39">
        <f t="shared" si="17"/>
        <v>531.41757689225904</v>
      </c>
      <c r="H39">
        <f t="shared" si="17"/>
        <v>531.41757689225904</v>
      </c>
    </row>
    <row r="40" spans="1:25" x14ac:dyDescent="0.25">
      <c r="A40" s="77" t="s">
        <v>104</v>
      </c>
      <c r="B40" s="130">
        <f>SQRT((B12-1)*B11*1000*B42)</f>
        <v>451.34369180603238</v>
      </c>
      <c r="C40" s="134">
        <f t="shared" ref="C40:H40" si="18">SQRT((C12-1)*C11*1000*C42)</f>
        <v>385.18455525508887</v>
      </c>
      <c r="D40">
        <f t="shared" si="18"/>
        <v>307.19752533454516</v>
      </c>
      <c r="E40">
        <f t="shared" si="18"/>
        <v>244.42391736979468</v>
      </c>
      <c r="F40">
        <f t="shared" si="18"/>
        <v>198.38245485730968</v>
      </c>
      <c r="G40">
        <f t="shared" si="18"/>
        <v>164.79849906608936</v>
      </c>
      <c r="H40">
        <f t="shared" si="18"/>
        <v>139.81511931857173</v>
      </c>
    </row>
    <row r="41" spans="1:25" x14ac:dyDescent="0.25">
      <c r="A41" s="77" t="s">
        <v>100</v>
      </c>
      <c r="B41" s="130">
        <f>B38/(1+((B12-1)/2*B37^2))^(B12/(B12-1))</f>
        <v>347.8432591518096</v>
      </c>
      <c r="C41" s="134">
        <f t="shared" ref="C41:H41" si="19">C38/(1+((C12-1)/2*C37^2))^(C12/(C12-1))</f>
        <v>366.78386284004989</v>
      </c>
      <c r="D41">
        <f t="shared" si="19"/>
        <v>179.88941416445394</v>
      </c>
      <c r="E41">
        <f t="shared" si="19"/>
        <v>72.909552907729179</v>
      </c>
      <c r="F41">
        <f t="shared" si="19"/>
        <v>30.242272363695808</v>
      </c>
      <c r="G41">
        <f t="shared" si="19"/>
        <v>13.586173288519598</v>
      </c>
      <c r="H41">
        <f t="shared" si="19"/>
        <v>6.6473485835957185</v>
      </c>
    </row>
    <row r="42" spans="1:25" x14ac:dyDescent="0.25">
      <c r="A42" s="77" t="s">
        <v>102</v>
      </c>
      <c r="B42" s="130">
        <f>B39/(1+((B12-1)/2*B37^2))</f>
        <v>507.24882503261648</v>
      </c>
      <c r="C42" s="138">
        <f t="shared" ref="C42:H42" si="20">C39/(1+((C12-1)/2*C37^2))</f>
        <v>369.44009364307925</v>
      </c>
      <c r="D42">
        <f t="shared" si="20"/>
        <v>234.98585550714273</v>
      </c>
      <c r="E42">
        <f t="shared" si="20"/>
        <v>148.7625781434169</v>
      </c>
      <c r="F42">
        <f t="shared" si="20"/>
        <v>97.997007956206488</v>
      </c>
      <c r="G42">
        <f t="shared" si="20"/>
        <v>67.625859796902049</v>
      </c>
      <c r="H42">
        <f t="shared" si="20"/>
        <v>48.675965114707296</v>
      </c>
    </row>
    <row r="43" spans="1:25" x14ac:dyDescent="0.25">
      <c r="A43" s="86" t="s">
        <v>88</v>
      </c>
      <c r="B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</row>
    <row r="44" spans="1:25" x14ac:dyDescent="0.25">
      <c r="A44" s="83" t="s">
        <v>141</v>
      </c>
      <c r="B44" s="130">
        <f>B45^((B12-1)/(B12*B47))</f>
        <v>1.0284714703746027</v>
      </c>
      <c r="C44" s="134">
        <f t="shared" ref="C44:H44" si="21">C45^((C12-1)/(C12*C47))</f>
        <v>1.1136079238947858</v>
      </c>
      <c r="D44">
        <f t="shared" si="21"/>
        <v>1.1149850446659022</v>
      </c>
      <c r="E44">
        <f t="shared" si="21"/>
        <v>1.1068812562348254</v>
      </c>
      <c r="F44">
        <f t="shared" si="21"/>
        <v>1.0981878672834584</v>
      </c>
      <c r="G44">
        <f t="shared" si="21"/>
        <v>1.0903968336918604</v>
      </c>
      <c r="H44">
        <f t="shared" si="21"/>
        <v>1.0836643536798638</v>
      </c>
    </row>
    <row r="45" spans="1:25" x14ac:dyDescent="0.25">
      <c r="A45" s="83" t="s">
        <v>142</v>
      </c>
      <c r="B45" s="131">
        <v>1.1000000000000001</v>
      </c>
      <c r="C45" s="135">
        <v>2.1</v>
      </c>
      <c r="D45" s="82">
        <v>3.1</v>
      </c>
      <c r="E45" s="82">
        <v>4.0999999999999996</v>
      </c>
      <c r="F45" s="82">
        <v>5.0999999999999996</v>
      </c>
      <c r="G45" s="82">
        <v>6.1</v>
      </c>
      <c r="H45" s="82">
        <v>7.1</v>
      </c>
      <c r="I45" s="82"/>
      <c r="J45" s="82"/>
      <c r="K45" s="82"/>
      <c r="L45" s="82"/>
      <c r="M45" s="82"/>
      <c r="N45" s="82"/>
      <c r="O45" s="82"/>
      <c r="P45" s="82"/>
      <c r="Q45" s="82"/>
      <c r="R45" s="82"/>
      <c r="S45" s="82"/>
      <c r="T45" s="82"/>
      <c r="U45" s="82"/>
      <c r="V45" s="82"/>
      <c r="W45" s="82"/>
      <c r="X45" s="82"/>
      <c r="Y45" s="82"/>
    </row>
    <row r="46" spans="1:25" x14ac:dyDescent="0.25">
      <c r="A46" s="77" t="s">
        <v>144</v>
      </c>
      <c r="B46" s="130">
        <f>((B45^((B12-1)/B12))-1)/(B44-1)</f>
        <v>0.96958973206002641</v>
      </c>
      <c r="C46" s="134">
        <f t="shared" ref="C46:H46" si="22">((C45^((C12-1)/C12))-1)/(C44-1)</f>
        <v>2.0784268233490844</v>
      </c>
      <c r="D46">
        <f t="shared" si="22"/>
        <v>3.3188786742849805</v>
      </c>
      <c r="E46">
        <f t="shared" si="22"/>
        <v>4.6454833411893253</v>
      </c>
      <c r="F46">
        <f t="shared" si="22"/>
        <v>6.0374678273562736</v>
      </c>
      <c r="G46">
        <f t="shared" si="22"/>
        <v>7.4826612085610407</v>
      </c>
      <c r="H46">
        <f t="shared" si="22"/>
        <v>8.972996003129003</v>
      </c>
    </row>
    <row r="47" spans="1:25" x14ac:dyDescent="0.25">
      <c r="A47" t="s">
        <v>143</v>
      </c>
      <c r="B47" s="131">
        <v>0.97</v>
      </c>
      <c r="C47" s="135">
        <v>1.97</v>
      </c>
      <c r="D47" s="82">
        <v>2.97</v>
      </c>
      <c r="E47" s="82">
        <v>3.97</v>
      </c>
      <c r="F47" s="82">
        <v>4.97</v>
      </c>
      <c r="G47" s="82">
        <v>5.97</v>
      </c>
      <c r="H47" s="82">
        <v>6.97</v>
      </c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</row>
    <row r="48" spans="1:25" x14ac:dyDescent="0.25">
      <c r="A48" t="s">
        <v>145</v>
      </c>
      <c r="B48" s="130">
        <f>B44*B24</f>
        <v>367.20463100537188</v>
      </c>
      <c r="C48" s="134">
        <f t="shared" ref="C48:H48" si="23">C44*C24</f>
        <v>397.6016822610552</v>
      </c>
      <c r="D48">
        <f t="shared" si="23"/>
        <v>398.09336835947801</v>
      </c>
      <c r="E48">
        <f t="shared" si="23"/>
        <v>395.19999822107707</v>
      </c>
      <c r="F48">
        <f t="shared" si="23"/>
        <v>392.09611758459215</v>
      </c>
      <c r="G48">
        <f t="shared" si="23"/>
        <v>389.31441318387488</v>
      </c>
      <c r="H48">
        <f t="shared" si="23"/>
        <v>386.91065390637561</v>
      </c>
    </row>
    <row r="49" spans="1:25" x14ac:dyDescent="0.25">
      <c r="A49" s="79" t="s">
        <v>146</v>
      </c>
      <c r="B49" s="79">
        <f>B25*B45</f>
        <v>131.29076670323943</v>
      </c>
      <c r="C49" s="138">
        <f t="shared" ref="C49:H49" si="24">C25*C45</f>
        <v>801.59870474367904</v>
      </c>
      <c r="D49" s="79">
        <f t="shared" si="24"/>
        <v>2827.8271349291226</v>
      </c>
      <c r="E49" s="79">
        <f t="shared" si="24"/>
        <v>7508.8241980956145</v>
      </c>
      <c r="F49" s="79">
        <f t="shared" si="24"/>
        <v>16698.263969411648</v>
      </c>
      <c r="G49" s="79">
        <f t="shared" si="24"/>
        <v>32867.280193943683</v>
      </c>
      <c r="H49" s="79">
        <f t="shared" si="24"/>
        <v>59161.255917757771</v>
      </c>
      <c r="I49" s="79"/>
      <c r="J49" s="79"/>
      <c r="K49" s="79"/>
      <c r="L49" s="79"/>
      <c r="M49" s="79"/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</row>
    <row r="50" spans="1:25" x14ac:dyDescent="0.25">
      <c r="A50" s="86" t="s">
        <v>89</v>
      </c>
      <c r="B50" s="85"/>
      <c r="D50" s="85"/>
      <c r="E50" s="85"/>
      <c r="F50" s="85"/>
      <c r="G50" s="85"/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</row>
    <row r="51" spans="1:25" x14ac:dyDescent="0.25">
      <c r="A51" s="83" t="s">
        <v>147</v>
      </c>
      <c r="B51" s="130">
        <f>B55/B48</f>
        <v>2.995604921943122</v>
      </c>
      <c r="C51" s="134">
        <f t="shared" ref="C51:H51" si="25">C55/C48</f>
        <v>2.7665878920446012</v>
      </c>
      <c r="D51">
        <f t="shared" si="25"/>
        <v>2.7631708725343569</v>
      </c>
      <c r="E51">
        <f t="shared" si="25"/>
        <v>2.7834008222455857</v>
      </c>
      <c r="F51">
        <f t="shared" si="25"/>
        <v>2.8054345622605719</v>
      </c>
      <c r="G51">
        <f t="shared" si="25"/>
        <v>2.825479773543512</v>
      </c>
      <c r="H51">
        <f t="shared" si="25"/>
        <v>2.8430336277743784</v>
      </c>
    </row>
    <row r="52" spans="1:25" x14ac:dyDescent="0.25">
      <c r="A52" s="83" t="s">
        <v>148</v>
      </c>
      <c r="B52" s="130">
        <f>B51^((B12*B54)/(B12-1))</f>
        <v>39.901391309074</v>
      </c>
      <c r="C52" s="134">
        <f t="shared" ref="C52:H52" si="26">C51^((C12*C54)/(C12-1))</f>
        <v>30.54452850769945</v>
      </c>
      <c r="D52">
        <f t="shared" si="26"/>
        <v>30.417955053275925</v>
      </c>
      <c r="E52">
        <f t="shared" si="26"/>
        <v>31.172707466853844</v>
      </c>
      <c r="F52">
        <f t="shared" si="26"/>
        <v>32.009617221026339</v>
      </c>
      <c r="G52">
        <f t="shared" si="26"/>
        <v>32.784593343832817</v>
      </c>
      <c r="H52">
        <f t="shared" si="26"/>
        <v>33.473992047628343</v>
      </c>
    </row>
    <row r="53" spans="1:25" x14ac:dyDescent="0.25">
      <c r="A53" s="77" t="s">
        <v>149</v>
      </c>
      <c r="B53" s="130">
        <f>((B52^((B12-1)/B12))-1)/(B51-1)</f>
        <v>0.93554752199043134</v>
      </c>
      <c r="C53" s="134">
        <f t="shared" ref="C53:H53" si="27">((C52^((C12-1)/C12))-1)/(C51-1)</f>
        <v>0.93753399948999194</v>
      </c>
      <c r="D53">
        <f t="shared" si="27"/>
        <v>0.9375646256832908</v>
      </c>
      <c r="E53">
        <f t="shared" si="27"/>
        <v>0.93738374863288321</v>
      </c>
      <c r="F53">
        <f t="shared" si="27"/>
        <v>0.93718794104466985</v>
      </c>
      <c r="G53">
        <f t="shared" si="27"/>
        <v>0.93701087592040722</v>
      </c>
      <c r="H53">
        <f t="shared" si="27"/>
        <v>0.93685664579183003</v>
      </c>
    </row>
    <row r="54" spans="1:25" x14ac:dyDescent="0.25">
      <c r="A54" t="s">
        <v>150</v>
      </c>
      <c r="B54" s="131">
        <v>0.96</v>
      </c>
      <c r="C54" s="135">
        <v>0.96</v>
      </c>
      <c r="D54" s="82">
        <v>0.96</v>
      </c>
      <c r="E54" s="82">
        <v>0.96</v>
      </c>
      <c r="F54" s="82">
        <v>0.96</v>
      </c>
      <c r="G54" s="82">
        <v>0.96</v>
      </c>
      <c r="H54" s="82">
        <v>0.96</v>
      </c>
      <c r="I54" s="82"/>
      <c r="J54" s="82"/>
      <c r="K54" s="82"/>
      <c r="L54" s="82"/>
      <c r="M54" s="82"/>
      <c r="N54" s="82"/>
      <c r="O54" s="82"/>
      <c r="P54" s="82"/>
      <c r="Q54" s="82"/>
      <c r="R54" s="82"/>
      <c r="S54" s="82"/>
      <c r="T54" s="82"/>
      <c r="U54" s="82"/>
      <c r="V54" s="82"/>
      <c r="W54" s="82"/>
      <c r="X54" s="82"/>
      <c r="Y54" s="82"/>
    </row>
    <row r="55" spans="1:25" x14ac:dyDescent="0.25">
      <c r="A55" t="s">
        <v>151</v>
      </c>
      <c r="B55" s="131">
        <v>1100</v>
      </c>
      <c r="C55" s="135">
        <v>1100</v>
      </c>
      <c r="D55" s="82">
        <v>1100</v>
      </c>
      <c r="E55" s="82">
        <v>1100</v>
      </c>
      <c r="F55" s="82">
        <v>1100</v>
      </c>
      <c r="G55" s="82">
        <v>1100</v>
      </c>
      <c r="H55" s="82">
        <v>1100</v>
      </c>
      <c r="I55" s="82"/>
      <c r="J55" s="82"/>
      <c r="K55" s="82"/>
      <c r="L55" s="82"/>
      <c r="M55" s="82"/>
      <c r="N55" s="82"/>
      <c r="O55" s="82"/>
      <c r="P55" s="82"/>
      <c r="Q55" s="82"/>
      <c r="R55" s="82"/>
      <c r="S55" s="82"/>
      <c r="T55" s="82"/>
      <c r="U55" s="82"/>
      <c r="V55" s="82"/>
      <c r="W55" s="82"/>
      <c r="X55" s="82"/>
      <c r="Y55" s="82"/>
    </row>
    <row r="56" spans="1:25" x14ac:dyDescent="0.25">
      <c r="A56" t="s">
        <v>152</v>
      </c>
      <c r="B56" s="130">
        <f>B52*B49</f>
        <v>5238.6842574943003</v>
      </c>
      <c r="C56" s="134">
        <f t="shared" ref="C56:H56" si="28">C52*C49</f>
        <v>24484.454488778258</v>
      </c>
      <c r="D56">
        <f t="shared" si="28"/>
        <v>86016.71868870809</v>
      </c>
      <c r="E56">
        <f t="shared" si="28"/>
        <v>234070.38014726798</v>
      </c>
      <c r="F56">
        <f t="shared" si="28"/>
        <v>534505.03791652271</v>
      </c>
      <c r="G56">
        <f t="shared" si="28"/>
        <v>1077540.4154762542</v>
      </c>
      <c r="H56">
        <f t="shared" si="28"/>
        <v>1980363.4101187289</v>
      </c>
    </row>
    <row r="57" spans="1:25" x14ac:dyDescent="0.25">
      <c r="A57" t="s">
        <v>158</v>
      </c>
      <c r="B57" s="130">
        <f>B11*B55</f>
        <v>1104.4000000000001</v>
      </c>
      <c r="C57" s="134">
        <f t="shared" ref="C57:H57" si="29">C11*C55</f>
        <v>1104.4000000000001</v>
      </c>
      <c r="D57">
        <f t="shared" si="29"/>
        <v>1104.4000000000001</v>
      </c>
      <c r="E57">
        <f t="shared" si="29"/>
        <v>1104.4000000000001</v>
      </c>
      <c r="F57">
        <f t="shared" si="29"/>
        <v>1104.4000000000001</v>
      </c>
      <c r="G57">
        <f t="shared" si="29"/>
        <v>1104.4000000000001</v>
      </c>
      <c r="H57">
        <f t="shared" si="29"/>
        <v>1104.4000000000001</v>
      </c>
    </row>
    <row r="58" spans="1:25" x14ac:dyDescent="0.25">
      <c r="A58" s="83" t="s">
        <v>180</v>
      </c>
      <c r="B58" s="130">
        <f>B51*B44</f>
        <v>3.0808941987322398</v>
      </c>
      <c r="C58" s="134">
        <f t="shared" ref="C58:H58" si="30">C51*C44</f>
        <v>3.0808941987322402</v>
      </c>
      <c r="D58">
        <f t="shared" si="30"/>
        <v>3.0808941987322398</v>
      </c>
      <c r="E58">
        <f t="shared" si="30"/>
        <v>3.0808941987322398</v>
      </c>
      <c r="F58">
        <f t="shared" si="30"/>
        <v>3.0808941987322402</v>
      </c>
      <c r="G58">
        <f t="shared" si="30"/>
        <v>3.0808941987322402</v>
      </c>
      <c r="H58">
        <f t="shared" si="30"/>
        <v>3.0808941987322402</v>
      </c>
    </row>
    <row r="59" spans="1:25" x14ac:dyDescent="0.25">
      <c r="A59" t="s">
        <v>169</v>
      </c>
      <c r="B59" s="130">
        <f>B52*B45</f>
        <v>43.891530439981402</v>
      </c>
      <c r="C59" s="134">
        <f t="shared" ref="C59:H59" si="31">C52*C45</f>
        <v>64.143509866168841</v>
      </c>
      <c r="D59">
        <f t="shared" si="31"/>
        <v>94.295660665155367</v>
      </c>
      <c r="E59">
        <f t="shared" si="31"/>
        <v>127.80810061410075</v>
      </c>
      <c r="F59">
        <f t="shared" si="31"/>
        <v>163.24904782723431</v>
      </c>
      <c r="G59">
        <f t="shared" si="31"/>
        <v>199.98601939738018</v>
      </c>
      <c r="H59">
        <f t="shared" si="31"/>
        <v>237.66534353816121</v>
      </c>
    </row>
    <row r="60" spans="1:25" x14ac:dyDescent="0.25">
      <c r="A60" s="79" t="s">
        <v>50</v>
      </c>
      <c r="B60" s="79">
        <f>B52*B45*B28*B21</f>
        <v>152.56587965372569</v>
      </c>
      <c r="C60" s="138">
        <f t="shared" ref="C60:H60" si="32">C52*C45*C28*C21</f>
        <v>713.05926322591165</v>
      </c>
      <c r="D60" s="79">
        <f t="shared" si="32"/>
        <v>2505.0596116565239</v>
      </c>
      <c r="E60" s="79">
        <f t="shared" si="32"/>
        <v>6816.8172947172061</v>
      </c>
      <c r="F60" s="79">
        <f t="shared" si="32"/>
        <v>15566.357367772898</v>
      </c>
      <c r="G60" s="79">
        <f t="shared" si="32"/>
        <v>31381.143292687677</v>
      </c>
      <c r="H60" s="79">
        <f t="shared" si="32"/>
        <v>57674.001876824223</v>
      </c>
      <c r="I60" s="79"/>
      <c r="J60" s="79"/>
      <c r="K60" s="79"/>
      <c r="L60" s="79"/>
      <c r="M60" s="79"/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</row>
    <row r="61" spans="1:25" x14ac:dyDescent="0.25">
      <c r="A61" s="87" t="s">
        <v>49</v>
      </c>
    </row>
    <row r="62" spans="1:25" x14ac:dyDescent="0.25">
      <c r="A62" s="83" t="s">
        <v>153</v>
      </c>
      <c r="B62" s="131">
        <v>0.95</v>
      </c>
      <c r="C62" s="135">
        <v>0.95</v>
      </c>
      <c r="D62" s="82">
        <v>0.95</v>
      </c>
      <c r="E62" s="82">
        <v>0.95</v>
      </c>
      <c r="F62" s="82">
        <v>0.95</v>
      </c>
      <c r="G62" s="82">
        <v>0.95</v>
      </c>
      <c r="H62" s="82">
        <v>0.95</v>
      </c>
      <c r="I62" s="82"/>
      <c r="J62" s="82"/>
      <c r="K62" s="82"/>
      <c r="L62" s="82"/>
      <c r="M62" s="82"/>
      <c r="N62" s="82"/>
      <c r="O62" s="82"/>
      <c r="P62" s="82"/>
      <c r="Q62" s="82"/>
      <c r="R62" s="82"/>
      <c r="S62" s="82"/>
      <c r="T62" s="82"/>
      <c r="U62" s="82"/>
      <c r="V62" s="82"/>
      <c r="W62" s="82"/>
      <c r="X62" s="82"/>
      <c r="Y62" s="82"/>
    </row>
    <row r="63" spans="1:25" x14ac:dyDescent="0.25">
      <c r="A63" s="77" t="s">
        <v>154</v>
      </c>
      <c r="B63" s="131">
        <v>0.98</v>
      </c>
      <c r="C63" s="135">
        <v>0.98</v>
      </c>
      <c r="D63" s="82">
        <v>0.98</v>
      </c>
      <c r="E63" s="82">
        <v>0.98</v>
      </c>
      <c r="F63" s="82">
        <v>0.98</v>
      </c>
      <c r="G63" s="82">
        <v>0.98</v>
      </c>
      <c r="H63" s="82">
        <v>0.98</v>
      </c>
      <c r="I63" s="82"/>
      <c r="J63" s="82"/>
      <c r="K63" s="82"/>
      <c r="L63" s="82"/>
      <c r="M63" s="82"/>
      <c r="N63" s="82"/>
      <c r="O63" s="82"/>
      <c r="P63" s="82"/>
      <c r="Q63" s="82"/>
      <c r="R63" s="82"/>
      <c r="S63" s="82"/>
      <c r="T63" s="82"/>
      <c r="U63" s="82"/>
      <c r="V63" s="82"/>
      <c r="W63" s="82"/>
      <c r="X63" s="82"/>
      <c r="Y63" s="82"/>
    </row>
    <row r="64" spans="1:25" x14ac:dyDescent="0.25">
      <c r="A64" t="s">
        <v>155</v>
      </c>
      <c r="B64" s="131">
        <v>42000</v>
      </c>
      <c r="C64" s="135">
        <v>42000</v>
      </c>
      <c r="D64" s="82">
        <v>42000</v>
      </c>
      <c r="E64" s="82">
        <v>42000</v>
      </c>
      <c r="F64" s="82">
        <v>42000</v>
      </c>
      <c r="G64" s="82">
        <v>42000</v>
      </c>
      <c r="H64" s="82">
        <v>42000</v>
      </c>
      <c r="I64" s="82"/>
      <c r="J64" s="82"/>
      <c r="K64" s="82"/>
      <c r="L64" s="82"/>
      <c r="M64" s="82"/>
      <c r="N64" s="82"/>
      <c r="O64" s="82"/>
      <c r="P64" s="82"/>
      <c r="Q64" s="82"/>
      <c r="R64" s="82"/>
      <c r="S64" s="82"/>
      <c r="T64" s="82"/>
      <c r="U64" s="82"/>
      <c r="V64" s="82"/>
      <c r="W64" s="82"/>
      <c r="X64" s="82"/>
      <c r="Y64" s="82"/>
    </row>
    <row r="65" spans="1:25" x14ac:dyDescent="0.25">
      <c r="A65" t="s">
        <v>156</v>
      </c>
      <c r="B65" s="131">
        <v>2100</v>
      </c>
      <c r="C65" s="135">
        <v>2100</v>
      </c>
      <c r="D65" s="82">
        <v>2100</v>
      </c>
      <c r="E65" s="82">
        <v>2100</v>
      </c>
      <c r="F65" s="82">
        <v>2100</v>
      </c>
      <c r="G65" s="82">
        <v>2100</v>
      </c>
      <c r="H65" s="82">
        <v>2100</v>
      </c>
      <c r="I65" s="82"/>
      <c r="J65" s="82"/>
      <c r="K65" s="82"/>
      <c r="L65" s="82"/>
      <c r="M65" s="82"/>
      <c r="N65" s="82"/>
      <c r="O65" s="82"/>
      <c r="P65" s="82"/>
      <c r="Q65" s="82"/>
      <c r="R65" s="82"/>
      <c r="S65" s="82"/>
      <c r="T65" s="82"/>
      <c r="U65" s="82"/>
      <c r="V65" s="82"/>
      <c r="W65" s="82"/>
      <c r="X65" s="82"/>
      <c r="Y65" s="82"/>
    </row>
    <row r="66" spans="1:25" x14ac:dyDescent="0.25">
      <c r="A66" t="s">
        <v>157</v>
      </c>
      <c r="B66" s="130">
        <f>B62*B56</f>
        <v>4976.7500446195854</v>
      </c>
      <c r="C66" s="134">
        <f t="shared" ref="C66:H66" si="33">C62*C56</f>
        <v>23260.231764339343</v>
      </c>
      <c r="D66">
        <f t="shared" si="33"/>
        <v>81715.882754272679</v>
      </c>
      <c r="E66">
        <f t="shared" si="33"/>
        <v>222366.86113990456</v>
      </c>
      <c r="F66">
        <f t="shared" si="33"/>
        <v>507779.78602069657</v>
      </c>
      <c r="G66">
        <f t="shared" si="33"/>
        <v>1023663.3947024414</v>
      </c>
      <c r="H66">
        <f t="shared" si="33"/>
        <v>1881345.2396127924</v>
      </c>
    </row>
    <row r="67" spans="1:25" x14ac:dyDescent="0.25">
      <c r="A67" t="s">
        <v>161</v>
      </c>
      <c r="B67" s="130">
        <f>B13*B65</f>
        <v>2419.1999999999998</v>
      </c>
      <c r="C67" s="134">
        <f t="shared" ref="C67:H67" si="34">C13*C65</f>
        <v>2419.1999999999998</v>
      </c>
      <c r="D67">
        <f t="shared" si="34"/>
        <v>2419.1999999999998</v>
      </c>
      <c r="E67">
        <f t="shared" si="34"/>
        <v>2419.1999999999998</v>
      </c>
      <c r="F67">
        <f t="shared" si="34"/>
        <v>2419.1999999999998</v>
      </c>
      <c r="G67">
        <f t="shared" si="34"/>
        <v>2419.1999999999998</v>
      </c>
      <c r="H67">
        <f t="shared" si="34"/>
        <v>2419.1999999999998</v>
      </c>
    </row>
    <row r="68" spans="1:25" x14ac:dyDescent="0.25">
      <c r="A68" s="83" t="s">
        <v>176</v>
      </c>
      <c r="B68" s="130">
        <f>(B13*B65)/(B11*B5)</f>
        <v>11.121909776081456</v>
      </c>
      <c r="C68" s="134">
        <f t="shared" ref="C68:H68" si="35">(C13*C65)/(C11*C5)</f>
        <v>11.121909776081456</v>
      </c>
      <c r="D68">
        <f t="shared" si="35"/>
        <v>11.121909776081456</v>
      </c>
      <c r="E68">
        <f t="shared" si="35"/>
        <v>11.121909776081456</v>
      </c>
      <c r="F68">
        <f t="shared" si="35"/>
        <v>11.121909776081456</v>
      </c>
      <c r="G68">
        <f t="shared" si="35"/>
        <v>11.121909776081456</v>
      </c>
      <c r="H68">
        <f t="shared" si="35"/>
        <v>11.121909776081456</v>
      </c>
    </row>
    <row r="69" spans="1:25" x14ac:dyDescent="0.25">
      <c r="A69" s="79" t="s">
        <v>98</v>
      </c>
      <c r="B69" s="79">
        <f>(B67-B57)/((B64*B63)-B67)</f>
        <v>3.3938380208978637E-2</v>
      </c>
      <c r="C69" s="138">
        <f t="shared" ref="C69:H69" si="36">(C67-C57)/((C64*C63)-C67)</f>
        <v>3.3938380208978637E-2</v>
      </c>
      <c r="D69" s="79">
        <f t="shared" si="36"/>
        <v>3.3938380208978637E-2</v>
      </c>
      <c r="E69" s="79">
        <f t="shared" si="36"/>
        <v>3.3938380208978637E-2</v>
      </c>
      <c r="F69" s="79">
        <f t="shared" si="36"/>
        <v>3.3938380208978637E-2</v>
      </c>
      <c r="G69" s="79">
        <f t="shared" si="36"/>
        <v>3.3938380208978637E-2</v>
      </c>
      <c r="H69" s="79">
        <f t="shared" si="36"/>
        <v>3.3938380208978637E-2</v>
      </c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</row>
    <row r="70" spans="1:25" x14ac:dyDescent="0.25">
      <c r="A70" s="87" t="s">
        <v>91</v>
      </c>
    </row>
    <row r="71" spans="1:25" x14ac:dyDescent="0.25">
      <c r="A71" s="83" t="s">
        <v>170</v>
      </c>
      <c r="B71" s="130">
        <f>B89/B78</f>
        <v>0.7255572146032564</v>
      </c>
      <c r="C71" s="134">
        <f t="shared" ref="C71:H71" si="37">C89/C78</f>
        <v>0.27208395547622111</v>
      </c>
      <c r="D71">
        <f t="shared" si="37"/>
        <v>0.16743628029305915</v>
      </c>
      <c r="E71">
        <f t="shared" si="37"/>
        <v>0.12092620243387606</v>
      </c>
      <c r="F71">
        <f t="shared" si="37"/>
        <v>9.4637897556946488E-2</v>
      </c>
      <c r="G71">
        <f t="shared" si="37"/>
        <v>7.7738272993206042E-2</v>
      </c>
      <c r="H71">
        <f t="shared" si="37"/>
        <v>6.595974678211422E-2</v>
      </c>
    </row>
    <row r="72" spans="1:25" x14ac:dyDescent="0.25">
      <c r="A72" s="83" t="s">
        <v>171</v>
      </c>
      <c r="B72" s="130">
        <f>B71^(B14/((B14-1)*B74))</f>
        <v>0.24150610825437446</v>
      </c>
      <c r="C72" s="134">
        <f t="shared" ref="C72:H72" si="38">C71^(C14/((C14-1)*C74))</f>
        <v>6.4145042547410477E-2</v>
      </c>
      <c r="D72">
        <f t="shared" si="38"/>
        <v>8.4148073650452904E-2</v>
      </c>
      <c r="E72">
        <f t="shared" si="38"/>
        <v>0.11331603434103658</v>
      </c>
      <c r="F72">
        <f t="shared" si="38"/>
        <v>0.14438355130771446</v>
      </c>
      <c r="G72">
        <f t="shared" si="38"/>
        <v>0.17517514761202521</v>
      </c>
      <c r="H72">
        <f t="shared" si="38"/>
        <v>0.20480317500686973</v>
      </c>
    </row>
    <row r="73" spans="1:25" x14ac:dyDescent="0.25">
      <c r="A73" s="77" t="s">
        <v>172</v>
      </c>
      <c r="B73" s="130">
        <f>(1-B71)/(1-(B72^((B14-1)/B14)))</f>
        <v>0.92373068841235217</v>
      </c>
      <c r="C73" s="134">
        <f t="shared" ref="C73:H73" si="39">(1-C71)/(1-(C72^((C14-1)/C14)))</f>
        <v>1.4731058440115705</v>
      </c>
      <c r="D73">
        <f t="shared" si="39"/>
        <v>1.8142797938655411</v>
      </c>
      <c r="E73">
        <f t="shared" si="39"/>
        <v>2.1059351308844882</v>
      </c>
      <c r="F73">
        <f t="shared" si="39"/>
        <v>2.374224082172689</v>
      </c>
      <c r="G73">
        <f t="shared" si="39"/>
        <v>2.6280350748971499</v>
      </c>
      <c r="H73">
        <f t="shared" si="39"/>
        <v>2.871565607783765</v>
      </c>
    </row>
    <row r="74" spans="1:25" x14ac:dyDescent="0.25">
      <c r="A74" t="s">
        <v>173</v>
      </c>
      <c r="B74" s="131">
        <v>0.91</v>
      </c>
      <c r="C74" s="135">
        <v>1.91</v>
      </c>
      <c r="D74" s="82">
        <v>2.91</v>
      </c>
      <c r="E74" s="82">
        <v>3.91</v>
      </c>
      <c r="F74" s="82">
        <v>4.91</v>
      </c>
      <c r="G74" s="82">
        <v>5.91</v>
      </c>
      <c r="H74" s="82">
        <v>6.91</v>
      </c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82"/>
      <c r="U74" s="82"/>
      <c r="V74" s="82"/>
      <c r="W74" s="82"/>
      <c r="X74" s="82"/>
      <c r="Y74" s="82"/>
    </row>
    <row r="75" spans="1:25" x14ac:dyDescent="0.25">
      <c r="A75" t="s">
        <v>174</v>
      </c>
      <c r="B75" s="130">
        <f>B65*B71</f>
        <v>1523.6701506668385</v>
      </c>
      <c r="C75" s="134">
        <f t="shared" ref="C75:H75" si="40">C65*C71</f>
        <v>571.37630650006429</v>
      </c>
      <c r="D75">
        <f t="shared" si="40"/>
        <v>351.61618861542422</v>
      </c>
      <c r="E75">
        <f t="shared" si="40"/>
        <v>253.94502511113973</v>
      </c>
      <c r="F75">
        <f t="shared" si="40"/>
        <v>198.73958486958762</v>
      </c>
      <c r="G75">
        <f t="shared" si="40"/>
        <v>163.25037328573268</v>
      </c>
      <c r="H75">
        <f t="shared" si="40"/>
        <v>138.51546824243985</v>
      </c>
    </row>
    <row r="76" spans="1:25" x14ac:dyDescent="0.25">
      <c r="A76" s="79" t="s">
        <v>175</v>
      </c>
      <c r="B76" s="79">
        <f>B66*B72</f>
        <v>1201.9155350308606</v>
      </c>
      <c r="C76" s="138">
        <f t="shared" ref="C76:H76" si="41">C66*C72</f>
        <v>1492.0285561861758</v>
      </c>
      <c r="D76" s="79">
        <f t="shared" si="41"/>
        <v>6876.2341204183122</v>
      </c>
      <c r="E76" s="79">
        <f t="shared" si="41"/>
        <v>25197.730873237939</v>
      </c>
      <c r="F76" s="79">
        <f t="shared" si="41"/>
        <v>73315.048787939508</v>
      </c>
      <c r="G76" s="79">
        <f t="shared" si="41"/>
        <v>179320.38627202701</v>
      </c>
      <c r="H76" s="79">
        <f t="shared" si="41"/>
        <v>385305.47835676</v>
      </c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</row>
    <row r="77" spans="1:25" x14ac:dyDescent="0.25">
      <c r="A77" s="87" t="s">
        <v>90</v>
      </c>
    </row>
    <row r="78" spans="1:25" x14ac:dyDescent="0.25">
      <c r="A78" s="83" t="s">
        <v>162</v>
      </c>
      <c r="B78" s="131">
        <v>0.6</v>
      </c>
      <c r="C78" s="135">
        <v>1.6</v>
      </c>
      <c r="D78" s="82">
        <v>2.6</v>
      </c>
      <c r="E78" s="82">
        <v>3.6</v>
      </c>
      <c r="F78" s="82">
        <v>4.5999999999999996</v>
      </c>
      <c r="G78" s="82">
        <v>5.6</v>
      </c>
      <c r="H78" s="82">
        <v>6.6</v>
      </c>
    </row>
    <row r="79" spans="1:25" x14ac:dyDescent="0.25">
      <c r="A79" s="83" t="s">
        <v>163</v>
      </c>
      <c r="B79" s="133">
        <f>B78^(B14/((B14-1)*B81))</f>
        <v>9.894033680922909E-2</v>
      </c>
      <c r="C79" s="137">
        <f t="shared" ref="C79:H79" si="42">C78^(C14/((C14-1)*C81))</f>
        <v>2.7244114088810596</v>
      </c>
      <c r="D79" s="129">
        <f t="shared" si="42"/>
        <v>3.7906070744246589</v>
      </c>
      <c r="E79" s="129">
        <f t="shared" si="42"/>
        <v>3.7702227208350299</v>
      </c>
      <c r="F79" s="129">
        <f t="shared" si="42"/>
        <v>3.517549885882441</v>
      </c>
      <c r="G79" s="129">
        <f t="shared" si="42"/>
        <v>3.2505482483625445</v>
      </c>
      <c r="H79" s="129">
        <f t="shared" si="42"/>
        <v>3.0157263545754485</v>
      </c>
      <c r="I79" s="82"/>
      <c r="J79" s="82"/>
      <c r="K79" s="82"/>
      <c r="L79" s="82"/>
      <c r="M79" s="82"/>
      <c r="N79" s="82"/>
      <c r="O79" s="82"/>
      <c r="P79" s="82"/>
      <c r="Q79" s="82"/>
      <c r="R79" s="82"/>
      <c r="S79" s="82"/>
      <c r="T79" s="82"/>
      <c r="U79" s="82"/>
      <c r="V79" s="82"/>
      <c r="W79" s="82"/>
      <c r="X79" s="82"/>
      <c r="Y79" s="82"/>
    </row>
    <row r="80" spans="1:25" x14ac:dyDescent="0.25">
      <c r="A80" s="77" t="s">
        <v>164</v>
      </c>
      <c r="B80" s="130">
        <f>(1-B78)/(1-(B79^((B14-1)/B14)))</f>
        <v>0.91593882528328363</v>
      </c>
      <c r="C80" s="134">
        <f t="shared" ref="C80:H80" si="43">(1-C78)/(1-(C79^((C14-1)/C14)))</f>
        <v>2.1251684884402229</v>
      </c>
      <c r="D80">
        <f t="shared" si="43"/>
        <v>4.0832966253281961</v>
      </c>
      <c r="E80">
        <f t="shared" si="43"/>
        <v>6.667019311545042</v>
      </c>
      <c r="F80">
        <f t="shared" si="43"/>
        <v>9.829087788717473</v>
      </c>
      <c r="G80">
        <f t="shared" si="43"/>
        <v>13.538990516020787</v>
      </c>
      <c r="H80">
        <f t="shared" si="43"/>
        <v>17.774169746616455</v>
      </c>
    </row>
    <row r="81" spans="1:25" x14ac:dyDescent="0.25">
      <c r="A81" t="s">
        <v>165</v>
      </c>
      <c r="B81" s="131">
        <v>0.89</v>
      </c>
      <c r="C81" s="135">
        <v>1.89</v>
      </c>
      <c r="D81" s="82">
        <v>2.89</v>
      </c>
      <c r="E81" s="82">
        <v>3.89</v>
      </c>
      <c r="F81" s="82">
        <v>4.8899999999999997</v>
      </c>
      <c r="G81" s="82">
        <v>5.89</v>
      </c>
      <c r="H81" s="82">
        <v>6.89</v>
      </c>
      <c r="I81" s="82"/>
      <c r="J81" s="82"/>
      <c r="K81" s="82"/>
      <c r="L81" s="82"/>
      <c r="M81" s="82"/>
      <c r="N81" s="82"/>
      <c r="O81" s="82"/>
      <c r="P81" s="82"/>
      <c r="Q81" s="82"/>
      <c r="R81" s="82"/>
      <c r="S81" s="82"/>
      <c r="T81" s="82"/>
      <c r="U81" s="82"/>
      <c r="V81" s="82"/>
      <c r="W81" s="82"/>
      <c r="X81" s="82"/>
      <c r="Y81" s="82"/>
    </row>
    <row r="82" spans="1:25" x14ac:dyDescent="0.25">
      <c r="A82" t="s">
        <v>166</v>
      </c>
      <c r="B82" s="130">
        <f>B65-(((B11*(B55-B24))+(B93*B11*(B32-B24)))/((1+B69)*B13*B92))</f>
        <v>914.20209040010309</v>
      </c>
      <c r="C82" s="134">
        <f t="shared" ref="C82:H82" si="44">C65-(((C11*(C55-C24))+(C93*C11*(C32-C24)))/((1+C69)*C13*C92))</f>
        <v>914.20209040010309</v>
      </c>
      <c r="D82">
        <f t="shared" si="44"/>
        <v>914.20209040010309</v>
      </c>
      <c r="E82">
        <f t="shared" si="44"/>
        <v>914.20209040010309</v>
      </c>
      <c r="F82">
        <f t="shared" si="44"/>
        <v>914.20209040010309</v>
      </c>
      <c r="G82">
        <f t="shared" si="44"/>
        <v>914.20209040010309</v>
      </c>
      <c r="H82">
        <f t="shared" si="44"/>
        <v>914.20209040010309</v>
      </c>
    </row>
    <row r="83" spans="1:25" x14ac:dyDescent="0.25">
      <c r="A83" t="s">
        <v>167</v>
      </c>
      <c r="B83" s="130">
        <f>B38</f>
        <v>409.38848162919203</v>
      </c>
      <c r="C83" s="134">
        <f t="shared" ref="C83:H83" si="45">C38</f>
        <v>1309.2778844146758</v>
      </c>
      <c r="D83">
        <f t="shared" si="45"/>
        <v>3128.8538944538354</v>
      </c>
      <c r="E83">
        <f t="shared" si="45"/>
        <v>6281.7724388946235</v>
      </c>
      <c r="F83">
        <f t="shared" si="45"/>
        <v>11230.401061780776</v>
      </c>
      <c r="G83">
        <f t="shared" si="45"/>
        <v>18481.110010692923</v>
      </c>
      <c r="H83">
        <f t="shared" si="45"/>
        <v>28580.719408156219</v>
      </c>
    </row>
    <row r="84" spans="1:25" x14ac:dyDescent="0.25">
      <c r="A84" t="s">
        <v>185</v>
      </c>
      <c r="B84" s="130">
        <f>(B9/(1+B93))*(1+B69)</f>
        <v>20.678767604179569</v>
      </c>
      <c r="C84" s="134">
        <f t="shared" ref="C84:H84" si="46">(C9/(1+C93))*(1+C69)</f>
        <v>20.937252199231814</v>
      </c>
      <c r="D84">
        <f t="shared" si="46"/>
        <v>21.195736794284059</v>
      </c>
      <c r="E84">
        <f t="shared" si="46"/>
        <v>21.454221389336304</v>
      </c>
      <c r="F84">
        <f t="shared" si="46"/>
        <v>21.712705984388549</v>
      </c>
      <c r="G84">
        <f t="shared" si="46"/>
        <v>21.971190579440794</v>
      </c>
      <c r="H84">
        <f t="shared" si="46"/>
        <v>22.229675174493039</v>
      </c>
    </row>
    <row r="85" spans="1:25" x14ac:dyDescent="0.25">
      <c r="A85" t="s">
        <v>99</v>
      </c>
      <c r="B85" s="131">
        <v>0.5</v>
      </c>
      <c r="C85" s="135">
        <v>1.5</v>
      </c>
      <c r="D85" s="82">
        <v>2.5</v>
      </c>
      <c r="E85" s="82">
        <v>3.5</v>
      </c>
      <c r="F85" s="82">
        <v>4.5</v>
      </c>
      <c r="G85" s="82">
        <v>5.5</v>
      </c>
      <c r="H85" s="82">
        <v>6.5</v>
      </c>
      <c r="I85" s="82"/>
      <c r="J85" s="82"/>
      <c r="K85" s="82"/>
      <c r="L85" s="82"/>
      <c r="M85" s="82"/>
      <c r="N85" s="82"/>
      <c r="O85" s="82"/>
      <c r="P85" s="82"/>
      <c r="Q85" s="82"/>
      <c r="R85" s="82"/>
      <c r="S85" s="82"/>
      <c r="T85" s="82"/>
      <c r="U85" s="82"/>
      <c r="V85" s="82"/>
      <c r="W85" s="82"/>
      <c r="X85" s="82"/>
      <c r="Y85" s="82"/>
    </row>
    <row r="86" spans="1:25" x14ac:dyDescent="0.25">
      <c r="A86" t="s">
        <v>105</v>
      </c>
      <c r="B86" s="130">
        <f>SQRT((B14-1)*B13*1000*B87)</f>
        <v>577.73251073539859</v>
      </c>
      <c r="C86" s="134">
        <f t="shared" ref="C86:H86" si="47">SQRT((C14-1)*C13*1000*C87)</f>
        <v>503.43800088754773</v>
      </c>
      <c r="D86">
        <f t="shared" si="47"/>
        <v>413.64009130882226</v>
      </c>
      <c r="E86">
        <f t="shared" si="47"/>
        <v>339.16496386534158</v>
      </c>
      <c r="F86">
        <f t="shared" si="47"/>
        <v>282.94167247474388</v>
      </c>
      <c r="G86">
        <f t="shared" si="47"/>
        <v>240.84941372058142</v>
      </c>
      <c r="H86">
        <f t="shared" si="47"/>
        <v>208.80509880733621</v>
      </c>
    </row>
    <row r="87" spans="1:25" x14ac:dyDescent="0.25">
      <c r="A87" t="s">
        <v>103</v>
      </c>
      <c r="B87" s="130">
        <f>B82/(1+((B14-1)/2*B85^2))</f>
        <v>877.98520086444478</v>
      </c>
      <c r="C87" s="134">
        <f t="shared" ref="C87:H87" si="48">C82/(1+((C14-1)/2*C85^2))</f>
        <v>666.69249983599127</v>
      </c>
      <c r="D87">
        <f t="shared" si="48"/>
        <v>450.06872142774307</v>
      </c>
      <c r="E87">
        <f t="shared" si="48"/>
        <v>302.59067948700141</v>
      </c>
      <c r="F87">
        <f t="shared" si="48"/>
        <v>210.58499059029151</v>
      </c>
      <c r="G87">
        <f t="shared" si="48"/>
        <v>152.58954148134413</v>
      </c>
      <c r="H87">
        <f t="shared" si="48"/>
        <v>114.6874192128089</v>
      </c>
    </row>
    <row r="88" spans="1:25" x14ac:dyDescent="0.25">
      <c r="A88" t="s">
        <v>101</v>
      </c>
      <c r="B88" s="130">
        <f>B83/(1+((B14-1)/2*B85^2))^(B14/(B14-1))</f>
        <v>347.84325915180955</v>
      </c>
      <c r="C88" s="134">
        <f t="shared" ref="C88:H88" si="49">C83/(1+((C14-1)/2*C85^2))^(C14/(C14-1))</f>
        <v>366.78386284004989</v>
      </c>
      <c r="D88">
        <f t="shared" si="49"/>
        <v>179.88941416445405</v>
      </c>
      <c r="E88">
        <f t="shared" si="49"/>
        <v>72.909552907729179</v>
      </c>
      <c r="F88">
        <f t="shared" si="49"/>
        <v>30.242272363695751</v>
      </c>
      <c r="G88">
        <f t="shared" si="49"/>
        <v>13.586173288519586</v>
      </c>
      <c r="H88">
        <f t="shared" si="49"/>
        <v>6.6473485835957078</v>
      </c>
    </row>
    <row r="89" spans="1:25" x14ac:dyDescent="0.25">
      <c r="A89" s="83" t="s">
        <v>179</v>
      </c>
      <c r="B89" s="130">
        <f>B82/B65</f>
        <v>0.43533432876195383</v>
      </c>
      <c r="C89" s="134">
        <f t="shared" ref="C89:H89" si="50">C82/C65</f>
        <v>0.43533432876195383</v>
      </c>
      <c r="D89">
        <f t="shared" si="50"/>
        <v>0.43533432876195383</v>
      </c>
      <c r="E89">
        <f t="shared" si="50"/>
        <v>0.43533432876195383</v>
      </c>
      <c r="F89">
        <f t="shared" si="50"/>
        <v>0.43533432876195383</v>
      </c>
      <c r="G89">
        <f t="shared" si="50"/>
        <v>0.43533432876195383</v>
      </c>
      <c r="H89">
        <f t="shared" si="50"/>
        <v>0.43533432876195383</v>
      </c>
    </row>
    <row r="90" spans="1:25" x14ac:dyDescent="0.25">
      <c r="A90" s="84" t="s">
        <v>168</v>
      </c>
      <c r="B90" s="79">
        <f>(B34*B28)/(B62*B59)</f>
        <v>8.2260205547551271E-2</v>
      </c>
      <c r="C90" s="138">
        <f t="shared" ref="C90:H90" si="51">(C34*C28)/(C62*C59)</f>
        <v>5.6288256182466412E-2</v>
      </c>
      <c r="D90" s="79">
        <f t="shared" si="51"/>
        <v>3.8289421701073613E-2</v>
      </c>
      <c r="E90" s="79">
        <f t="shared" si="51"/>
        <v>2.8249589020112025E-2</v>
      </c>
      <c r="F90" s="79">
        <f t="shared" si="51"/>
        <v>2.2116676108337712E-2</v>
      </c>
      <c r="G90" s="79">
        <f t="shared" si="51"/>
        <v>1.8053893600508214E-2</v>
      </c>
      <c r="H90" s="79">
        <f t="shared" si="51"/>
        <v>1.5191639900201698E-2</v>
      </c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</row>
    <row r="91" spans="1:25" x14ac:dyDescent="0.25">
      <c r="A91" s="87" t="s">
        <v>85</v>
      </c>
    </row>
    <row r="92" spans="1:25" x14ac:dyDescent="0.25">
      <c r="A92" s="77" t="s">
        <v>177</v>
      </c>
      <c r="B92" s="131">
        <v>0.9</v>
      </c>
      <c r="C92" s="135">
        <v>0.9</v>
      </c>
      <c r="D92" s="82">
        <v>0.9</v>
      </c>
      <c r="E92" s="82">
        <v>0.9</v>
      </c>
      <c r="F92" s="82">
        <v>0.9</v>
      </c>
      <c r="G92" s="82">
        <v>0.9</v>
      </c>
      <c r="H92" s="82">
        <v>0.9</v>
      </c>
      <c r="I92" s="82"/>
      <c r="J92" s="82"/>
      <c r="K92" s="82"/>
      <c r="L92" s="82"/>
      <c r="M92" s="82"/>
      <c r="N92" s="82"/>
      <c r="O92" s="82"/>
      <c r="P92" s="82"/>
      <c r="Q92" s="82"/>
      <c r="R92" s="82"/>
      <c r="S92" s="82"/>
      <c r="T92" s="82"/>
      <c r="U92" s="82"/>
      <c r="V92" s="82"/>
      <c r="W92" s="82"/>
      <c r="X92" s="82"/>
      <c r="Y92" s="82"/>
    </row>
    <row r="93" spans="1:25" x14ac:dyDescent="0.25">
      <c r="A93" s="78" t="s">
        <v>178</v>
      </c>
      <c r="B93" s="128">
        <v>3</v>
      </c>
      <c r="C93" s="139">
        <v>3</v>
      </c>
      <c r="D93" s="128">
        <v>3</v>
      </c>
      <c r="E93" s="128">
        <v>3</v>
      </c>
      <c r="F93" s="128">
        <v>3</v>
      </c>
      <c r="G93" s="128">
        <v>3</v>
      </c>
      <c r="H93" s="128">
        <v>3</v>
      </c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</row>
    <row r="94" spans="1:25" x14ac:dyDescent="0.25">
      <c r="A94" s="86" t="s">
        <v>92</v>
      </c>
      <c r="B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</row>
    <row r="95" spans="1:25" x14ac:dyDescent="0.25">
      <c r="A95" t="s">
        <v>182</v>
      </c>
      <c r="B95" s="130">
        <f>B10*(((1+B69)*B89*B68)+(B93*B27*B18))/(1+B93+B69)</f>
        <v>666.72637709675485</v>
      </c>
      <c r="C95" s="134">
        <f t="shared" ref="C95:H95" si="52">C10*(((1+C69)*C89*C68)+(C93*C27*C18))/(1+C93+C69)</f>
        <v>666.72637709675485</v>
      </c>
      <c r="D95">
        <f t="shared" si="52"/>
        <v>666.72637709675485</v>
      </c>
      <c r="E95">
        <f t="shared" si="52"/>
        <v>666.72637709675485</v>
      </c>
      <c r="F95">
        <f t="shared" si="52"/>
        <v>666.72637709675485</v>
      </c>
      <c r="G95">
        <f t="shared" si="52"/>
        <v>666.72637709675485</v>
      </c>
      <c r="H95">
        <f t="shared" si="52"/>
        <v>666.72637709675485</v>
      </c>
    </row>
    <row r="96" spans="1:25" x14ac:dyDescent="0.25">
      <c r="A96" t="s">
        <v>187</v>
      </c>
      <c r="B96" s="130">
        <f>((B84*B13)+(B36*B11))/(B36+B84)</f>
        <v>1.0419338665711104</v>
      </c>
      <c r="C96" s="134">
        <f t="shared" ref="C96:H96" si="53">((C84*C13)+(C36*C11))/(C36+C84)</f>
        <v>1.0419338665711104</v>
      </c>
      <c r="D96">
        <f t="shared" si="53"/>
        <v>1.0419338665711104</v>
      </c>
      <c r="E96">
        <f t="shared" si="53"/>
        <v>1.0419338665711104</v>
      </c>
      <c r="F96">
        <f t="shared" si="53"/>
        <v>1.0419338665711104</v>
      </c>
      <c r="G96">
        <f t="shared" si="53"/>
        <v>1.0419338665711104</v>
      </c>
      <c r="H96">
        <f t="shared" si="53"/>
        <v>1.0419338665711104</v>
      </c>
    </row>
    <row r="97" spans="1:25" x14ac:dyDescent="0.25">
      <c r="A97" t="s">
        <v>186</v>
      </c>
      <c r="B97" s="130">
        <f>((B84*B13)+(B36*B11))/((B84*B13/B14)+(B36*B11/B12))</f>
        <v>1.3794258229698879</v>
      </c>
      <c r="C97" s="134">
        <f t="shared" ref="C97:H97" si="54">((C84*C13)+(C36*C11))/((C84*C13/C14)+(C36*C11/C12))</f>
        <v>1.3794258229698877</v>
      </c>
      <c r="D97">
        <f t="shared" si="54"/>
        <v>1.3794258229698879</v>
      </c>
      <c r="E97">
        <f t="shared" si="54"/>
        <v>1.3794258229698877</v>
      </c>
      <c r="F97">
        <f t="shared" si="54"/>
        <v>1.3794258229698879</v>
      </c>
      <c r="G97">
        <f t="shared" si="54"/>
        <v>1.3794258229698879</v>
      </c>
      <c r="H97">
        <f t="shared" si="54"/>
        <v>1.3794258229698879</v>
      </c>
    </row>
    <row r="98" spans="1:25" x14ac:dyDescent="0.25">
      <c r="A98" t="s">
        <v>106</v>
      </c>
      <c r="B98" s="130">
        <f>(B93/(1+B69))*(B14/B12)*(B40/B86)*(B85/B37)</f>
        <v>2.2059678996150884</v>
      </c>
      <c r="C98" s="134">
        <f t="shared" ref="C98:H98" si="55">(C93/(1+C69))*(C14/C12)*(C40/C86)*(C85/C37)</f>
        <v>2.1366039169481987</v>
      </c>
      <c r="D98">
        <f t="shared" si="55"/>
        <v>2.037787153443638</v>
      </c>
      <c r="E98">
        <f t="shared" si="55"/>
        <v>1.9386933271088795</v>
      </c>
      <c r="F98">
        <f t="shared" si="55"/>
        <v>1.8494206718099548</v>
      </c>
      <c r="G98">
        <f t="shared" si="55"/>
        <v>1.77145634712194</v>
      </c>
      <c r="H98">
        <f t="shared" si="55"/>
        <v>1.7036936839962358</v>
      </c>
    </row>
    <row r="99" spans="1:25" x14ac:dyDescent="0.25">
      <c r="A99" t="s">
        <v>107</v>
      </c>
      <c r="B99" s="130">
        <f>((1+(B14*B85^2))+(B98*(1+(B12*B37^2))))/(1+B98)</f>
        <v>1.3332067740745948</v>
      </c>
      <c r="C99" s="134">
        <f t="shared" ref="C99:H99" si="56">((1+(C14*C85^2))+(C98*(1+(C12*C37^2))))/(1+C98)</f>
        <v>4.0446672348498254</v>
      </c>
      <c r="D99">
        <f t="shared" si="56"/>
        <v>9.6599224843146221</v>
      </c>
      <c r="E99">
        <f t="shared" si="56"/>
        <v>18.422766983870048</v>
      </c>
      <c r="F99">
        <f t="shared" si="56"/>
        <v>30.546267451572863</v>
      </c>
      <c r="G99">
        <f t="shared" si="56"/>
        <v>46.202054833127178</v>
      </c>
      <c r="H99">
        <f t="shared" si="56"/>
        <v>65.528988286608765</v>
      </c>
    </row>
    <row r="100" spans="1:25" x14ac:dyDescent="0.25">
      <c r="A100" t="s">
        <v>108</v>
      </c>
      <c r="B100" s="130">
        <f>(((B14/B97)*(B85/B86))+((B12/B97)*(B37*B98/B40)))*((SQRT((B97-1)*B95*1000))/(1+B98))</f>
        <v>0.51075094721614822</v>
      </c>
      <c r="C100" s="134">
        <f t="shared" ref="C100:H100" si="57">(((C14/C97)*(C85/C86))+((C12/C97)*(C37*C98/C40)))*((SQRT((C97-1)*C95*1000))/(1+C98))</f>
        <v>1.7972592920740316</v>
      </c>
      <c r="D100">
        <f t="shared" si="57"/>
        <v>3.7643083877863561</v>
      </c>
      <c r="E100">
        <f t="shared" si="57"/>
        <v>6.6439743634643067</v>
      </c>
      <c r="F100">
        <f t="shared" si="57"/>
        <v>10.560492683982105</v>
      </c>
      <c r="G100">
        <f t="shared" si="57"/>
        <v>15.589572526776813</v>
      </c>
      <c r="H100">
        <f t="shared" si="57"/>
        <v>21.784115145300458</v>
      </c>
    </row>
    <row r="101" spans="1:25" x14ac:dyDescent="0.25">
      <c r="A101" t="s">
        <v>87</v>
      </c>
      <c r="B101" s="130">
        <f>(B99/B100)^2</f>
        <v>6.8136004334414215</v>
      </c>
      <c r="C101" s="134">
        <f t="shared" ref="C101:H101" si="58">(C99/C100)^2</f>
        <v>5.0645879632897453</v>
      </c>
      <c r="D101">
        <f t="shared" si="58"/>
        <v>6.5853201304677809</v>
      </c>
      <c r="E101">
        <f t="shared" si="58"/>
        <v>7.6887160451891967</v>
      </c>
      <c r="F101">
        <f t="shared" si="58"/>
        <v>8.3665794564001921</v>
      </c>
      <c r="G101">
        <f t="shared" si="58"/>
        <v>8.7832282476881804</v>
      </c>
      <c r="H101">
        <f t="shared" si="58"/>
        <v>9.0487185023231866</v>
      </c>
    </row>
    <row r="102" spans="1:25" x14ac:dyDescent="0.25">
      <c r="A102" t="s">
        <v>189</v>
      </c>
      <c r="B102" s="130">
        <f>SQRT((B101-(2*B97)-SQRT((B101-(2*B97))^2-(4*(B97^2-(B101*(B97-1)/2)))))/((2*B97^2)-(B101*(B97-1))))</f>
        <v>0.50648534828802494</v>
      </c>
      <c r="C102" s="134">
        <f t="shared" ref="C102:H102" si="59">SQRT((C101-(2*C97)-SQRT((C101-(2*C97))^2-(4*(C97^2-(C101*(C97-1)/2)))))/((2*C97^2)-(C101*(C97-1))))</f>
        <v>0.75057658465807542</v>
      </c>
      <c r="D102">
        <f t="shared" si="59"/>
        <v>0.52361791771787403</v>
      </c>
      <c r="E102">
        <f t="shared" si="59"/>
        <v>0.45463669471069745</v>
      </c>
      <c r="F102">
        <f t="shared" si="59"/>
        <v>0.42444279585592432</v>
      </c>
      <c r="G102">
        <f t="shared" si="59"/>
        <v>0.4087644696144867</v>
      </c>
      <c r="H102">
        <f t="shared" si="59"/>
        <v>0.3996762349625016</v>
      </c>
    </row>
    <row r="103" spans="1:25" x14ac:dyDescent="0.25">
      <c r="A103" t="s">
        <v>190</v>
      </c>
      <c r="B103" s="130">
        <f>(B88*B99)/(1+(B97*B102^2))</f>
        <v>342.53675236142283</v>
      </c>
      <c r="C103" s="134">
        <f t="shared" ref="C103:H103" si="60">(C88*C99)/(1+(C97*C102^2))</f>
        <v>834.78788160863155</v>
      </c>
      <c r="D103">
        <f t="shared" si="60"/>
        <v>1260.8557537206552</v>
      </c>
      <c r="E103">
        <f t="shared" si="60"/>
        <v>1045.1910721646057</v>
      </c>
      <c r="F103">
        <f t="shared" si="60"/>
        <v>739.9152443550696</v>
      </c>
      <c r="G103">
        <f t="shared" si="60"/>
        <v>510.13103908766652</v>
      </c>
      <c r="H103">
        <f t="shared" si="60"/>
        <v>356.94159435754693</v>
      </c>
    </row>
    <row r="104" spans="1:25" x14ac:dyDescent="0.25">
      <c r="A104" t="s">
        <v>191</v>
      </c>
      <c r="B104" s="130">
        <f>B105/B83</f>
        <v>0.99448940595380797</v>
      </c>
      <c r="C104" s="134">
        <f t="shared" ref="C104:H104" si="61">C105/C83</f>
        <v>0.92229780173346765</v>
      </c>
      <c r="D104">
        <f t="shared" si="61"/>
        <v>0.48455347932525711</v>
      </c>
      <c r="E104">
        <f t="shared" si="61"/>
        <v>0.19135658200593642</v>
      </c>
      <c r="F104">
        <f t="shared" si="61"/>
        <v>7.4447038280099867E-2</v>
      </c>
      <c r="G104">
        <f t="shared" si="61"/>
        <v>3.0919056016278621E-2</v>
      </c>
      <c r="H104">
        <f t="shared" si="61"/>
        <v>1.3920726793000913E-2</v>
      </c>
    </row>
    <row r="105" spans="1:25" x14ac:dyDescent="0.25">
      <c r="A105" t="s">
        <v>194</v>
      </c>
      <c r="B105" s="130">
        <f>B103*(1+((B97-1)/2*B102^2))^(B97/(B97-1))</f>
        <v>407.1325078997466</v>
      </c>
      <c r="C105" s="134">
        <f t="shared" ref="C105:H105" si="62">C103*(1+((C97-1)/2*C102^2))^(C97/(C97-1))</f>
        <v>1207.5441146539006</v>
      </c>
      <c r="D105">
        <f t="shared" si="62"/>
        <v>1516.0970408579867</v>
      </c>
      <c r="E105">
        <f t="shared" si="62"/>
        <v>1202.0585028459702</v>
      </c>
      <c r="F105">
        <f t="shared" si="62"/>
        <v>836.07009774726771</v>
      </c>
      <c r="G105">
        <f t="shared" si="62"/>
        <v>571.41847566362208</v>
      </c>
      <c r="H105">
        <f t="shared" si="62"/>
        <v>397.86438642836146</v>
      </c>
    </row>
    <row r="106" spans="1:25" x14ac:dyDescent="0.25">
      <c r="A106" t="s">
        <v>193</v>
      </c>
      <c r="B106" s="131">
        <v>0.98</v>
      </c>
      <c r="C106" s="135">
        <v>1.98</v>
      </c>
      <c r="D106" s="82">
        <v>2.98</v>
      </c>
      <c r="E106" s="82">
        <v>3.98</v>
      </c>
      <c r="F106" s="82">
        <v>4.9800000000000004</v>
      </c>
      <c r="G106" s="82">
        <v>5.98</v>
      </c>
      <c r="H106" s="82">
        <v>6.98</v>
      </c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82"/>
      <c r="Y106" s="82"/>
    </row>
    <row r="107" spans="1:25" x14ac:dyDescent="0.25">
      <c r="A107" s="79" t="s">
        <v>192</v>
      </c>
      <c r="B107" s="79">
        <f>B106*B105</f>
        <v>398.98985774175168</v>
      </c>
      <c r="C107" s="138">
        <f t="shared" ref="C107:H107" si="63">C106*C105</f>
        <v>2390.9373470147229</v>
      </c>
      <c r="D107" s="79">
        <f t="shared" si="63"/>
        <v>4517.9691817568</v>
      </c>
      <c r="E107" s="79">
        <f t="shared" si="63"/>
        <v>4784.1928413269616</v>
      </c>
      <c r="F107" s="79">
        <f t="shared" si="63"/>
        <v>4163.6290867813932</v>
      </c>
      <c r="G107" s="79">
        <f t="shared" si="63"/>
        <v>3417.0824844684603</v>
      </c>
      <c r="H107" s="79">
        <f t="shared" si="63"/>
        <v>2777.0934172699631</v>
      </c>
      <c r="I107" s="79"/>
      <c r="J107" s="79"/>
      <c r="K107" s="79"/>
      <c r="L107" s="79"/>
      <c r="M107" s="79"/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</row>
    <row r="108" spans="1:25" x14ac:dyDescent="0.25">
      <c r="A108" s="86" t="s">
        <v>93</v>
      </c>
      <c r="B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</row>
    <row r="109" spans="1:25" x14ac:dyDescent="0.25">
      <c r="A109" s="83" t="s">
        <v>195</v>
      </c>
      <c r="B109" s="131">
        <v>0.92</v>
      </c>
      <c r="C109" s="135">
        <v>0.92</v>
      </c>
      <c r="D109" s="82">
        <v>0.92</v>
      </c>
      <c r="E109" s="82">
        <v>0.92</v>
      </c>
      <c r="F109" s="82">
        <v>0.92</v>
      </c>
      <c r="G109" s="82">
        <v>0.92</v>
      </c>
      <c r="H109" s="82">
        <v>0.92</v>
      </c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82"/>
      <c r="Y109" s="82"/>
    </row>
    <row r="110" spans="1:25" x14ac:dyDescent="0.25">
      <c r="A110" s="77" t="s">
        <v>196</v>
      </c>
      <c r="B110" s="131">
        <v>0.98</v>
      </c>
      <c r="C110" s="135">
        <v>0.98</v>
      </c>
      <c r="D110" s="82">
        <v>0.98</v>
      </c>
      <c r="E110" s="82">
        <v>0.98</v>
      </c>
      <c r="F110" s="82">
        <v>0.98</v>
      </c>
      <c r="G110" s="82">
        <v>0.98</v>
      </c>
      <c r="H110" s="82">
        <v>0.98</v>
      </c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82"/>
      <c r="Y110" s="82"/>
    </row>
    <row r="111" spans="1:25" x14ac:dyDescent="0.25">
      <c r="A111" t="s">
        <v>198</v>
      </c>
      <c r="B111" s="131">
        <v>1000</v>
      </c>
      <c r="C111" s="135">
        <v>1000</v>
      </c>
      <c r="D111" s="82">
        <v>1000</v>
      </c>
      <c r="E111" s="82">
        <v>1000</v>
      </c>
      <c r="F111" s="82">
        <v>1000</v>
      </c>
      <c r="G111" s="82">
        <v>1000</v>
      </c>
      <c r="H111" s="82">
        <v>1000</v>
      </c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82"/>
      <c r="Y111" s="82"/>
    </row>
    <row r="112" spans="1:25" x14ac:dyDescent="0.25">
      <c r="A112" t="s">
        <v>203</v>
      </c>
      <c r="B112" s="130">
        <f>B107*B109</f>
        <v>367.07066912241157</v>
      </c>
      <c r="C112" s="134">
        <f t="shared" ref="C112:H112" si="64">C107*C109</f>
        <v>2199.6623592535452</v>
      </c>
      <c r="D112">
        <f t="shared" si="64"/>
        <v>4156.5316472162558</v>
      </c>
      <c r="E112">
        <f t="shared" si="64"/>
        <v>4401.4574140208051</v>
      </c>
      <c r="F112">
        <f t="shared" si="64"/>
        <v>3830.538759838882</v>
      </c>
      <c r="G112">
        <f t="shared" si="64"/>
        <v>3143.7158857109835</v>
      </c>
      <c r="H112">
        <f t="shared" si="64"/>
        <v>2554.925943888366</v>
      </c>
    </row>
    <row r="113" spans="1:25" x14ac:dyDescent="0.25">
      <c r="A113" s="79" t="s">
        <v>197</v>
      </c>
      <c r="B113" s="79">
        <f>((B111*B15)-B95)/((B64*B110)-(B111*B15))</f>
        <v>1.438597216621772E-2</v>
      </c>
      <c r="C113" s="138">
        <f t="shared" ref="C113:H113" si="65">((C111*C15)-C95)/((C64*C110)-(C111*C15))</f>
        <v>1.438597216621772E-2</v>
      </c>
      <c r="D113" s="79">
        <f t="shared" si="65"/>
        <v>1.438597216621772E-2</v>
      </c>
      <c r="E113" s="79">
        <f t="shared" si="65"/>
        <v>1.438597216621772E-2</v>
      </c>
      <c r="F113" s="79">
        <f t="shared" si="65"/>
        <v>1.438597216621772E-2</v>
      </c>
      <c r="G113" s="79">
        <f t="shared" si="65"/>
        <v>1.438597216621772E-2</v>
      </c>
      <c r="H113" s="79">
        <f t="shared" si="65"/>
        <v>1.438597216621772E-2</v>
      </c>
      <c r="I113" s="79"/>
      <c r="J113" s="79"/>
      <c r="K113" s="79"/>
      <c r="L113" s="79"/>
      <c r="M113" s="79"/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</row>
    <row r="114" spans="1:25" x14ac:dyDescent="0.25">
      <c r="A114" s="86" t="s">
        <v>43</v>
      </c>
      <c r="B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</row>
    <row r="115" spans="1:25" x14ac:dyDescent="0.25">
      <c r="A115" s="83" t="s">
        <v>201</v>
      </c>
      <c r="B115" s="131">
        <v>0.95</v>
      </c>
      <c r="C115" s="135">
        <v>0.95</v>
      </c>
      <c r="D115" s="82">
        <v>0.95</v>
      </c>
      <c r="E115" s="82">
        <v>0.95</v>
      </c>
      <c r="F115" s="82">
        <v>0.95</v>
      </c>
      <c r="G115" s="82">
        <v>0.95</v>
      </c>
      <c r="H115" s="82">
        <v>0.95</v>
      </c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82"/>
      <c r="Y115" s="82"/>
    </row>
    <row r="116" spans="1:25" x14ac:dyDescent="0.25">
      <c r="A116" t="s">
        <v>109</v>
      </c>
      <c r="B116" s="131">
        <v>3.8</v>
      </c>
      <c r="C116" s="135">
        <v>3.8</v>
      </c>
      <c r="D116" s="82">
        <v>3.8</v>
      </c>
      <c r="E116" s="82">
        <v>3.8</v>
      </c>
      <c r="F116" s="82">
        <v>3.8</v>
      </c>
      <c r="G116" s="82">
        <v>3.8</v>
      </c>
      <c r="H116" s="82">
        <v>3.8</v>
      </c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82"/>
      <c r="Y116" s="82"/>
    </row>
    <row r="117" spans="1:25" x14ac:dyDescent="0.25">
      <c r="A117" t="s">
        <v>202</v>
      </c>
      <c r="B117" s="130">
        <f>B112*B115</f>
        <v>348.71713566629097</v>
      </c>
      <c r="C117" s="134">
        <f t="shared" ref="C117:H117" si="66">C112*C115</f>
        <v>2089.679241290868</v>
      </c>
      <c r="D117">
        <f t="shared" si="66"/>
        <v>3948.7050648554427</v>
      </c>
      <c r="E117">
        <f t="shared" si="66"/>
        <v>4181.3845433197648</v>
      </c>
      <c r="F117">
        <f t="shared" si="66"/>
        <v>3639.0118218469379</v>
      </c>
      <c r="G117">
        <f t="shared" si="66"/>
        <v>2986.530091425434</v>
      </c>
      <c r="H117">
        <f t="shared" si="66"/>
        <v>2427.1796466939477</v>
      </c>
    </row>
    <row r="118" spans="1:25" x14ac:dyDescent="0.25">
      <c r="A118" t="s">
        <v>77</v>
      </c>
      <c r="B118" s="130">
        <f>B116*B4</f>
        <v>79.48153053988743</v>
      </c>
      <c r="C118" s="134">
        <f t="shared" ref="C118:H118" si="67">C116*C4</f>
        <v>79.48153053988743</v>
      </c>
      <c r="D118">
        <f t="shared" si="67"/>
        <v>79.48153053988743</v>
      </c>
      <c r="E118">
        <f t="shared" si="67"/>
        <v>79.48153053988743</v>
      </c>
      <c r="F118">
        <f t="shared" si="67"/>
        <v>79.48153053988743</v>
      </c>
      <c r="G118">
        <f t="shared" si="67"/>
        <v>79.48153053988743</v>
      </c>
      <c r="H118">
        <f t="shared" si="67"/>
        <v>79.48153053988743</v>
      </c>
    </row>
    <row r="119" spans="1:25" x14ac:dyDescent="0.25">
      <c r="A119" t="s">
        <v>205</v>
      </c>
      <c r="B119" s="130">
        <f>B111</f>
        <v>1000</v>
      </c>
      <c r="C119" s="134">
        <f t="shared" ref="C119:H119" si="68">C111</f>
        <v>1000</v>
      </c>
      <c r="D119">
        <f t="shared" si="68"/>
        <v>1000</v>
      </c>
      <c r="E119">
        <f t="shared" si="68"/>
        <v>1000</v>
      </c>
      <c r="F119">
        <f t="shared" si="68"/>
        <v>1000</v>
      </c>
      <c r="G119">
        <f t="shared" si="68"/>
        <v>1000</v>
      </c>
      <c r="H119">
        <f t="shared" si="68"/>
        <v>1000</v>
      </c>
    </row>
    <row r="120" spans="1:25" x14ac:dyDescent="0.25">
      <c r="A120" t="s">
        <v>111</v>
      </c>
      <c r="B120" s="130">
        <f>B119/(1+((B16-1)/2*B121^2))</f>
        <v>710.88339355452376</v>
      </c>
      <c r="C120" s="134">
        <f t="shared" ref="C120:H120" si="69">C119/(1+((C16-1)/2*C121^2))</f>
        <v>470.27376570872849</v>
      </c>
      <c r="D120">
        <f t="shared" si="69"/>
        <v>406.04287142239053</v>
      </c>
      <c r="E120">
        <f t="shared" si="69"/>
        <v>400.71326392186046</v>
      </c>
      <c r="F120">
        <f t="shared" si="69"/>
        <v>413.7686275796662</v>
      </c>
      <c r="G120">
        <f t="shared" si="69"/>
        <v>433.07327386840484</v>
      </c>
      <c r="H120">
        <f t="shared" si="69"/>
        <v>454.3030031047345</v>
      </c>
    </row>
    <row r="121" spans="1:25" x14ac:dyDescent="0.25">
      <c r="A121" t="s">
        <v>110</v>
      </c>
      <c r="B121" s="130">
        <f>SQRT((2/(B16-1))*(((B117/B118)^((B16-1)/B16))-1))</f>
        <v>1.6466136252213048</v>
      </c>
      <c r="C121" s="134">
        <f t="shared" ref="C121:H121" si="70">SQRT((2/(C16-1))*(((C117/C118)^((C16-1)/C16))-1))</f>
        <v>2.7403417989804337</v>
      </c>
      <c r="D121">
        <f t="shared" si="70"/>
        <v>3.1228129726700233</v>
      </c>
      <c r="E121">
        <f t="shared" si="70"/>
        <v>3.1575835016525162</v>
      </c>
      <c r="F121">
        <f t="shared" si="70"/>
        <v>3.0733365375911896</v>
      </c>
      <c r="G121">
        <f t="shared" si="70"/>
        <v>2.9541812982081819</v>
      </c>
      <c r="H121">
        <f t="shared" si="70"/>
        <v>2.8298104662389489</v>
      </c>
    </row>
    <row r="122" spans="1:25" x14ac:dyDescent="0.25">
      <c r="A122" t="s">
        <v>204</v>
      </c>
      <c r="B122" s="130">
        <f>B15*(B16-1)/(B16)</f>
        <v>0.28638461538461546</v>
      </c>
      <c r="C122" s="134">
        <f t="shared" ref="C122:H122" si="71">C15*(C16-1)/(C16)</f>
        <v>0.28638461538461546</v>
      </c>
      <c r="D122">
        <f t="shared" si="71"/>
        <v>0.28638461538461546</v>
      </c>
      <c r="E122">
        <f t="shared" si="71"/>
        <v>0.28638461538461546</v>
      </c>
      <c r="F122">
        <f t="shared" si="71"/>
        <v>0.28638461538461546</v>
      </c>
      <c r="G122">
        <f t="shared" si="71"/>
        <v>0.28638461538461546</v>
      </c>
      <c r="H122">
        <f t="shared" si="71"/>
        <v>0.28638461538461546</v>
      </c>
    </row>
    <row r="123" spans="1:25" x14ac:dyDescent="0.25">
      <c r="A123" t="s">
        <v>112</v>
      </c>
      <c r="B123" s="130">
        <f>SQRT((B16*B122*1000*B119)/(1+((B16-1)*B121^2/2)))</f>
        <v>514.45299826159953</v>
      </c>
      <c r="C123" s="134">
        <f t="shared" ref="C123:H123" si="72">SQRT((C16*C122*1000*C119)/(1+((C16-1)*C121^2/2)))</f>
        <v>418.42911343901449</v>
      </c>
      <c r="D123">
        <f t="shared" si="72"/>
        <v>388.80555684114915</v>
      </c>
      <c r="E123">
        <f t="shared" si="72"/>
        <v>386.24545066331677</v>
      </c>
      <c r="F123">
        <f t="shared" si="72"/>
        <v>392.48701895465251</v>
      </c>
      <c r="G123">
        <f t="shared" si="72"/>
        <v>401.53851603701378</v>
      </c>
      <c r="H123">
        <f t="shared" si="72"/>
        <v>411.26269956791936</v>
      </c>
    </row>
    <row r="124" spans="1:25" x14ac:dyDescent="0.25">
      <c r="A124" t="s">
        <v>79</v>
      </c>
      <c r="B124" s="130">
        <f>B123*B121</f>
        <v>847.10531647350206</v>
      </c>
      <c r="C124" s="134">
        <f t="shared" ref="C124:H124" si="73">C123*C121</f>
        <v>1146.6387894672569</v>
      </c>
      <c r="D124">
        <f t="shared" si="73"/>
        <v>1214.1670367497327</v>
      </c>
      <c r="E124">
        <f t="shared" si="73"/>
        <v>1219.60226260283</v>
      </c>
      <c r="F124">
        <f t="shared" si="73"/>
        <v>1206.2446958835794</v>
      </c>
      <c r="G124">
        <f t="shared" si="73"/>
        <v>1186.2175745868121</v>
      </c>
      <c r="H124">
        <f t="shared" si="73"/>
        <v>1163.7954916109827</v>
      </c>
    </row>
    <row r="125" spans="1:25" x14ac:dyDescent="0.25">
      <c r="A125" t="s">
        <v>113</v>
      </c>
      <c r="B125" s="130">
        <f>B124+(((B123^2)*(1-(1/B116)))/(B16*B124))</f>
        <v>1024.1916639144501</v>
      </c>
      <c r="C125" s="134">
        <f t="shared" ref="C125:H125" si="74">C124+(((C123^2)*(1-(1/C116)))/(C16*C124))</f>
        <v>1233.1850368016114</v>
      </c>
      <c r="D125">
        <f t="shared" si="74"/>
        <v>1284.7366229500126</v>
      </c>
      <c r="E125">
        <f t="shared" si="74"/>
        <v>1288.9352024348566</v>
      </c>
      <c r="F125">
        <f t="shared" si="74"/>
        <v>1278.6293095531148</v>
      </c>
      <c r="G125">
        <f t="shared" si="74"/>
        <v>1263.2584391040393</v>
      </c>
      <c r="H125">
        <f t="shared" si="74"/>
        <v>1246.1700417473319</v>
      </c>
    </row>
    <row r="126" spans="1:25" x14ac:dyDescent="0.25">
      <c r="A126" t="s">
        <v>206</v>
      </c>
      <c r="B126" s="130">
        <f>((1+B93+B69+B113)/(1+B93))*(B125/B7)-B6</f>
        <v>1.7141504237144856</v>
      </c>
      <c r="C126" s="134">
        <f t="shared" ref="C126:H126" si="75">((1+C93+C69+C113)/(1+C93))*(C125/C7)-C6</f>
        <v>2.4312370548221223</v>
      </c>
      <c r="D126">
        <f t="shared" si="75"/>
        <v>2.6081180378347799</v>
      </c>
      <c r="E126">
        <f t="shared" si="75"/>
        <v>2.6225239741409512</v>
      </c>
      <c r="F126">
        <f t="shared" si="75"/>
        <v>2.5871629581190962</v>
      </c>
      <c r="G126">
        <f t="shared" si="75"/>
        <v>2.5344232680741374</v>
      </c>
      <c r="H126">
        <f t="shared" si="75"/>
        <v>2.4757904936360413</v>
      </c>
    </row>
    <row r="127" spans="1:25" x14ac:dyDescent="0.25">
      <c r="A127" t="s">
        <v>114</v>
      </c>
      <c r="B127" s="130">
        <f>((B69+B113)/((1+B93)*B7))/B126*10^6</f>
        <v>23.893563308337264</v>
      </c>
      <c r="C127" s="134">
        <f t="shared" ref="C127:H127" si="76">((C69+C113)/((1+C93)*C7))/C126*10^6</f>
        <v>16.84622303193375</v>
      </c>
      <c r="D127">
        <f t="shared" si="76"/>
        <v>15.70372240630536</v>
      </c>
      <c r="E127">
        <f t="shared" si="76"/>
        <v>15.617459391367953</v>
      </c>
      <c r="F127">
        <f t="shared" si="76"/>
        <v>15.830916850638447</v>
      </c>
      <c r="G127">
        <f t="shared" si="76"/>
        <v>16.160347872815191</v>
      </c>
      <c r="H127">
        <f t="shared" si="76"/>
        <v>16.543064437122037</v>
      </c>
    </row>
    <row r="128" spans="1:25" x14ac:dyDescent="0.25">
      <c r="A128" s="79" t="s">
        <v>207</v>
      </c>
      <c r="B128" s="79">
        <f>B126*B9*(1+B93)*B8</f>
        <v>291237.71336358809</v>
      </c>
      <c r="C128" s="138">
        <f t="shared" ref="C128:H128" si="77">C126*C9*(1+C93)*C8</f>
        <v>418235.62248628656</v>
      </c>
      <c r="D128" s="79">
        <f t="shared" si="77"/>
        <v>454202.78237439232</v>
      </c>
      <c r="E128" s="79">
        <f t="shared" si="77"/>
        <v>462281.22410516831</v>
      </c>
      <c r="F128" s="79">
        <f t="shared" si="77"/>
        <v>461542.57192217006</v>
      </c>
      <c r="G128" s="79">
        <f t="shared" si="77"/>
        <v>457516.50716891693</v>
      </c>
      <c r="H128" s="79">
        <f t="shared" si="77"/>
        <v>452190.08703696873</v>
      </c>
      <c r="I128" s="79"/>
      <c r="J128" s="79"/>
      <c r="K128" s="79"/>
      <c r="L128" s="79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</row>
    <row r="129" spans="1:25" x14ac:dyDescent="0.25">
      <c r="A129" s="86" t="s">
        <v>208</v>
      </c>
      <c r="B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</row>
    <row r="130" spans="1:25" x14ac:dyDescent="0.25">
      <c r="A130" s="77" t="s">
        <v>209</v>
      </c>
      <c r="B130" s="130">
        <f>(((1+B93+B69+B113)*B125^2)-((1+B93)*B8^2))/(2*B64*1000*(B69+B113))</f>
        <v>0.76835925627092272</v>
      </c>
      <c r="C130" s="134">
        <f t="shared" ref="C130:H130" si="78">(((1+C93+C69+C113)*C125^2)-((1+C93)*C8^2))/(2*C64*1000*(C69+C113))</f>
        <v>1.2388667292281172</v>
      </c>
      <c r="D130">
        <f t="shared" si="78"/>
        <v>1.3683203549004945</v>
      </c>
      <c r="E130">
        <f t="shared" si="78"/>
        <v>1.3790970481222604</v>
      </c>
      <c r="F130">
        <f t="shared" si="78"/>
        <v>1.3527071957375565</v>
      </c>
      <c r="G130">
        <f t="shared" si="78"/>
        <v>1.3137412875817114</v>
      </c>
      <c r="H130">
        <f t="shared" si="78"/>
        <v>1.2709745492645566</v>
      </c>
    </row>
    <row r="131" spans="1:25" x14ac:dyDescent="0.25">
      <c r="A131" s="77" t="s">
        <v>210</v>
      </c>
      <c r="B131" s="130">
        <f>(2*B8)/(B8+B125)</f>
        <v>0.68282658734436719</v>
      </c>
      <c r="C131" s="134">
        <f t="shared" ref="C131:H131" si="79">(2*C8)/(C8+C125)</f>
        <v>0.60193327968659627</v>
      </c>
      <c r="D131">
        <f t="shared" si="79"/>
        <v>0.58484293063877402</v>
      </c>
      <c r="E131">
        <f t="shared" si="79"/>
        <v>0.5834936600116728</v>
      </c>
      <c r="F131">
        <f t="shared" si="79"/>
        <v>0.58681677667148835</v>
      </c>
      <c r="G131">
        <f t="shared" si="79"/>
        <v>0.5918440158157432</v>
      </c>
      <c r="H131">
        <f t="shared" si="79"/>
        <v>0.59753507760009938</v>
      </c>
    </row>
    <row r="132" spans="1:25" x14ac:dyDescent="0.25">
      <c r="A132" t="s">
        <v>211</v>
      </c>
      <c r="B132" s="130">
        <f>B131*B130</f>
        <v>0.5246561288139302</v>
      </c>
      <c r="C132" s="134">
        <f t="shared" ref="C132:H132" si="80">C131*C130</f>
        <v>0.74571511341888708</v>
      </c>
      <c r="D132">
        <f t="shared" si="80"/>
        <v>0.80025248641269253</v>
      </c>
      <c r="E132">
        <f t="shared" si="80"/>
        <v>0.80469438412015182</v>
      </c>
      <c r="F132">
        <f t="shared" si="80"/>
        <v>0.79379127638304092</v>
      </c>
      <c r="G132">
        <f t="shared" si="80"/>
        <v>0.77752991938530525</v>
      </c>
      <c r="H132">
        <f t="shared" si="80"/>
        <v>0.75945187592254815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4740C39E2553B4E95866569EE74F386" ma:contentTypeVersion="4" ma:contentTypeDescription="Crear nuevo documento." ma:contentTypeScope="" ma:versionID="b4a11d851f6d01e1664c3be7c73dfee0">
  <xsd:schema xmlns:xsd="http://www.w3.org/2001/XMLSchema" xmlns:xs="http://www.w3.org/2001/XMLSchema" xmlns:p="http://schemas.microsoft.com/office/2006/metadata/properties" xmlns:ns2="4de4a01d-40c2-44f8-acd4-1a2958d848f0" targetNamespace="http://schemas.microsoft.com/office/2006/metadata/properties" ma:root="true" ma:fieldsID="f95e434a4e126de186279739e1d9e67b" ns2:_="">
    <xsd:import namespace="4de4a01d-40c2-44f8-acd4-1a2958d848f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de4a01d-40c2-44f8-acd4-1a2958d848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24BF2E8-095C-48B8-AEDF-E2A14F00D6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de4a01d-40c2-44f8-acd4-1a2958d848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961B0B0-0513-47DA-8BCC-902F7D70ED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D637BD-4555-46AC-9BE1-D3B0161C853E}">
  <ds:schemaRefs>
    <ds:schemaRef ds:uri="http://purl.org/dc/elements/1.1/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4de4a01d-40c2-44f8-acd4-1a2958d848f0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Planeación</vt:lpstr>
      <vt:lpstr>Planeación (2)</vt:lpstr>
      <vt:lpstr>Thrust</vt:lpstr>
      <vt:lpstr>Iteraciones</vt:lpstr>
      <vt:lpstr>Iteraciones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Leonardo Valadez Ortiz</dc:creator>
  <cp:keywords/>
  <dc:description/>
  <cp:lastModifiedBy>CLAUDIA ANDREA MARTINEZ OROZCO</cp:lastModifiedBy>
  <cp:revision>5</cp:revision>
  <dcterms:created xsi:type="dcterms:W3CDTF">2025-03-04T19:51:50Z</dcterms:created>
  <dcterms:modified xsi:type="dcterms:W3CDTF">2025-05-10T05:04:08Z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0x010100A4740C39E2553B4E95866569EE74F386</vt:lpwstr>
  </property>
</Properties>
</file>