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af1fb82cf76e7/Desktop/11vo Semestre/5ta - Combustion/"/>
    </mc:Choice>
  </mc:AlternateContent>
  <xr:revisionPtr revIDLastSave="0" documentId="13_ncr:1_{EFB257DB-F614-48B7-A16F-57B5550D4116}" xr6:coauthVersionLast="47" xr6:coauthVersionMax="47" xr10:uidLastSave="{00000000-0000-0000-0000-000000000000}"/>
  <bookViews>
    <workbookView xWindow="-108" yWindow="-108" windowWidth="23256" windowHeight="12456" xr2:uid="{18F936A3-4AB9-42F5-95EA-AB980309C722}"/>
  </bookViews>
  <sheets>
    <sheet name="Datos" sheetId="2" r:id="rId1"/>
    <sheet name="Class 4" sheetId="1" r:id="rId2"/>
  </sheets>
  <externalReferences>
    <externalReference r:id="rId3"/>
    <externalReference r:id="rId4"/>
  </externalReferences>
  <definedNames>
    <definedName name="m">'[1]P1 (60)'!$Q$4</definedName>
    <definedName name="n">'[1]P1 (60)'!$P$4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1" l="1"/>
  <c r="I37" i="1"/>
  <c r="U45" i="2"/>
  <c r="P15" i="1" l="1"/>
  <c r="L44" i="1"/>
  <c r="AF21" i="1"/>
  <c r="AC24" i="1" s="1"/>
  <c r="Z60" i="1"/>
  <c r="AB60" i="1" s="1"/>
  <c r="AB59" i="1"/>
  <c r="AA59" i="1"/>
  <c r="Z59" i="1"/>
  <c r="Z58" i="1"/>
  <c r="AB58" i="1" s="1"/>
  <c r="AA57" i="1"/>
  <c r="Z57" i="1"/>
  <c r="AB57" i="1" s="1"/>
  <c r="AA53" i="1"/>
  <c r="Z53" i="1"/>
  <c r="AB53" i="1" s="1"/>
  <c r="AB52" i="1"/>
  <c r="AA52" i="1"/>
  <c r="Z52" i="1"/>
  <c r="AA51" i="1"/>
  <c r="Z51" i="1"/>
  <c r="AB51" i="1" s="1"/>
  <c r="AB50" i="1"/>
  <c r="Z50" i="1"/>
  <c r="AA50" i="1" s="1"/>
  <c r="AB54" i="1" s="1"/>
  <c r="AB46" i="1"/>
  <c r="Z46" i="1"/>
  <c r="AA46" i="1" s="1"/>
  <c r="Z45" i="1"/>
  <c r="AB45" i="1" s="1"/>
  <c r="AB44" i="1"/>
  <c r="AA44" i="1"/>
  <c r="Z44" i="1"/>
  <c r="Z43" i="1"/>
  <c r="AB43" i="1" s="1"/>
  <c r="Z39" i="1"/>
  <c r="AB39" i="1" s="1"/>
  <c r="AA38" i="1"/>
  <c r="Z38" i="1"/>
  <c r="AB38" i="1" s="1"/>
  <c r="AB37" i="1"/>
  <c r="AA37" i="1"/>
  <c r="Z37" i="1"/>
  <c r="AA36" i="1"/>
  <c r="Z36" i="1"/>
  <c r="AB36" i="1" s="1"/>
  <c r="AA32" i="1"/>
  <c r="Z32" i="1"/>
  <c r="AB32" i="1" s="1"/>
  <c r="AB31" i="1"/>
  <c r="Z31" i="1"/>
  <c r="AA31" i="1" s="1"/>
  <c r="AB30" i="1"/>
  <c r="AA30" i="1"/>
  <c r="Z30" i="1"/>
  <c r="AB29" i="1"/>
  <c r="AA29" i="1"/>
  <c r="Z29" i="1"/>
  <c r="AB24" i="1"/>
  <c r="AA24" i="1"/>
  <c r="Z24" i="1"/>
  <c r="Z23" i="1"/>
  <c r="AB23" i="1" s="1"/>
  <c r="Z22" i="1"/>
  <c r="AB22" i="1" s="1"/>
  <c r="AB21" i="1"/>
  <c r="AA21" i="1"/>
  <c r="Z21" i="1"/>
  <c r="AB17" i="1"/>
  <c r="AA17" i="1"/>
  <c r="Z17" i="1"/>
  <c r="AA16" i="1"/>
  <c r="Z16" i="1"/>
  <c r="AB16" i="1" s="1"/>
  <c r="AD15" i="1"/>
  <c r="AB15" i="1"/>
  <c r="AA15" i="1"/>
  <c r="Z15" i="1"/>
  <c r="AE13" i="1"/>
  <c r="X21" i="1"/>
  <c r="T60" i="1"/>
  <c r="T59" i="1"/>
  <c r="T58" i="1"/>
  <c r="T57" i="1"/>
  <c r="T61" i="1" s="1"/>
  <c r="T53" i="1"/>
  <c r="T52" i="1"/>
  <c r="T51" i="1"/>
  <c r="T50" i="1"/>
  <c r="T46" i="1"/>
  <c r="T45" i="1"/>
  <c r="T44" i="1"/>
  <c r="T43" i="1"/>
  <c r="T47" i="1" s="1"/>
  <c r="T39" i="1"/>
  <c r="T38" i="1"/>
  <c r="T40" i="1" s="1"/>
  <c r="T37" i="1"/>
  <c r="T36" i="1"/>
  <c r="T32" i="1"/>
  <c r="T31" i="1"/>
  <c r="T30" i="1"/>
  <c r="T33" i="1" s="1"/>
  <c r="T29" i="1"/>
  <c r="T54" i="1"/>
  <c r="T25" i="1"/>
  <c r="T22" i="1"/>
  <c r="T23" i="1"/>
  <c r="T24" i="1"/>
  <c r="T21" i="1"/>
  <c r="S60" i="1"/>
  <c r="S59" i="1"/>
  <c r="S58" i="1"/>
  <c r="S57" i="1"/>
  <c r="S53" i="1"/>
  <c r="S52" i="1"/>
  <c r="S51" i="1"/>
  <c r="S50" i="1"/>
  <c r="S46" i="1"/>
  <c r="S45" i="1"/>
  <c r="S44" i="1"/>
  <c r="S43" i="1"/>
  <c r="S39" i="1"/>
  <c r="S38" i="1"/>
  <c r="S37" i="1"/>
  <c r="S36" i="1"/>
  <c r="S32" i="1"/>
  <c r="S31" i="1"/>
  <c r="S30" i="1"/>
  <c r="S29" i="1"/>
  <c r="S24" i="1"/>
  <c r="S23" i="1"/>
  <c r="S22" i="1"/>
  <c r="S21" i="1"/>
  <c r="R60" i="1"/>
  <c r="R59" i="1"/>
  <c r="R58" i="1"/>
  <c r="R57" i="1"/>
  <c r="R53" i="1"/>
  <c r="R52" i="1"/>
  <c r="R51" i="1"/>
  <c r="R50" i="1"/>
  <c r="R46" i="1"/>
  <c r="R45" i="1"/>
  <c r="R44" i="1"/>
  <c r="R43" i="1"/>
  <c r="R39" i="1"/>
  <c r="R38" i="1"/>
  <c r="R37" i="1"/>
  <c r="R36" i="1"/>
  <c r="R32" i="1"/>
  <c r="R31" i="1"/>
  <c r="R30" i="1"/>
  <c r="R29" i="1"/>
  <c r="R21" i="1"/>
  <c r="R22" i="1"/>
  <c r="R23" i="1"/>
  <c r="R24" i="1"/>
  <c r="W13" i="1"/>
  <c r="L31" i="1" a="1"/>
  <c r="K29" i="1" a="1"/>
  <c r="U21" i="1" a="1"/>
  <c r="K32" i="1" a="1"/>
  <c r="U24" i="1" a="1"/>
  <c r="L21" i="1" a="1"/>
  <c r="K21" i="1" a="1"/>
  <c r="K24" i="1" a="1"/>
  <c r="K16" i="1" a="1"/>
  <c r="AC16" i="1" a="1"/>
  <c r="L24" i="1" a="1"/>
  <c r="AC17" i="1" a="1"/>
  <c r="K31" i="1" a="1"/>
  <c r="U23" i="1" a="1"/>
  <c r="U17" i="1" a="1"/>
  <c r="L23" i="1" a="1"/>
  <c r="L17" i="1" a="1"/>
  <c r="K23" i="1" a="1"/>
  <c r="L29" i="1" a="1"/>
  <c r="L32" i="1" a="1"/>
  <c r="L30" i="1" a="1"/>
  <c r="L22" i="1" a="1"/>
  <c r="L16" i="1" a="1"/>
  <c r="K17" i="1" a="1"/>
  <c r="K22" i="1" a="1"/>
  <c r="K30" i="1" a="1"/>
  <c r="U22" i="1" a="1"/>
  <c r="U16" i="1" a="1"/>
  <c r="AC23" i="1" l="1"/>
  <c r="AC21" i="1"/>
  <c r="AC22" i="1"/>
  <c r="L21" i="1"/>
  <c r="U24" i="1"/>
  <c r="K32" i="1"/>
  <c r="K16" i="1"/>
  <c r="U21" i="1"/>
  <c r="K29" i="1"/>
  <c r="L32" i="1"/>
  <c r="L16" i="1"/>
  <c r="K22" i="1"/>
  <c r="L29" i="1"/>
  <c r="U16" i="1"/>
  <c r="L22" i="1"/>
  <c r="AC16" i="1"/>
  <c r="AD16" i="1" s="1"/>
  <c r="U22" i="1"/>
  <c r="K30" i="1"/>
  <c r="K17" i="1"/>
  <c r="K23" i="1"/>
  <c r="L30" i="1"/>
  <c r="L17" i="1"/>
  <c r="L23" i="1"/>
  <c r="U17" i="1"/>
  <c r="U23" i="1"/>
  <c r="K31" i="1"/>
  <c r="AC17" i="1"/>
  <c r="AD17" i="1" s="1"/>
  <c r="K24" i="1"/>
  <c r="L31" i="1"/>
  <c r="K21" i="1"/>
  <c r="L24" i="1"/>
  <c r="AA23" i="1"/>
  <c r="AA39" i="1"/>
  <c r="AB40" i="1" s="1"/>
  <c r="AA43" i="1"/>
  <c r="AA58" i="1"/>
  <c r="AB61" i="1" s="1"/>
  <c r="AA22" i="1"/>
  <c r="AB25" i="1" s="1"/>
  <c r="AB33" i="1"/>
  <c r="AA45" i="1"/>
  <c r="AA60" i="1"/>
  <c r="AF17" i="1" l="1"/>
  <c r="AC25" i="1"/>
  <c r="AB47" i="1"/>
  <c r="R17" i="1"/>
  <c r="T17" i="1" s="1"/>
  <c r="R16" i="1"/>
  <c r="T16" i="1" s="1"/>
  <c r="J17" i="1"/>
  <c r="J16" i="1"/>
  <c r="J21" i="1"/>
  <c r="H17" i="1"/>
  <c r="H16" i="1"/>
  <c r="H32" i="1"/>
  <c r="J32" i="1" s="1"/>
  <c r="H31" i="1"/>
  <c r="J31" i="1" s="1"/>
  <c r="H30" i="1"/>
  <c r="J30" i="1" s="1"/>
  <c r="H29" i="1"/>
  <c r="H24" i="1"/>
  <c r="J24" i="1" s="1"/>
  <c r="H23" i="1"/>
  <c r="J23" i="1" s="1"/>
  <c r="H21" i="1"/>
  <c r="H22" i="1"/>
  <c r="J22" i="1" s="1"/>
  <c r="N13" i="1"/>
  <c r="K8" i="1"/>
  <c r="I21" i="1" s="1"/>
  <c r="B11" i="1"/>
  <c r="L4" i="1"/>
  <c r="L8" i="1" s="1"/>
  <c r="H7" i="1"/>
  <c r="H3" i="1"/>
  <c r="R15" i="1" s="1"/>
  <c r="T15" i="1" s="1"/>
  <c r="K4" i="1"/>
  <c r="H8" i="1"/>
  <c r="S15" i="1" s="1"/>
  <c r="C11" i="1"/>
  <c r="E11" i="1"/>
  <c r="E10" i="1"/>
  <c r="E3" i="1"/>
  <c r="D3" i="1"/>
  <c r="I30" i="1" l="1"/>
  <c r="I29" i="1"/>
  <c r="J29" i="1"/>
  <c r="V15" i="1"/>
  <c r="I22" i="1"/>
  <c r="M29" i="1"/>
  <c r="M30" i="1"/>
  <c r="H15" i="1"/>
  <c r="I4" i="1"/>
  <c r="I16" i="1" s="1"/>
  <c r="M22" i="1" l="1"/>
  <c r="M16" i="1"/>
  <c r="I8" i="1"/>
  <c r="M21" i="1"/>
  <c r="J15" i="1"/>
  <c r="I15" i="1"/>
  <c r="J4" i="1"/>
  <c r="N8" i="1" l="1"/>
  <c r="I24" i="1" s="1"/>
  <c r="M24" i="1" s="1"/>
  <c r="S16" i="1"/>
  <c r="V16" i="1" s="1"/>
  <c r="M4" i="1"/>
  <c r="I17" i="1"/>
  <c r="M17" i="1" s="1"/>
  <c r="I32" i="1"/>
  <c r="M32" i="1" s="1"/>
  <c r="M15" i="1"/>
  <c r="J8" i="1"/>
  <c r="M8" i="1" l="1"/>
  <c r="I31" i="1" s="1"/>
  <c r="S17" i="1"/>
  <c r="V17" i="1" s="1"/>
  <c r="X17" i="1" s="1"/>
  <c r="P16" i="1"/>
  <c r="AF23" i="1" l="1"/>
  <c r="I23" i="1"/>
  <c r="P23" i="1" s="1"/>
  <c r="J39" i="1" s="1"/>
  <c r="P25" i="1"/>
  <c r="J37" i="1" s="1"/>
  <c r="M23" i="1"/>
  <c r="P22" i="1"/>
  <c r="P31" i="1"/>
  <c r="P30" i="1"/>
  <c r="M31" i="1"/>
  <c r="P33" i="1"/>
  <c r="J38" i="1" s="1"/>
  <c r="I39" i="1" a="1"/>
  <c r="I39" i="1" l="1"/>
  <c r="AF28" i="1"/>
  <c r="AF29" i="1" s="1"/>
  <c r="AB63" i="1"/>
  <c r="AC31" i="1" l="1"/>
  <c r="AC30" i="1"/>
  <c r="AC29" i="1"/>
  <c r="AC32" i="1"/>
  <c r="B15" i="1"/>
  <c r="AC33" i="1" l="1"/>
  <c r="AF31" i="1" s="1"/>
  <c r="AF35" i="1" s="1"/>
  <c r="AF36" i="1" s="1"/>
  <c r="AB64" i="1" l="1"/>
  <c r="AC36" i="1"/>
  <c r="AC37" i="1"/>
  <c r="AC39" i="1"/>
  <c r="AC38" i="1"/>
  <c r="AC40" i="1" l="1"/>
  <c r="AF38" i="1" s="1"/>
  <c r="AF42" i="1" s="1"/>
  <c r="AF43" i="1" s="1"/>
  <c r="AB65" i="1" l="1"/>
  <c r="AC45" i="1"/>
  <c r="AC43" i="1"/>
  <c r="AC46" i="1"/>
  <c r="AC44" i="1"/>
  <c r="U25" i="1"/>
  <c r="X23" i="1" s="1"/>
  <c r="T63" i="1" s="1"/>
  <c r="AD63" i="1" s="1"/>
  <c r="AC47" i="1" l="1"/>
  <c r="AF45" i="1" s="1"/>
  <c r="AB66" i="1" s="1"/>
  <c r="X28" i="1"/>
  <c r="X29" i="1" s="1"/>
  <c r="U32" i="1" a="1"/>
  <c r="U29" i="1" a="1"/>
  <c r="U30" i="1" a="1"/>
  <c r="U31" i="1" a="1"/>
  <c r="AF49" i="1" l="1"/>
  <c r="AF50" i="1" s="1"/>
  <c r="U31" i="1"/>
  <c r="U30" i="1"/>
  <c r="U29" i="1"/>
  <c r="U32" i="1"/>
  <c r="AC53" i="1"/>
  <c r="AC52" i="1"/>
  <c r="AC51" i="1"/>
  <c r="AC50" i="1"/>
  <c r="AC54" i="1" s="1"/>
  <c r="AF52" i="1" s="1"/>
  <c r="AB67" i="1" s="1"/>
  <c r="AF56" i="1" l="1"/>
  <c r="AF57" i="1" s="1"/>
  <c r="AC57" i="1" s="1"/>
  <c r="U33" i="1"/>
  <c r="X31" i="1" s="1"/>
  <c r="AC59" i="1" l="1"/>
  <c r="AC58" i="1"/>
  <c r="AC60" i="1"/>
  <c r="AC61" i="1"/>
  <c r="X35" i="1"/>
  <c r="X36" i="1" s="1"/>
  <c r="T64" i="1"/>
  <c r="AD64" i="1" s="1"/>
  <c r="U36" i="1" a="1"/>
  <c r="U38" i="1" a="1"/>
  <c r="U37" i="1" a="1"/>
  <c r="U39" i="1" a="1"/>
  <c r="U39" i="1" l="1"/>
  <c r="U38" i="1"/>
  <c r="U37" i="1"/>
  <c r="U36" i="1"/>
  <c r="AF59" i="1"/>
  <c r="AB68" i="1" s="1"/>
  <c r="U40" i="1"/>
  <c r="X38" i="1" s="1"/>
  <c r="B17" i="1" l="1"/>
  <c r="X42" i="1"/>
  <c r="X43" i="1" s="1"/>
  <c r="T65" i="1"/>
  <c r="AD65" i="1" s="1"/>
  <c r="U43" i="1" a="1"/>
  <c r="U45" i="1" a="1"/>
  <c r="U46" i="1" a="1"/>
  <c r="U44" i="1" a="1"/>
  <c r="U44" i="1" l="1"/>
  <c r="U43" i="1"/>
  <c r="U46" i="1"/>
  <c r="U45" i="1"/>
  <c r="U47" i="1" l="1"/>
  <c r="X45" i="1" s="1"/>
  <c r="T66" i="1" s="1"/>
  <c r="AD66" i="1" s="1"/>
  <c r="X49" i="1" l="1"/>
  <c r="X50" i="1" s="1"/>
  <c r="U52" i="1" a="1"/>
  <c r="U51" i="1" a="1"/>
  <c r="U50" i="1" a="1"/>
  <c r="U53" i="1" a="1"/>
  <c r="U53" i="1" l="1"/>
  <c r="U50" i="1"/>
  <c r="U51" i="1"/>
  <c r="U52" i="1"/>
  <c r="U54" i="1"/>
  <c r="X52" i="1" s="1"/>
  <c r="X56" i="1" s="1"/>
  <c r="X57" i="1" s="1"/>
  <c r="U57" i="1" a="1"/>
  <c r="U60" i="1" a="1"/>
  <c r="U58" i="1" a="1"/>
  <c r="U59" i="1" a="1"/>
  <c r="T67" i="1" l="1"/>
  <c r="AD67" i="1" s="1"/>
  <c r="U60" i="1"/>
  <c r="U59" i="1"/>
  <c r="U58" i="1"/>
  <c r="U57" i="1"/>
  <c r="U61" i="1" l="1"/>
  <c r="X59" i="1" s="1"/>
  <c r="B16" i="1" s="1"/>
  <c r="T68" i="1" l="1"/>
  <c r="AD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<sst xmlns="http://schemas.openxmlformats.org/spreadsheetml/2006/main" count="283" uniqueCount="130">
  <si>
    <t>C</t>
  </si>
  <si>
    <t>Data</t>
  </si>
  <si>
    <t>Fuel</t>
  </si>
  <si>
    <t>H</t>
  </si>
  <si>
    <t>MW</t>
  </si>
  <si>
    <t>hf</t>
  </si>
  <si>
    <t>C8H18(g)</t>
  </si>
  <si>
    <t>Tin (K)</t>
  </si>
  <si>
    <t>Tref</t>
  </si>
  <si>
    <t>Pin(atm)</t>
  </si>
  <si>
    <t>Enthalpy and entropy as a function of temperature</t>
  </si>
  <si>
    <t>Enthalpy of formation and abs entropy 25ºC,1atm</t>
  </si>
  <si>
    <t>T(K)</t>
  </si>
  <si>
    <t>CO2h</t>
  </si>
  <si>
    <t>CO2s</t>
  </si>
  <si>
    <t>H2Oh</t>
  </si>
  <si>
    <t>H2Os</t>
  </si>
  <si>
    <t>O2h</t>
  </si>
  <si>
    <t>O2s</t>
  </si>
  <si>
    <t>N2h</t>
  </si>
  <si>
    <t>N2s</t>
  </si>
  <si>
    <t>COh</t>
  </si>
  <si>
    <t>COs</t>
  </si>
  <si>
    <t>Substance</t>
  </si>
  <si>
    <t>Formula</t>
  </si>
  <si>
    <t>Hf</t>
  </si>
  <si>
    <t>Sº</t>
  </si>
  <si>
    <t>Element</t>
  </si>
  <si>
    <t>Units</t>
  </si>
  <si>
    <t>Acetylene Gas</t>
  </si>
  <si>
    <t>C2H2(g)</t>
  </si>
  <si>
    <t>lb/lb mol</t>
  </si>
  <si>
    <t>Bencene</t>
  </si>
  <si>
    <t>C6H6(g)</t>
  </si>
  <si>
    <t>Carbon dioxide</t>
  </si>
  <si>
    <t>CO2(g)</t>
  </si>
  <si>
    <t>Carbon monoxide</t>
  </si>
  <si>
    <t>CO(g)</t>
  </si>
  <si>
    <t>Iso-C4H10</t>
  </si>
  <si>
    <t>Ethane</t>
  </si>
  <si>
    <t>C2H6(g)</t>
  </si>
  <si>
    <t>Ethanol</t>
  </si>
  <si>
    <t>C2H5OH(g)</t>
  </si>
  <si>
    <t>Iso-C5H12</t>
  </si>
  <si>
    <t>C2H5OH(l)</t>
  </si>
  <si>
    <t>Metane</t>
  </si>
  <si>
    <t>CH4(g)</t>
  </si>
  <si>
    <t>C6H14</t>
  </si>
  <si>
    <t>Metyl alcohol</t>
  </si>
  <si>
    <t>CH3OH(g)</t>
  </si>
  <si>
    <t>N2</t>
  </si>
  <si>
    <t>CH3OH(l)</t>
  </si>
  <si>
    <t>n-butane</t>
  </si>
  <si>
    <t>C4H10(g)</t>
  </si>
  <si>
    <t>CO2</t>
  </si>
  <si>
    <t>n-dodecane</t>
  </si>
  <si>
    <t>C12H26(g)</t>
  </si>
  <si>
    <t>H2O</t>
  </si>
  <si>
    <t>Nitrogen</t>
  </si>
  <si>
    <t>H2</t>
  </si>
  <si>
    <t>n-octane</t>
  </si>
  <si>
    <t>H2S</t>
  </si>
  <si>
    <t>C8H18(l)</t>
  </si>
  <si>
    <t>HE</t>
  </si>
  <si>
    <t>n-pentane</t>
  </si>
  <si>
    <t>C5H12(g)</t>
  </si>
  <si>
    <t>O2</t>
  </si>
  <si>
    <t>Oxygen</t>
  </si>
  <si>
    <t>Ar</t>
  </si>
  <si>
    <t>Propane</t>
  </si>
  <si>
    <t>C3H8(g)</t>
  </si>
  <si>
    <t>Air Molar Mass Dry</t>
  </si>
  <si>
    <t>Water</t>
  </si>
  <si>
    <t>H2O(l)</t>
  </si>
  <si>
    <t>Water vapour</t>
  </si>
  <si>
    <t>H2O(g)</t>
  </si>
  <si>
    <t>Cp as a function of temperature</t>
  </si>
  <si>
    <t>T</t>
  </si>
  <si>
    <t>CO2cp</t>
  </si>
  <si>
    <t>H2Ocp</t>
  </si>
  <si>
    <t>O2cp</t>
  </si>
  <si>
    <t>N2cp</t>
  </si>
  <si>
    <t>Air</t>
  </si>
  <si>
    <t>kj/kmol</t>
  </si>
  <si>
    <t>Pin (atm)</t>
  </si>
  <si>
    <t>%theo</t>
  </si>
  <si>
    <t>%excess</t>
  </si>
  <si>
    <t>Theoretical balance</t>
  </si>
  <si>
    <t>Real balance</t>
  </si>
  <si>
    <t>Method 1</t>
  </si>
  <si>
    <t>Tad</t>
  </si>
  <si>
    <t>Reactants</t>
  </si>
  <si>
    <t>Tavg (K)</t>
  </si>
  <si>
    <t>Ni</t>
  </si>
  <si>
    <t>hsens</t>
  </si>
  <si>
    <t>Ni*H</t>
  </si>
  <si>
    <t>Hreact</t>
  </si>
  <si>
    <t>Products: iteration 1</t>
  </si>
  <si>
    <t>Cpavg</t>
  </si>
  <si>
    <t>Tguess (K)</t>
  </si>
  <si>
    <t>Tad=</t>
  </si>
  <si>
    <t>Products: iteration 2</t>
  </si>
  <si>
    <t>NR*hfR</t>
  </si>
  <si>
    <t>NR*hsR</t>
  </si>
  <si>
    <t>H@Tin</t>
  </si>
  <si>
    <t>H@Tref</t>
  </si>
  <si>
    <t>H@Tad</t>
  </si>
  <si>
    <t>NR*hTR</t>
  </si>
  <si>
    <t>NR*href</t>
  </si>
  <si>
    <t>Total</t>
  </si>
  <si>
    <t>Interpolation</t>
  </si>
  <si>
    <t>T1guess</t>
  </si>
  <si>
    <t>T2guess</t>
  </si>
  <si>
    <t>Method 2</t>
  </si>
  <si>
    <t>Method 3</t>
  </si>
  <si>
    <t>Determine Tad - Interpolation</t>
  </si>
  <si>
    <t>COcp</t>
  </si>
  <si>
    <t>Products: iteration 3</t>
  </si>
  <si>
    <t>Products: iteration 4</t>
  </si>
  <si>
    <t>Products: iteration 5</t>
  </si>
  <si>
    <t>Products: iteration 6</t>
  </si>
  <si>
    <t>Determine Tad - CPs Avg</t>
  </si>
  <si>
    <t>Determine Tad - CP Poly</t>
  </si>
  <si>
    <t>Ai</t>
  </si>
  <si>
    <t>Bi</t>
  </si>
  <si>
    <t>Ci</t>
  </si>
  <si>
    <t>Di</t>
  </si>
  <si>
    <r>
      <t>CO</t>
    </r>
    <r>
      <rPr>
        <vertAlign val="subscript"/>
        <sz val="12"/>
        <color rgb="FF000000"/>
        <rFont val="Varela Round"/>
      </rPr>
      <t>2</t>
    </r>
  </si>
  <si>
    <r>
      <t>H</t>
    </r>
    <r>
      <rPr>
        <vertAlign val="subscript"/>
        <sz val="12"/>
        <color rgb="FF000000"/>
        <rFont val="Varela Round"/>
      </rPr>
      <t>2</t>
    </r>
    <r>
      <rPr>
        <sz val="12"/>
        <color rgb="FF000000"/>
        <rFont val="Varela Round"/>
      </rPr>
      <t>O</t>
    </r>
  </si>
  <si>
    <r>
      <t>N</t>
    </r>
    <r>
      <rPr>
        <vertAlign val="subscript"/>
        <sz val="12"/>
        <color rgb="FF000000"/>
        <rFont val="Varela Round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</si>
</sst>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 (Body)"/>
    </font>
    <font>
      <sz val="10"/>
      <color theme="1"/>
      <name val="Calibri (Body)"/>
    </font>
    <font>
      <b/>
      <sz val="10"/>
      <color theme="1"/>
      <name val="Calibri (Body)"/>
    </font>
    <font>
      <sz val="10"/>
      <name val="Calibri (Body)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Varela Round"/>
    </font>
    <font>
      <vertAlign val="subscript"/>
      <sz val="12"/>
      <color rgb="FF000000"/>
      <name val="Varela Round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2EAF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BACC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3" applyFont="1"/>
    <xf numFmtId="0" fontId="4" fillId="0" borderId="0" xfId="3" applyFont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7" fillId="0" borderId="0" xfId="3" applyFont="1"/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horizontal="center" vertical="center" wrapText="1"/>
    </xf>
    <xf numFmtId="3" fontId="7" fillId="0" borderId="0" xfId="3" applyNumberFormat="1" applyFont="1" applyAlignment="1">
      <alignment horizontal="center" vertical="center"/>
    </xf>
    <xf numFmtId="0" fontId="4" fillId="3" borderId="0" xfId="3" applyFont="1" applyFill="1" applyAlignment="1">
      <alignment horizontal="center" vertical="center"/>
    </xf>
    <xf numFmtId="0" fontId="7" fillId="3" borderId="0" xfId="3" applyFont="1" applyFill="1" applyAlignment="1">
      <alignment horizontal="center" vertical="center"/>
    </xf>
    <xf numFmtId="0" fontId="7" fillId="3" borderId="0" xfId="3" applyFont="1" applyFill="1" applyAlignment="1">
      <alignment horizontal="center" vertical="center" wrapText="1"/>
    </xf>
    <xf numFmtId="3" fontId="7" fillId="3" borderId="0" xfId="3" applyNumberFormat="1" applyFont="1" applyFill="1" applyAlignment="1">
      <alignment horizontal="center" vertical="center"/>
    </xf>
    <xf numFmtId="0" fontId="3" fillId="0" borderId="0" xfId="3"/>
    <xf numFmtId="165" fontId="7" fillId="0" borderId="0" xfId="3" applyNumberFormat="1" applyFont="1"/>
    <xf numFmtId="0" fontId="7" fillId="0" borderId="0" xfId="3" applyFont="1" applyAlignment="1">
      <alignment horizontal="center"/>
    </xf>
    <xf numFmtId="0" fontId="0" fillId="5" borderId="0" xfId="0" applyFill="1"/>
    <xf numFmtId="0" fontId="8" fillId="2" borderId="0" xfId="2" applyFont="1"/>
    <xf numFmtId="0" fontId="9" fillId="0" borderId="0" xfId="4"/>
    <xf numFmtId="3" fontId="0" fillId="0" borderId="0" xfId="1" applyNumberFormat="1" applyFont="1"/>
    <xf numFmtId="3" fontId="0" fillId="0" borderId="0" xfId="0" applyNumberFormat="1"/>
    <xf numFmtId="2" fontId="0" fillId="0" borderId="0" xfId="0" applyNumberFormat="1"/>
    <xf numFmtId="0" fontId="11" fillId="0" borderId="0" xfId="0" applyFont="1"/>
    <xf numFmtId="0" fontId="11" fillId="0" borderId="0" xfId="0" applyFont="1" applyAlignment="1">
      <alignment horizontal="center"/>
    </xf>
    <xf numFmtId="0" fontId="4" fillId="0" borderId="2" xfId="3" applyFont="1" applyBorder="1" applyAlignment="1">
      <alignment horizontal="center"/>
    </xf>
    <xf numFmtId="0" fontId="7" fillId="4" borderId="0" xfId="3" applyFont="1" applyFill="1" applyAlignment="1">
      <alignment horizontal="center"/>
    </xf>
    <xf numFmtId="0" fontId="11" fillId="5" borderId="0" xfId="0" applyFont="1" applyFill="1"/>
    <xf numFmtId="0" fontId="11" fillId="6" borderId="0" xfId="0" applyFont="1" applyFill="1" applyAlignment="1">
      <alignment horizontal="center"/>
    </xf>
  </cellXfs>
  <cellStyles count="5">
    <cellStyle name="Comma" xfId="1" builtinId="3"/>
    <cellStyle name="Good" xfId="2" builtinId="26"/>
    <cellStyle name="Hyperlink" xfId="4" builtinId="8"/>
    <cellStyle name="Normal" xfId="0" builtinId="0"/>
    <cellStyle name="Normal 2" xfId="3" xr:uid="{236E5A55-AC26-4297-A02F-ADA9C20612C9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rgb="FF4BACC6"/>
        </top>
        <bottom style="medium">
          <color rgb="FF4BAC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(Body)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 as function of 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Datos!$C$37</c:f>
              <c:strCache>
                <c:ptCount val="1"/>
                <c:pt idx="0">
                  <c:v>CO2cp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Datos!$B$38:$B$59</c:f>
              <c:numCache>
                <c:formatCode>General</c:formatCode>
                <c:ptCount val="22"/>
                <c:pt idx="0">
                  <c:v>298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  <c:pt idx="13">
                  <c:v>2000</c:v>
                </c:pt>
                <c:pt idx="14">
                  <c:v>2200</c:v>
                </c:pt>
                <c:pt idx="15">
                  <c:v>2400</c:v>
                </c:pt>
                <c:pt idx="16">
                  <c:v>2600</c:v>
                </c:pt>
                <c:pt idx="17">
                  <c:v>2800</c:v>
                </c:pt>
                <c:pt idx="18">
                  <c:v>3000</c:v>
                </c:pt>
                <c:pt idx="19">
                  <c:v>3200</c:v>
                </c:pt>
                <c:pt idx="20">
                  <c:v>3400</c:v>
                </c:pt>
                <c:pt idx="21">
                  <c:v>3500</c:v>
                </c:pt>
              </c:numCache>
            </c:numRef>
          </c:xVal>
          <c:yVal>
            <c:numRef>
              <c:f>Datos!$C$38:$C$59</c:f>
              <c:numCache>
                <c:formatCode>General</c:formatCode>
                <c:ptCount val="22"/>
                <c:pt idx="0">
                  <c:v>37.200000000000003</c:v>
                </c:pt>
                <c:pt idx="1">
                  <c:v>37.28</c:v>
                </c:pt>
                <c:pt idx="2">
                  <c:v>41.27</c:v>
                </c:pt>
                <c:pt idx="3">
                  <c:v>44.57</c:v>
                </c:pt>
                <c:pt idx="4">
                  <c:v>47.31</c:v>
                </c:pt>
                <c:pt idx="5">
                  <c:v>49.61</c:v>
                </c:pt>
                <c:pt idx="6">
                  <c:v>51.55</c:v>
                </c:pt>
                <c:pt idx="7">
                  <c:v>53.13</c:v>
                </c:pt>
                <c:pt idx="8">
                  <c:v>54.36</c:v>
                </c:pt>
                <c:pt idx="9">
                  <c:v>56.2</c:v>
                </c:pt>
                <c:pt idx="10">
                  <c:v>57.67</c:v>
                </c:pt>
                <c:pt idx="11">
                  <c:v>58.83</c:v>
                </c:pt>
                <c:pt idx="12">
                  <c:v>59.73</c:v>
                </c:pt>
                <c:pt idx="13">
                  <c:v>60.43</c:v>
                </c:pt>
                <c:pt idx="14">
                  <c:v>60.96</c:v>
                </c:pt>
                <c:pt idx="15">
                  <c:v>61.37</c:v>
                </c:pt>
                <c:pt idx="16">
                  <c:v>61.7</c:v>
                </c:pt>
                <c:pt idx="17">
                  <c:v>61.96</c:v>
                </c:pt>
                <c:pt idx="18">
                  <c:v>62.19</c:v>
                </c:pt>
                <c:pt idx="19">
                  <c:v>62.4</c:v>
                </c:pt>
                <c:pt idx="20">
                  <c:v>62.61</c:v>
                </c:pt>
                <c:pt idx="21">
                  <c:v>62.72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77-4BC3-93EB-BAC881394A9D}"/>
            </c:ext>
          </c:extLst>
        </c:ser>
        <c:ser>
          <c:idx val="1"/>
          <c:order val="1"/>
          <c:tx>
            <c:strRef>
              <c:f>Datos!$D$37</c:f>
              <c:strCache>
                <c:ptCount val="1"/>
                <c:pt idx="0">
                  <c:v>H2Ocp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Datos!$B$38:$B$59</c:f>
              <c:numCache>
                <c:formatCode>General</c:formatCode>
                <c:ptCount val="22"/>
                <c:pt idx="0">
                  <c:v>298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  <c:pt idx="13">
                  <c:v>2000</c:v>
                </c:pt>
                <c:pt idx="14">
                  <c:v>2200</c:v>
                </c:pt>
                <c:pt idx="15">
                  <c:v>2400</c:v>
                </c:pt>
                <c:pt idx="16">
                  <c:v>2600</c:v>
                </c:pt>
                <c:pt idx="17">
                  <c:v>2800</c:v>
                </c:pt>
                <c:pt idx="18">
                  <c:v>3000</c:v>
                </c:pt>
                <c:pt idx="19">
                  <c:v>3200</c:v>
                </c:pt>
                <c:pt idx="20">
                  <c:v>3400</c:v>
                </c:pt>
                <c:pt idx="21">
                  <c:v>3500</c:v>
                </c:pt>
              </c:numCache>
            </c:numRef>
          </c:xVal>
          <c:yVal>
            <c:numRef>
              <c:f>Datos!$D$38:$D$59</c:f>
              <c:numCache>
                <c:formatCode>General</c:formatCode>
                <c:ptCount val="22"/>
                <c:pt idx="0">
                  <c:v>33.450000000000003</c:v>
                </c:pt>
                <c:pt idx="1">
                  <c:v>33.47</c:v>
                </c:pt>
                <c:pt idx="2">
                  <c:v>34.44</c:v>
                </c:pt>
                <c:pt idx="3">
                  <c:v>35.340000000000003</c:v>
                </c:pt>
                <c:pt idx="4">
                  <c:v>36.29</c:v>
                </c:pt>
                <c:pt idx="5">
                  <c:v>37.36</c:v>
                </c:pt>
                <c:pt idx="6">
                  <c:v>38.590000000000003</c:v>
                </c:pt>
                <c:pt idx="7">
                  <c:v>39.93</c:v>
                </c:pt>
                <c:pt idx="8">
                  <c:v>41.31</c:v>
                </c:pt>
                <c:pt idx="9">
                  <c:v>43.87</c:v>
                </c:pt>
                <c:pt idx="10">
                  <c:v>46.1</c:v>
                </c:pt>
                <c:pt idx="11">
                  <c:v>48.03</c:v>
                </c:pt>
                <c:pt idx="12">
                  <c:v>49.7</c:v>
                </c:pt>
                <c:pt idx="13">
                  <c:v>51.14</c:v>
                </c:pt>
                <c:pt idx="14">
                  <c:v>52.38</c:v>
                </c:pt>
                <c:pt idx="15">
                  <c:v>53.43</c:v>
                </c:pt>
                <c:pt idx="16">
                  <c:v>54.34</c:v>
                </c:pt>
                <c:pt idx="17">
                  <c:v>55.11</c:v>
                </c:pt>
                <c:pt idx="18">
                  <c:v>55.78</c:v>
                </c:pt>
                <c:pt idx="19">
                  <c:v>56.35</c:v>
                </c:pt>
                <c:pt idx="20">
                  <c:v>56.85</c:v>
                </c:pt>
                <c:pt idx="21">
                  <c:v>57.07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77-4BC3-93EB-BAC881394A9D}"/>
            </c:ext>
          </c:extLst>
        </c:ser>
        <c:ser>
          <c:idx val="2"/>
          <c:order val="2"/>
          <c:tx>
            <c:strRef>
              <c:f>Datos!$E$37</c:f>
              <c:strCache>
                <c:ptCount val="1"/>
                <c:pt idx="0">
                  <c:v>O2cp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Datos!$B$38:$B$59</c:f>
              <c:numCache>
                <c:formatCode>General</c:formatCode>
                <c:ptCount val="22"/>
                <c:pt idx="0">
                  <c:v>298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  <c:pt idx="13">
                  <c:v>2000</c:v>
                </c:pt>
                <c:pt idx="14">
                  <c:v>2200</c:v>
                </c:pt>
                <c:pt idx="15">
                  <c:v>2400</c:v>
                </c:pt>
                <c:pt idx="16">
                  <c:v>2600</c:v>
                </c:pt>
                <c:pt idx="17">
                  <c:v>2800</c:v>
                </c:pt>
                <c:pt idx="18">
                  <c:v>3000</c:v>
                </c:pt>
                <c:pt idx="19">
                  <c:v>3200</c:v>
                </c:pt>
                <c:pt idx="20">
                  <c:v>3400</c:v>
                </c:pt>
                <c:pt idx="21">
                  <c:v>3500</c:v>
                </c:pt>
              </c:numCache>
            </c:numRef>
          </c:xVal>
          <c:yVal>
            <c:numRef>
              <c:f>Datos!$E$38:$E$59</c:f>
              <c:numCache>
                <c:formatCode>General</c:formatCode>
                <c:ptCount val="22"/>
                <c:pt idx="0">
                  <c:v>29.31</c:v>
                </c:pt>
                <c:pt idx="1">
                  <c:v>29.33</c:v>
                </c:pt>
                <c:pt idx="2">
                  <c:v>30.21</c:v>
                </c:pt>
                <c:pt idx="3">
                  <c:v>31.11</c:v>
                </c:pt>
                <c:pt idx="4">
                  <c:v>32.03</c:v>
                </c:pt>
                <c:pt idx="5">
                  <c:v>32.93</c:v>
                </c:pt>
                <c:pt idx="6">
                  <c:v>33.76</c:v>
                </c:pt>
                <c:pt idx="7">
                  <c:v>34.450000000000003</c:v>
                </c:pt>
                <c:pt idx="8">
                  <c:v>34.93</c:v>
                </c:pt>
                <c:pt idx="9">
                  <c:v>35.590000000000003</c:v>
                </c:pt>
                <c:pt idx="10">
                  <c:v>36.200000000000003</c:v>
                </c:pt>
                <c:pt idx="11">
                  <c:v>36.770000000000003</c:v>
                </c:pt>
                <c:pt idx="12">
                  <c:v>37.29</c:v>
                </c:pt>
                <c:pt idx="13">
                  <c:v>37.79</c:v>
                </c:pt>
                <c:pt idx="14">
                  <c:v>38.25</c:v>
                </c:pt>
                <c:pt idx="15">
                  <c:v>38.68</c:v>
                </c:pt>
                <c:pt idx="16">
                  <c:v>39.090000000000003</c:v>
                </c:pt>
                <c:pt idx="17">
                  <c:v>39.479999999999997</c:v>
                </c:pt>
                <c:pt idx="18">
                  <c:v>39.840000000000003</c:v>
                </c:pt>
                <c:pt idx="19">
                  <c:v>40.19</c:v>
                </c:pt>
                <c:pt idx="20">
                  <c:v>40.520000000000003</c:v>
                </c:pt>
                <c:pt idx="21">
                  <c:v>40.68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77-4BC3-93EB-BAC881394A9D}"/>
            </c:ext>
          </c:extLst>
        </c:ser>
        <c:ser>
          <c:idx val="3"/>
          <c:order val="3"/>
          <c:tx>
            <c:strRef>
              <c:f>Datos!$F$37</c:f>
              <c:strCache>
                <c:ptCount val="1"/>
                <c:pt idx="0">
                  <c:v>N2cp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Datos!$B$38:$B$59</c:f>
              <c:numCache>
                <c:formatCode>General</c:formatCode>
                <c:ptCount val="22"/>
                <c:pt idx="0">
                  <c:v>298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  <c:pt idx="13">
                  <c:v>2000</c:v>
                </c:pt>
                <c:pt idx="14">
                  <c:v>2200</c:v>
                </c:pt>
                <c:pt idx="15">
                  <c:v>2400</c:v>
                </c:pt>
                <c:pt idx="16">
                  <c:v>2600</c:v>
                </c:pt>
                <c:pt idx="17">
                  <c:v>2800</c:v>
                </c:pt>
                <c:pt idx="18">
                  <c:v>3000</c:v>
                </c:pt>
                <c:pt idx="19">
                  <c:v>3200</c:v>
                </c:pt>
                <c:pt idx="20">
                  <c:v>3400</c:v>
                </c:pt>
                <c:pt idx="21">
                  <c:v>3500</c:v>
                </c:pt>
              </c:numCache>
            </c:numRef>
          </c:xVal>
          <c:yVal>
            <c:numRef>
              <c:f>Datos!$F$38:$F$59</c:f>
              <c:numCache>
                <c:formatCode>General</c:formatCode>
                <c:ptCount val="22"/>
                <c:pt idx="0">
                  <c:v>29.07</c:v>
                </c:pt>
                <c:pt idx="1">
                  <c:v>29.07</c:v>
                </c:pt>
                <c:pt idx="2">
                  <c:v>29.32</c:v>
                </c:pt>
                <c:pt idx="3">
                  <c:v>29.63</c:v>
                </c:pt>
                <c:pt idx="4">
                  <c:v>30.08</c:v>
                </c:pt>
                <c:pt idx="5">
                  <c:v>30.68</c:v>
                </c:pt>
                <c:pt idx="6">
                  <c:v>31.39</c:v>
                </c:pt>
                <c:pt idx="7">
                  <c:v>32.130000000000003</c:v>
                </c:pt>
                <c:pt idx="8">
                  <c:v>32.76</c:v>
                </c:pt>
                <c:pt idx="9">
                  <c:v>33.71</c:v>
                </c:pt>
                <c:pt idx="10">
                  <c:v>34.479999999999997</c:v>
                </c:pt>
                <c:pt idx="11">
                  <c:v>35.1</c:v>
                </c:pt>
                <c:pt idx="12">
                  <c:v>35.590000000000003</c:v>
                </c:pt>
                <c:pt idx="13">
                  <c:v>35.99</c:v>
                </c:pt>
                <c:pt idx="14">
                  <c:v>36.299999999999997</c:v>
                </c:pt>
                <c:pt idx="15">
                  <c:v>36.54</c:v>
                </c:pt>
                <c:pt idx="16">
                  <c:v>36.74</c:v>
                </c:pt>
                <c:pt idx="17">
                  <c:v>36.89</c:v>
                </c:pt>
                <c:pt idx="18">
                  <c:v>37.03</c:v>
                </c:pt>
                <c:pt idx="19">
                  <c:v>37.14</c:v>
                </c:pt>
                <c:pt idx="20">
                  <c:v>37.25</c:v>
                </c:pt>
                <c:pt idx="21">
                  <c:v>37.299999999999997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277-4BC3-93EB-BAC881394A9D}"/>
            </c:ext>
          </c:extLst>
        </c:ser>
        <c:ser>
          <c:idx val="4"/>
          <c:order val="4"/>
          <c:tx>
            <c:strRef>
              <c:f>Datos!$G$37</c:f>
              <c:strCache>
                <c:ptCount val="1"/>
                <c:pt idx="0">
                  <c:v>COcp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Datos!$B$38:$B$59</c:f>
              <c:numCache>
                <c:formatCode>General</c:formatCode>
                <c:ptCount val="22"/>
                <c:pt idx="0">
                  <c:v>298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  <c:pt idx="13">
                  <c:v>2000</c:v>
                </c:pt>
                <c:pt idx="14">
                  <c:v>2200</c:v>
                </c:pt>
                <c:pt idx="15">
                  <c:v>2400</c:v>
                </c:pt>
                <c:pt idx="16">
                  <c:v>2600</c:v>
                </c:pt>
                <c:pt idx="17">
                  <c:v>2800</c:v>
                </c:pt>
                <c:pt idx="18">
                  <c:v>3000</c:v>
                </c:pt>
                <c:pt idx="19">
                  <c:v>3200</c:v>
                </c:pt>
                <c:pt idx="20">
                  <c:v>3400</c:v>
                </c:pt>
                <c:pt idx="21">
                  <c:v>3500</c:v>
                </c:pt>
              </c:numCache>
            </c:numRef>
          </c:xVal>
          <c:yVal>
            <c:numRef>
              <c:f>Datos!$G$38:$G$59</c:f>
              <c:numCache>
                <c:formatCode>General</c:formatCode>
                <c:ptCount val="22"/>
                <c:pt idx="0">
                  <c:v>29.07</c:v>
                </c:pt>
                <c:pt idx="1">
                  <c:v>29.08</c:v>
                </c:pt>
                <c:pt idx="2">
                  <c:v>29.43</c:v>
                </c:pt>
                <c:pt idx="3">
                  <c:v>29.86</c:v>
                </c:pt>
                <c:pt idx="4">
                  <c:v>30.41</c:v>
                </c:pt>
                <c:pt idx="5">
                  <c:v>31.09</c:v>
                </c:pt>
                <c:pt idx="6">
                  <c:v>31.86</c:v>
                </c:pt>
                <c:pt idx="7">
                  <c:v>32.630000000000003</c:v>
                </c:pt>
                <c:pt idx="8">
                  <c:v>33.25</c:v>
                </c:pt>
                <c:pt idx="9">
                  <c:v>34.15</c:v>
                </c:pt>
                <c:pt idx="10">
                  <c:v>34.869999999999997</c:v>
                </c:pt>
                <c:pt idx="11">
                  <c:v>35.450000000000003</c:v>
                </c:pt>
                <c:pt idx="12">
                  <c:v>35.909999999999997</c:v>
                </c:pt>
                <c:pt idx="13">
                  <c:v>36.270000000000003</c:v>
                </c:pt>
                <c:pt idx="14">
                  <c:v>36.549999999999997</c:v>
                </c:pt>
                <c:pt idx="15">
                  <c:v>36.770000000000003</c:v>
                </c:pt>
                <c:pt idx="16">
                  <c:v>36.950000000000003</c:v>
                </c:pt>
                <c:pt idx="17">
                  <c:v>37.090000000000003</c:v>
                </c:pt>
                <c:pt idx="18">
                  <c:v>37.21</c:v>
                </c:pt>
                <c:pt idx="19">
                  <c:v>37.32</c:v>
                </c:pt>
                <c:pt idx="20">
                  <c:v>37.42</c:v>
                </c:pt>
                <c:pt idx="21">
                  <c:v>37.47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277-4BC3-93EB-BAC881394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39952"/>
        <c:axId val="421337456"/>
      </c:scatterChart>
      <c:valAx>
        <c:axId val="42133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37456"/>
        <c:crosses val="autoZero"/>
        <c:crossBetween val="midCat"/>
      </c:valAx>
      <c:valAx>
        <c:axId val="421337456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3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Entalphies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</c:f>
              <c:strCache>
                <c:ptCount val="1"/>
                <c:pt idx="0">
                  <c:v>CO2h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258698850890977"/>
                  <c:y val="1.60039984622060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Datos!$B$3:$B$33</c:f>
              <c:numCache>
                <c:formatCode>General</c:formatCode>
                <c:ptCount val="31"/>
                <c:pt idx="0">
                  <c:v>250</c:v>
                </c:pt>
                <c:pt idx="1">
                  <c:v>270</c:v>
                </c:pt>
                <c:pt idx="2">
                  <c:v>298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</c:numCache>
            </c:numRef>
          </c:xVal>
          <c:yVal>
            <c:numRef>
              <c:f>Datos!$C$3:$C$33</c:f>
              <c:numCache>
                <c:formatCode>General</c:formatCode>
                <c:ptCount val="31"/>
                <c:pt idx="0">
                  <c:v>7266</c:v>
                </c:pt>
                <c:pt idx="1">
                  <c:v>8335</c:v>
                </c:pt>
                <c:pt idx="2">
                  <c:v>9364</c:v>
                </c:pt>
                <c:pt idx="3">
                  <c:v>13372</c:v>
                </c:pt>
                <c:pt idx="4">
                  <c:v>17678</c:v>
                </c:pt>
                <c:pt idx="5">
                  <c:v>22280</c:v>
                </c:pt>
                <c:pt idx="6">
                  <c:v>27125</c:v>
                </c:pt>
                <c:pt idx="7">
                  <c:v>32179</c:v>
                </c:pt>
                <c:pt idx="8">
                  <c:v>37405</c:v>
                </c:pt>
                <c:pt idx="9">
                  <c:v>42769</c:v>
                </c:pt>
                <c:pt idx="10">
                  <c:v>48258</c:v>
                </c:pt>
                <c:pt idx="11">
                  <c:v>53848</c:v>
                </c:pt>
                <c:pt idx="12">
                  <c:v>59522</c:v>
                </c:pt>
                <c:pt idx="13">
                  <c:v>65271</c:v>
                </c:pt>
                <c:pt idx="14">
                  <c:v>71078</c:v>
                </c:pt>
                <c:pt idx="15">
                  <c:v>76944</c:v>
                </c:pt>
                <c:pt idx="16">
                  <c:v>82856</c:v>
                </c:pt>
                <c:pt idx="17">
                  <c:v>88806</c:v>
                </c:pt>
                <c:pt idx="18">
                  <c:v>94793</c:v>
                </c:pt>
                <c:pt idx="19">
                  <c:v>100804</c:v>
                </c:pt>
                <c:pt idx="20">
                  <c:v>106864</c:v>
                </c:pt>
                <c:pt idx="21">
                  <c:v>112939</c:v>
                </c:pt>
                <c:pt idx="22">
                  <c:v>119035</c:v>
                </c:pt>
                <c:pt idx="23">
                  <c:v>125152</c:v>
                </c:pt>
                <c:pt idx="24">
                  <c:v>131290</c:v>
                </c:pt>
                <c:pt idx="25">
                  <c:v>137449</c:v>
                </c:pt>
                <c:pt idx="26">
                  <c:v>143620</c:v>
                </c:pt>
                <c:pt idx="27">
                  <c:v>149808</c:v>
                </c:pt>
                <c:pt idx="28">
                  <c:v>156009</c:v>
                </c:pt>
                <c:pt idx="29">
                  <c:v>162226</c:v>
                </c:pt>
                <c:pt idx="30">
                  <c:v>160456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D6-4AFF-B6F5-918A0F3982CD}"/>
            </c:ext>
          </c:extLst>
        </c:ser>
        <c:ser>
          <c:idx val="1"/>
          <c:order val="1"/>
          <c:tx>
            <c:strRef>
              <c:f>Datos!$E$2</c:f>
              <c:strCache>
                <c:ptCount val="1"/>
                <c:pt idx="0">
                  <c:v>H2Oh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985826145459854"/>
                  <c:y val="3.45087686682165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Datos!$B$3:$B$33</c:f>
              <c:numCache>
                <c:formatCode>General</c:formatCode>
                <c:ptCount val="31"/>
                <c:pt idx="0">
                  <c:v>250</c:v>
                </c:pt>
                <c:pt idx="1">
                  <c:v>270</c:v>
                </c:pt>
                <c:pt idx="2">
                  <c:v>298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</c:numCache>
            </c:numRef>
          </c:xVal>
          <c:yVal>
            <c:numRef>
              <c:f>Datos!$E$3:$E$33</c:f>
              <c:numCache>
                <c:formatCode>General</c:formatCode>
                <c:ptCount val="31"/>
                <c:pt idx="0">
                  <c:v>8294</c:v>
                </c:pt>
                <c:pt idx="1">
                  <c:v>8961</c:v>
                </c:pt>
                <c:pt idx="2">
                  <c:v>9904</c:v>
                </c:pt>
                <c:pt idx="3">
                  <c:v>13356</c:v>
                </c:pt>
                <c:pt idx="4">
                  <c:v>16828</c:v>
                </c:pt>
                <c:pt idx="5">
                  <c:v>20402</c:v>
                </c:pt>
                <c:pt idx="6">
                  <c:v>24088</c:v>
                </c:pt>
                <c:pt idx="7">
                  <c:v>27896</c:v>
                </c:pt>
                <c:pt idx="8">
                  <c:v>31828</c:v>
                </c:pt>
                <c:pt idx="9">
                  <c:v>35882</c:v>
                </c:pt>
                <c:pt idx="10">
                  <c:v>40071</c:v>
                </c:pt>
                <c:pt idx="11">
                  <c:v>44380</c:v>
                </c:pt>
                <c:pt idx="12">
                  <c:v>48807</c:v>
                </c:pt>
                <c:pt idx="13">
                  <c:v>53351</c:v>
                </c:pt>
                <c:pt idx="14">
                  <c:v>57999</c:v>
                </c:pt>
                <c:pt idx="15">
                  <c:v>62748</c:v>
                </c:pt>
                <c:pt idx="16">
                  <c:v>67589</c:v>
                </c:pt>
                <c:pt idx="17">
                  <c:v>72513</c:v>
                </c:pt>
                <c:pt idx="18">
                  <c:v>77517</c:v>
                </c:pt>
                <c:pt idx="19">
                  <c:v>82593</c:v>
                </c:pt>
                <c:pt idx="20">
                  <c:v>87735</c:v>
                </c:pt>
                <c:pt idx="21">
                  <c:v>92940</c:v>
                </c:pt>
                <c:pt idx="22">
                  <c:v>98199</c:v>
                </c:pt>
                <c:pt idx="23">
                  <c:v>103508</c:v>
                </c:pt>
                <c:pt idx="24">
                  <c:v>108868</c:v>
                </c:pt>
                <c:pt idx="25">
                  <c:v>114273</c:v>
                </c:pt>
                <c:pt idx="26">
                  <c:v>119717</c:v>
                </c:pt>
                <c:pt idx="27">
                  <c:v>125198</c:v>
                </c:pt>
                <c:pt idx="28">
                  <c:v>130717</c:v>
                </c:pt>
                <c:pt idx="29">
                  <c:v>136264</c:v>
                </c:pt>
                <c:pt idx="30">
                  <c:v>141846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D6-4AFF-B6F5-918A0F3982CD}"/>
            </c:ext>
          </c:extLst>
        </c:ser>
        <c:ser>
          <c:idx val="2"/>
          <c:order val="2"/>
          <c:tx>
            <c:strRef>
              <c:f>Datos!$G$2</c:f>
              <c:strCache>
                <c:ptCount val="1"/>
                <c:pt idx="0">
                  <c:v>O2h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Datos!$B$3:$B$33</c:f>
              <c:numCache>
                <c:formatCode>General</c:formatCode>
                <c:ptCount val="31"/>
                <c:pt idx="0">
                  <c:v>250</c:v>
                </c:pt>
                <c:pt idx="1">
                  <c:v>270</c:v>
                </c:pt>
                <c:pt idx="2">
                  <c:v>298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</c:numCache>
            </c:numRef>
          </c:xVal>
          <c:yVal>
            <c:numRef>
              <c:f>Datos!$G$3:$G$33</c:f>
              <c:numCache>
                <c:formatCode>General</c:formatCode>
                <c:ptCount val="31"/>
                <c:pt idx="0">
                  <c:v>7275</c:v>
                </c:pt>
                <c:pt idx="1">
                  <c:v>7858</c:v>
                </c:pt>
                <c:pt idx="2">
                  <c:v>8682</c:v>
                </c:pt>
                <c:pt idx="3">
                  <c:v>11711</c:v>
                </c:pt>
                <c:pt idx="4">
                  <c:v>14770</c:v>
                </c:pt>
                <c:pt idx="5">
                  <c:v>17929</c:v>
                </c:pt>
                <c:pt idx="6">
                  <c:v>21184</c:v>
                </c:pt>
                <c:pt idx="7">
                  <c:v>23523</c:v>
                </c:pt>
                <c:pt idx="8">
                  <c:v>27928</c:v>
                </c:pt>
                <c:pt idx="9">
                  <c:v>31389</c:v>
                </c:pt>
                <c:pt idx="10">
                  <c:v>34899</c:v>
                </c:pt>
                <c:pt idx="11">
                  <c:v>38447</c:v>
                </c:pt>
                <c:pt idx="12">
                  <c:v>42033</c:v>
                </c:pt>
                <c:pt idx="13">
                  <c:v>45648</c:v>
                </c:pt>
                <c:pt idx="14">
                  <c:v>49292</c:v>
                </c:pt>
                <c:pt idx="15">
                  <c:v>52961</c:v>
                </c:pt>
                <c:pt idx="16">
                  <c:v>56652</c:v>
                </c:pt>
                <c:pt idx="17">
                  <c:v>60371</c:v>
                </c:pt>
                <c:pt idx="18">
                  <c:v>64116</c:v>
                </c:pt>
                <c:pt idx="19">
                  <c:v>67881</c:v>
                </c:pt>
                <c:pt idx="20">
                  <c:v>71668</c:v>
                </c:pt>
                <c:pt idx="21">
                  <c:v>75484</c:v>
                </c:pt>
                <c:pt idx="22">
                  <c:v>79316</c:v>
                </c:pt>
                <c:pt idx="23">
                  <c:v>83174</c:v>
                </c:pt>
                <c:pt idx="24">
                  <c:v>87057</c:v>
                </c:pt>
                <c:pt idx="25">
                  <c:v>90956</c:v>
                </c:pt>
                <c:pt idx="26">
                  <c:v>94881</c:v>
                </c:pt>
                <c:pt idx="27">
                  <c:v>98826</c:v>
                </c:pt>
                <c:pt idx="28">
                  <c:v>102793</c:v>
                </c:pt>
                <c:pt idx="29">
                  <c:v>106780</c:v>
                </c:pt>
                <c:pt idx="30">
                  <c:v>110784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D6-4AFF-B6F5-918A0F3982CD}"/>
            </c:ext>
          </c:extLst>
        </c:ser>
        <c:ser>
          <c:idx val="3"/>
          <c:order val="3"/>
          <c:tx>
            <c:strRef>
              <c:f>Datos!$I$2</c:f>
              <c:strCache>
                <c:ptCount val="1"/>
                <c:pt idx="0">
                  <c:v>N2h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Datos!$B$3:$B$33</c:f>
              <c:numCache>
                <c:formatCode>General</c:formatCode>
                <c:ptCount val="31"/>
                <c:pt idx="0">
                  <c:v>250</c:v>
                </c:pt>
                <c:pt idx="1">
                  <c:v>270</c:v>
                </c:pt>
                <c:pt idx="2">
                  <c:v>298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</c:numCache>
            </c:numRef>
          </c:xVal>
          <c:yVal>
            <c:numRef>
              <c:f>Datos!$I$3:$I$33</c:f>
              <c:numCache>
                <c:formatCode>#,##0</c:formatCode>
                <c:ptCount val="31"/>
                <c:pt idx="0">
                  <c:v>7266</c:v>
                </c:pt>
                <c:pt idx="1">
                  <c:v>7849</c:v>
                </c:pt>
                <c:pt idx="2">
                  <c:v>8669</c:v>
                </c:pt>
                <c:pt idx="3">
                  <c:v>11640</c:v>
                </c:pt>
                <c:pt idx="4">
                  <c:v>14581</c:v>
                </c:pt>
                <c:pt idx="5">
                  <c:v>17563</c:v>
                </c:pt>
                <c:pt idx="6">
                  <c:v>20604</c:v>
                </c:pt>
                <c:pt idx="7">
                  <c:v>23714</c:v>
                </c:pt>
                <c:pt idx="8">
                  <c:v>26890</c:v>
                </c:pt>
                <c:pt idx="9">
                  <c:v>30129</c:v>
                </c:pt>
                <c:pt idx="10">
                  <c:v>33426</c:v>
                </c:pt>
                <c:pt idx="11">
                  <c:v>36777</c:v>
                </c:pt>
                <c:pt idx="12">
                  <c:v>40170</c:v>
                </c:pt>
                <c:pt idx="13">
                  <c:v>43605</c:v>
                </c:pt>
                <c:pt idx="14">
                  <c:v>47073</c:v>
                </c:pt>
                <c:pt idx="15">
                  <c:v>50571</c:v>
                </c:pt>
                <c:pt idx="16">
                  <c:v>54099</c:v>
                </c:pt>
                <c:pt idx="17">
                  <c:v>57651</c:v>
                </c:pt>
                <c:pt idx="18">
                  <c:v>61220</c:v>
                </c:pt>
                <c:pt idx="19">
                  <c:v>64810</c:v>
                </c:pt>
                <c:pt idx="20">
                  <c:v>68417</c:v>
                </c:pt>
                <c:pt idx="21">
                  <c:v>72040</c:v>
                </c:pt>
                <c:pt idx="22">
                  <c:v>75676</c:v>
                </c:pt>
                <c:pt idx="23">
                  <c:v>79320</c:v>
                </c:pt>
                <c:pt idx="24">
                  <c:v>82981</c:v>
                </c:pt>
                <c:pt idx="25">
                  <c:v>86650</c:v>
                </c:pt>
                <c:pt idx="26">
                  <c:v>90328</c:v>
                </c:pt>
                <c:pt idx="27">
                  <c:v>94014</c:v>
                </c:pt>
                <c:pt idx="28">
                  <c:v>97705</c:v>
                </c:pt>
                <c:pt idx="29">
                  <c:v>101407</c:v>
                </c:pt>
                <c:pt idx="30">
                  <c:v>105115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D6-4AFF-B6F5-918A0F3982CD}"/>
            </c:ext>
          </c:extLst>
        </c:ser>
        <c:ser>
          <c:idx val="4"/>
          <c:order val="4"/>
          <c:tx>
            <c:strRef>
              <c:f>Datos!$K$2</c:f>
              <c:strCache>
                <c:ptCount val="1"/>
                <c:pt idx="0">
                  <c:v>COh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Datos!$B$3:$B$33</c:f>
              <c:numCache>
                <c:formatCode>General</c:formatCode>
                <c:ptCount val="31"/>
                <c:pt idx="0">
                  <c:v>250</c:v>
                </c:pt>
                <c:pt idx="1">
                  <c:v>270</c:v>
                </c:pt>
                <c:pt idx="2">
                  <c:v>298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</c:numCache>
            </c:numRef>
          </c:xVal>
          <c:yVal>
            <c:numRef>
              <c:f>Datos!$K$3:$K$33</c:f>
              <c:numCache>
                <c:formatCode>General</c:formatCode>
                <c:ptCount val="31"/>
                <c:pt idx="0">
                  <c:v>7266</c:v>
                </c:pt>
                <c:pt idx="1">
                  <c:v>7849</c:v>
                </c:pt>
                <c:pt idx="2">
                  <c:v>8669</c:v>
                </c:pt>
                <c:pt idx="3">
                  <c:v>11644</c:v>
                </c:pt>
                <c:pt idx="4">
                  <c:v>14600</c:v>
                </c:pt>
                <c:pt idx="5">
                  <c:v>17611</c:v>
                </c:pt>
                <c:pt idx="6">
                  <c:v>20690</c:v>
                </c:pt>
                <c:pt idx="7">
                  <c:v>23844</c:v>
                </c:pt>
                <c:pt idx="8">
                  <c:v>27066</c:v>
                </c:pt>
                <c:pt idx="9">
                  <c:v>30355</c:v>
                </c:pt>
                <c:pt idx="10">
                  <c:v>33702</c:v>
                </c:pt>
                <c:pt idx="11">
                  <c:v>37095</c:v>
                </c:pt>
                <c:pt idx="12">
                  <c:v>40534</c:v>
                </c:pt>
                <c:pt idx="13">
                  <c:v>44007</c:v>
                </c:pt>
                <c:pt idx="14">
                  <c:v>47517</c:v>
                </c:pt>
                <c:pt idx="15">
                  <c:v>51053</c:v>
                </c:pt>
                <c:pt idx="16">
                  <c:v>54609</c:v>
                </c:pt>
                <c:pt idx="17">
                  <c:v>58191</c:v>
                </c:pt>
                <c:pt idx="18">
                  <c:v>61794</c:v>
                </c:pt>
                <c:pt idx="19">
                  <c:v>65408</c:v>
                </c:pt>
                <c:pt idx="20">
                  <c:v>69044</c:v>
                </c:pt>
                <c:pt idx="21">
                  <c:v>72688</c:v>
                </c:pt>
                <c:pt idx="22">
                  <c:v>76345</c:v>
                </c:pt>
                <c:pt idx="23">
                  <c:v>80015</c:v>
                </c:pt>
                <c:pt idx="24">
                  <c:v>83692</c:v>
                </c:pt>
                <c:pt idx="25">
                  <c:v>87383</c:v>
                </c:pt>
                <c:pt idx="26">
                  <c:v>91077</c:v>
                </c:pt>
                <c:pt idx="27">
                  <c:v>94784</c:v>
                </c:pt>
                <c:pt idx="28">
                  <c:v>98495</c:v>
                </c:pt>
                <c:pt idx="29">
                  <c:v>102210</c:v>
                </c:pt>
                <c:pt idx="30">
                  <c:v>105939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AD6-4AFF-B6F5-918A0F398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880944"/>
        <c:axId val="676893840"/>
      </c:scatterChart>
      <c:valAx>
        <c:axId val="6768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893840"/>
        <c:crosses val="autoZero"/>
        <c:crossBetween val="midCat"/>
      </c:valAx>
      <c:valAx>
        <c:axId val="6768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8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Adiabatic Flame 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 4'!$B$14</c:f>
              <c:strCache>
                <c:ptCount val="1"/>
                <c:pt idx="0">
                  <c:v>Tad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'Class 4'!$A$15:$A$17</c:f>
              <c:strCache>
                <c:ptCount val="3"/>
                <c:pt idx="0">
                  <c:v>Method 1</c:v>
                </c:pt>
                <c:pt idx="1">
                  <c:v>Method 2</c:v>
                </c:pt>
                <c:pt idx="2">
                  <c:v>Method 3</c:v>
                </c:pt>
              </c:strCache>
            </c:strRef>
          </c:cat>
          <c:val>
            <c:numRef>
              <c:f>'Class 4'!$B$15:$B$17</c:f>
              <c:numCache>
                <c:formatCode>0.00</c:formatCode>
                <c:ptCount val="3"/>
                <c:pt idx="0">
                  <c:v>2460.035034472422</c:v>
                </c:pt>
                <c:pt idx="1">
                  <c:v>2387.9058596062819</c:v>
                </c:pt>
                <c:pt idx="2">
                  <c:v>2383.1482017738881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1-456F-B2C8-2D46FF7160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21560384"/>
        <c:axId val="421561216"/>
      </c:barChart>
      <c:catAx>
        <c:axId val="42156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561216"/>
        <c:crosses val="autoZero"/>
        <c:auto val="1"/>
        <c:lblAlgn val="ctr"/>
        <c:lblOffset val="100"/>
        <c:noMultiLvlLbl val="0"/>
      </c:catAx>
      <c:valAx>
        <c:axId val="4215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56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'Class 4'!$AA$63:$AA$68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'Class 4'!$AD$63:$AD$68</c:f>
              <c:numCache>
                <c:formatCode>General</c:formatCode>
                <c:ptCount val="6"/>
                <c:pt idx="0">
                  <c:v>-553.01574408199986</c:v>
                </c:pt>
                <c:pt idx="1">
                  <c:v>55.463627051918593</c:v>
                </c:pt>
                <c:pt idx="2">
                  <c:v>-8.2423494622244107</c:v>
                </c:pt>
                <c:pt idx="3">
                  <c:v>1.1825024399340691</c:v>
                </c:pt>
                <c:pt idx="4">
                  <c:v>-0.1701013801712179</c:v>
                </c:pt>
                <c:pt idx="5">
                  <c:v>2.4407600149061182E-2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80-490F-B4DC-E2D872DE4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836496"/>
        <c:axId val="1947839824"/>
      </c:scatterChart>
      <c:valAx>
        <c:axId val="194783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839824"/>
        <c:crosses val="autoZero"/>
        <c:crossBetween val="midCat"/>
      </c:valAx>
      <c:valAx>
        <c:axId val="19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83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347661</xdr:colOff>
      <xdr:row>35</xdr:row>
      <xdr:rowOff>128586</xdr:rowOff>
    </xdr:from>
    <xdr:to>
      <xdr:col>13</xdr:col>
      <xdr:colOff>695324</xdr:colOff>
      <xdr:row>59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D46B42-38F8-4AF3-BCB9-33208040E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842961</xdr:colOff>
      <xdr:row>35</xdr:row>
      <xdr:rowOff>138112</xdr:rowOff>
    </xdr:from>
    <xdr:to>
      <xdr:col>19</xdr:col>
      <xdr:colOff>409574</xdr:colOff>
      <xdr:row>60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E3C339-30E1-4F04-A47A-DA8D5AE0E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128587</xdr:rowOff>
    </xdr:from>
    <xdr:to>
      <xdr:col>6</xdr:col>
      <xdr:colOff>533400</xdr:colOff>
      <xdr:row>33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8B28CE-11F8-4EDD-81FE-22990CE3C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98822</xdr:rowOff>
    </xdr:from>
    <xdr:to>
      <xdr:col>6</xdr:col>
      <xdr:colOff>547687</xdr:colOff>
      <xdr:row>48</xdr:row>
      <xdr:rowOff>175022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62DA8F-47DD-40B0-97B3-BE2A76610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me/Google%20Drive/Combustion%20class/Exa&#769;menes/16AugDec%20Examen%20Midt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Simental/AppData/Roaming/Microsoft/AddIns/bicubi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1 (60)"/>
      <sheetName val="P2 (50)"/>
      <sheetName val="P3 (60)"/>
      <sheetName val="P4 (40)"/>
      <sheetName val="P1s (40)"/>
      <sheetName val="P2s (60)"/>
      <sheetName val="P3s (40)"/>
      <sheetName val="P4s (60)"/>
      <sheetName val="Datos"/>
      <sheetName val="Sheet4"/>
      <sheetName val="16AugDec Examen Midtrm"/>
    </sheetNames>
    <sheetDataSet>
      <sheetData sheetId="0" refreshError="1">
        <row r="4">
          <cell r="P4">
            <v>3</v>
          </cell>
          <cell r="Q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icubic"/>
    </sheetNames>
    <definedNames>
      <definedName name="PINTERP"/>
    </defined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B18CA-9853-4046-AE8E-054425358165}" name="Table1" displayName="Table1" ref="B2:L33" totalsRowShown="0" headerRowDxfId="32" dataDxfId="31" tableBorderDxfId="30">
  <autoFilter ref="B2:L33" xr:uid="{00000000-0009-0000-0100-000001000000}"/>
  <tableColumns count="11">
    <tableColumn id="1" xr3:uid="{A0F50754-FDA3-4408-8CB3-6342EF4CAC72}" name="T(K)" dataDxfId="29"/>
    <tableColumn id="2" xr3:uid="{67FCF05E-9012-488D-B7CD-62D25847DAE3}" name="CO2h" dataDxfId="28"/>
    <tableColumn id="3" xr3:uid="{0CF51F92-8900-4552-BB6F-01656A1ACCA5}" name="CO2s" dataDxfId="27"/>
    <tableColumn id="4" xr3:uid="{CA699E0D-E059-4917-8F47-FEF1577EDD33}" name="H2Oh" dataDxfId="26"/>
    <tableColumn id="5" xr3:uid="{5207FDDE-51E8-41E1-8483-85EC1CF81960}" name="H2Os" dataDxfId="25"/>
    <tableColumn id="6" xr3:uid="{C8C70A55-1D51-49C0-AFF3-17161DC1A0BF}" name="O2h" dataDxfId="24"/>
    <tableColumn id="7" xr3:uid="{5EF23ED0-D54D-489E-A7C4-0462D4F7B6DD}" name="O2s" dataDxfId="23"/>
    <tableColumn id="8" xr3:uid="{C12FC4E6-51E9-4773-93B1-6D6CD84334FD}" name="N2h" dataDxfId="22"/>
    <tableColumn id="9" xr3:uid="{DF7683D0-7510-40C0-8975-3D3E606A7DBC}" name="N2s" dataDxfId="21"/>
    <tableColumn id="10" xr3:uid="{1DB0C16A-8024-4008-84CC-59634F18DE63}" name="COh" dataDxfId="20"/>
    <tableColumn id="11" xr3:uid="{22BDDF19-A9BE-49D0-A765-6B4D18F46345}" name="COs" dataDxfId="1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F4DB68-5DCE-4F30-9C50-A4684E24743C}" name="Table2" displayName="Table2" ref="N2:Q22" totalsRowShown="0" headerRowDxfId="18" dataDxfId="17">
  <autoFilter ref="N2:Q22" xr:uid="{00000000-0009-0000-0100-000002000000}"/>
  <sortState xmlns:xlrd2="http://schemas.microsoft.com/office/spreadsheetml/2017/richdata2" ref="N3:Q22">
    <sortCondition ref="N2:N22"/>
  </sortState>
  <tableColumns count="4">
    <tableColumn id="1" xr3:uid="{E64D0AF9-3242-44EC-A03A-0229CDC7417D}" name="Substance" dataDxfId="16"/>
    <tableColumn id="2" xr3:uid="{11CB017E-AF1A-4ACD-855D-49BAD3E22055}" name="Formula" dataDxfId="15"/>
    <tableColumn id="3" xr3:uid="{812994D7-0DB7-4043-9E6D-DCFA6ADF618A}" name="Hf" dataDxfId="14"/>
    <tableColumn id="4" xr3:uid="{2EB00BF3-3DBE-4A34-84A6-96790217E577}" name="Sº" dataDxfId="13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CAD56A-89AF-4F8C-8D0D-6702924195E5}" name="Table4" displayName="Table4" ref="B37:G59" totalsRowShown="0" headerRowDxfId="12" dataDxfId="11">
  <autoFilter ref="B37:G59" xr:uid="{00000000-0009-0000-0100-000004000000}"/>
  <tableColumns count="6">
    <tableColumn id="1" xr3:uid="{57209B19-FB9C-44B4-AF2A-FB32233C08DA}" name="T" dataDxfId="10"/>
    <tableColumn id="2" xr3:uid="{7C18A684-D4FE-4E61-92C2-22DE5C5F71B7}" name="CO2cp" dataDxfId="9"/>
    <tableColumn id="3" xr3:uid="{1E187AA4-78D0-4E97-9954-440FAB47D62D}" name="H2Ocp" dataDxfId="8"/>
    <tableColumn id="4" xr3:uid="{1D98F901-06ED-4BFF-8571-AA96A14D064C}" name="O2cp" dataDxfId="7"/>
    <tableColumn id="5" xr3:uid="{5A57AE3C-5BF1-4207-80C3-41FAB1984DB9}" name="N2cp" dataDxfId="6"/>
    <tableColumn id="6" xr3:uid="{7FBFB8BB-F2BD-4354-9C23-E92805877724}" name="COcp" dataDxfId="5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38D990-E69D-4AFE-9AD8-3C030B805A88}" name="Table5" displayName="Table5" ref="S2:U31" totalsRowShown="0" headerRowDxfId="4" dataDxfId="3" headerRowCellStyle="Normal 2" dataCellStyle="Normal 2">
  <autoFilter ref="S2:U31" xr:uid="{5289BEB6-8BEF-4DE4-9F6D-5EEB695C7CBF}"/>
  <tableColumns count="3">
    <tableColumn id="1" xr3:uid="{4FBE2FB7-1F0C-4909-960A-80676D1F1A5E}" name="Element" dataDxfId="2" dataCellStyle="Normal 2"/>
    <tableColumn id="2" xr3:uid="{D8AB3237-7D84-4F3D-B2A7-B1568D0DC92C}" name="MW" dataDxfId="1" dataCellStyle="Normal 2"/>
    <tableColumn id="3" xr3:uid="{3AA6231C-8C0B-43EC-99ED-20839740FB70}" name="Units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@Tad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H@Tref" TargetMode="External"/><Relationship Id="rId1" Type="http://schemas.openxmlformats.org/officeDocument/2006/relationships/hyperlink" Target="mailto:H@Tin" TargetMode="External"/><Relationship Id="rId6" Type="http://schemas.openxmlformats.org/officeDocument/2006/relationships/hyperlink" Target="mailto:H@Tref" TargetMode="External"/><Relationship Id="rId5" Type="http://schemas.openxmlformats.org/officeDocument/2006/relationships/hyperlink" Target="mailto:H@Tad" TargetMode="External"/><Relationship Id="rId4" Type="http://schemas.openxmlformats.org/officeDocument/2006/relationships/hyperlink" Target="mailto:H@T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6EC9-8013-4391-B8F4-F61981168D04}">
  <dimension ref="B1:U66"/>
  <sheetViews>
    <sheetView showGridLines="0" tabSelected="1" topLeftCell="D1" workbookViewId="0">
      <selection activeCell="T3" sqref="T3"/>
    </sheetView>
  </sheetViews>
  <sheetFormatPr defaultColWidth="12.44140625" defaultRowHeight="13.2"/>
  <cols>
    <col min="1" max="1" width="12.44140625" style="2"/>
    <col min="2" max="2" width="16.109375" style="2" customWidth="1"/>
    <col min="3" max="12" width="12.44140625" style="2"/>
    <col min="13" max="13" width="3" style="2" customWidth="1"/>
    <col min="14" max="14" width="17.88671875" style="2" bestFit="1" customWidth="1"/>
    <col min="15" max="17" width="12.44140625" style="2"/>
    <col min="18" max="18" width="3.33203125" style="2" customWidth="1"/>
    <col min="19" max="19" width="17.33203125" style="2" bestFit="1" customWidth="1"/>
    <col min="20" max="20" width="12.44140625" style="2"/>
    <col min="21" max="21" width="12.6640625" style="2" bestFit="1" customWidth="1"/>
    <col min="22" max="16384" width="12.44140625" style="2"/>
  </cols>
  <sheetData>
    <row r="1" spans="2:21">
      <c r="B1" s="1" t="s">
        <v>10</v>
      </c>
      <c r="N1" s="3" t="s">
        <v>11</v>
      </c>
    </row>
    <row r="2" spans="2:21" ht="13.8" thickBot="1"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S2" s="6" t="s">
        <v>27</v>
      </c>
      <c r="T2" s="6" t="s">
        <v>4</v>
      </c>
      <c r="U2" s="6" t="s">
        <v>28</v>
      </c>
    </row>
    <row r="3" spans="2:21">
      <c r="B3" s="4">
        <v>250</v>
      </c>
      <c r="C3" s="7">
        <v>7266</v>
      </c>
      <c r="D3" s="8">
        <v>207.33699999999999</v>
      </c>
      <c r="E3" s="7">
        <v>8294</v>
      </c>
      <c r="F3" s="8">
        <v>182.83099999999999</v>
      </c>
      <c r="G3" s="7">
        <v>7275</v>
      </c>
      <c r="H3" s="8">
        <v>199.88499999999999</v>
      </c>
      <c r="I3" s="9">
        <v>7266</v>
      </c>
      <c r="J3" s="8">
        <v>186.37</v>
      </c>
      <c r="K3" s="7">
        <v>7266</v>
      </c>
      <c r="L3" s="8">
        <v>192.411</v>
      </c>
      <c r="N3" s="6" t="s">
        <v>29</v>
      </c>
      <c r="O3" s="6" t="s">
        <v>30</v>
      </c>
      <c r="P3" s="6">
        <v>226730</v>
      </c>
      <c r="Q3" s="6">
        <v>200.85</v>
      </c>
      <c r="S3" s="6" t="s">
        <v>46</v>
      </c>
      <c r="T3" s="6">
        <v>16.042459999999998</v>
      </c>
      <c r="U3" s="6" t="s">
        <v>31</v>
      </c>
    </row>
    <row r="4" spans="2:21">
      <c r="B4" s="10">
        <v>270</v>
      </c>
      <c r="C4" s="11">
        <v>8335</v>
      </c>
      <c r="D4" s="12">
        <v>210.06200000000001</v>
      </c>
      <c r="E4" s="11">
        <v>8961</v>
      </c>
      <c r="F4" s="12">
        <v>185.399</v>
      </c>
      <c r="G4" s="11">
        <v>7858</v>
      </c>
      <c r="H4" s="12">
        <v>202.12799999999999</v>
      </c>
      <c r="I4" s="13">
        <v>7849</v>
      </c>
      <c r="J4" s="12">
        <v>188.614</v>
      </c>
      <c r="K4" s="11">
        <v>7849</v>
      </c>
      <c r="L4" s="12">
        <v>194.654</v>
      </c>
      <c r="N4" s="6" t="s">
        <v>32</v>
      </c>
      <c r="O4" s="6" t="s">
        <v>33</v>
      </c>
      <c r="P4" s="6">
        <v>82930</v>
      </c>
      <c r="Q4" s="6">
        <v>269.2</v>
      </c>
      <c r="S4" s="6" t="s">
        <v>40</v>
      </c>
      <c r="T4" s="6">
        <v>30.069040000000001</v>
      </c>
      <c r="U4" s="6" t="s">
        <v>31</v>
      </c>
    </row>
    <row r="5" spans="2:21">
      <c r="B5" s="4">
        <v>298</v>
      </c>
      <c r="C5" s="7">
        <v>9364</v>
      </c>
      <c r="D5" s="8">
        <v>213.685</v>
      </c>
      <c r="E5" s="7">
        <v>9904</v>
      </c>
      <c r="F5" s="8">
        <v>188.72</v>
      </c>
      <c r="G5" s="7">
        <v>8682</v>
      </c>
      <c r="H5" s="8">
        <v>205.03299999999999</v>
      </c>
      <c r="I5" s="9">
        <v>8669</v>
      </c>
      <c r="J5" s="8">
        <v>191.50200000000001</v>
      </c>
      <c r="K5" s="7">
        <v>8669</v>
      </c>
      <c r="L5" s="8">
        <v>197.54300000000001</v>
      </c>
      <c r="N5" s="6" t="s">
        <v>34</v>
      </c>
      <c r="O5" s="6" t="s">
        <v>35</v>
      </c>
      <c r="P5" s="6">
        <v>-393520</v>
      </c>
      <c r="Q5" s="6">
        <v>213.8</v>
      </c>
      <c r="S5" s="6" t="s">
        <v>70</v>
      </c>
      <c r="T5" s="6">
        <v>44.095619999999997</v>
      </c>
      <c r="U5" s="6" t="s">
        <v>31</v>
      </c>
    </row>
    <row r="6" spans="2:21">
      <c r="B6" s="10">
        <v>400</v>
      </c>
      <c r="C6" s="11">
        <v>13372</v>
      </c>
      <c r="D6" s="12">
        <v>225.22499999999999</v>
      </c>
      <c r="E6" s="11">
        <v>13356</v>
      </c>
      <c r="F6" s="12">
        <v>198.673</v>
      </c>
      <c r="G6" s="11">
        <v>11711</v>
      </c>
      <c r="H6" s="12">
        <v>213.76499999999999</v>
      </c>
      <c r="I6" s="13">
        <v>11640</v>
      </c>
      <c r="J6" s="12">
        <v>200.07</v>
      </c>
      <c r="K6" s="11">
        <v>11644</v>
      </c>
      <c r="L6" s="12">
        <v>206.125</v>
      </c>
      <c r="N6" s="6" t="s">
        <v>36</v>
      </c>
      <c r="O6" s="6" t="s">
        <v>37</v>
      </c>
      <c r="P6" s="6">
        <v>-110530</v>
      </c>
      <c r="Q6" s="6">
        <v>197.65</v>
      </c>
      <c r="S6" s="6" t="s">
        <v>38</v>
      </c>
      <c r="T6" s="6">
        <v>58.122199999999999</v>
      </c>
      <c r="U6" s="6" t="s">
        <v>31</v>
      </c>
    </row>
    <row r="7" spans="2:21">
      <c r="B7" s="4">
        <v>500</v>
      </c>
      <c r="C7" s="7">
        <v>17678</v>
      </c>
      <c r="D7" s="8">
        <v>234.81399999999999</v>
      </c>
      <c r="E7" s="7">
        <v>16828</v>
      </c>
      <c r="F7" s="8">
        <v>206.41300000000001</v>
      </c>
      <c r="G7" s="7">
        <v>14770</v>
      </c>
      <c r="H7" s="8">
        <v>220.589</v>
      </c>
      <c r="I7" s="9">
        <v>14581</v>
      </c>
      <c r="J7" s="8">
        <v>206.63</v>
      </c>
      <c r="K7" s="7">
        <v>14600</v>
      </c>
      <c r="L7" s="8">
        <v>212.71899999999999</v>
      </c>
      <c r="N7" s="6" t="s">
        <v>39</v>
      </c>
      <c r="O7" s="6" t="s">
        <v>40</v>
      </c>
      <c r="P7" s="6">
        <v>-84680</v>
      </c>
      <c r="Q7" s="6">
        <v>229.49</v>
      </c>
      <c r="S7" s="6" t="s">
        <v>53</v>
      </c>
      <c r="T7" s="6">
        <v>58.122199999999999</v>
      </c>
      <c r="U7" s="6" t="s">
        <v>31</v>
      </c>
    </row>
    <row r="8" spans="2:21">
      <c r="B8" s="10">
        <v>600</v>
      </c>
      <c r="C8" s="11">
        <v>22280</v>
      </c>
      <c r="D8" s="12">
        <v>243.19900000000001</v>
      </c>
      <c r="E8" s="11">
        <v>20402</v>
      </c>
      <c r="F8" s="12">
        <v>212.92</v>
      </c>
      <c r="G8" s="11">
        <v>17929</v>
      </c>
      <c r="H8" s="12">
        <v>226.346</v>
      </c>
      <c r="I8" s="13">
        <v>17563</v>
      </c>
      <c r="J8" s="12">
        <v>212.066</v>
      </c>
      <c r="K8" s="11">
        <v>17611</v>
      </c>
      <c r="L8" s="12">
        <v>218.20400000000001</v>
      </c>
      <c r="N8" s="6" t="s">
        <v>41</v>
      </c>
      <c r="O8" s="6" t="s">
        <v>42</v>
      </c>
      <c r="P8" s="6">
        <v>-235310</v>
      </c>
      <c r="Q8" s="6">
        <v>282.58999999999997</v>
      </c>
      <c r="S8" s="6" t="s">
        <v>43</v>
      </c>
      <c r="T8" s="6">
        <v>72.148780000000002</v>
      </c>
      <c r="U8" s="6" t="s">
        <v>31</v>
      </c>
    </row>
    <row r="9" spans="2:21">
      <c r="B9" s="4">
        <v>700</v>
      </c>
      <c r="C9" s="7">
        <v>27125</v>
      </c>
      <c r="D9" s="8">
        <v>250.66300000000001</v>
      </c>
      <c r="E9" s="7">
        <v>24088</v>
      </c>
      <c r="F9" s="8">
        <v>218.61</v>
      </c>
      <c r="G9" s="7">
        <v>21184</v>
      </c>
      <c r="H9" s="8">
        <v>231.358</v>
      </c>
      <c r="I9" s="9">
        <v>20604</v>
      </c>
      <c r="J9" s="8">
        <v>216.756</v>
      </c>
      <c r="K9" s="7">
        <v>20690</v>
      </c>
      <c r="L9" s="8">
        <v>222.953</v>
      </c>
      <c r="N9" s="6" t="s">
        <v>41</v>
      </c>
      <c r="O9" s="6" t="s">
        <v>44</v>
      </c>
      <c r="P9" s="6">
        <v>-277690</v>
      </c>
      <c r="Q9" s="6">
        <v>160.69999999999999</v>
      </c>
      <c r="S9" s="6" t="s">
        <v>65</v>
      </c>
      <c r="T9" s="6">
        <v>72.148780000000002</v>
      </c>
      <c r="U9" s="6" t="s">
        <v>31</v>
      </c>
    </row>
    <row r="10" spans="2:21">
      <c r="B10" s="10">
        <v>800</v>
      </c>
      <c r="C10" s="11">
        <v>32179</v>
      </c>
      <c r="D10" s="12">
        <v>257408</v>
      </c>
      <c r="E10" s="11">
        <v>27896</v>
      </c>
      <c r="F10" s="12">
        <v>223.69300000000001</v>
      </c>
      <c r="G10" s="11">
        <v>23523</v>
      </c>
      <c r="H10" s="12">
        <v>235.81</v>
      </c>
      <c r="I10" s="13">
        <v>23714</v>
      </c>
      <c r="J10" s="12">
        <v>220.90700000000001</v>
      </c>
      <c r="K10" s="11">
        <v>23844</v>
      </c>
      <c r="L10" s="12">
        <v>227.16200000000001</v>
      </c>
      <c r="N10" s="6" t="s">
        <v>45</v>
      </c>
      <c r="O10" s="6" t="s">
        <v>46</v>
      </c>
      <c r="P10" s="6">
        <v>-74850</v>
      </c>
      <c r="Q10" s="6">
        <v>186.16</v>
      </c>
      <c r="S10" s="6" t="s">
        <v>47</v>
      </c>
      <c r="T10" s="6">
        <v>86.175359999999998</v>
      </c>
      <c r="U10" s="6" t="s">
        <v>31</v>
      </c>
    </row>
    <row r="11" spans="2:21">
      <c r="B11" s="4">
        <v>900</v>
      </c>
      <c r="C11" s="7">
        <v>37405</v>
      </c>
      <c r="D11" s="8">
        <v>263.55900000000003</v>
      </c>
      <c r="E11" s="7">
        <v>31828</v>
      </c>
      <c r="F11" s="8">
        <v>228.321</v>
      </c>
      <c r="G11" s="7">
        <v>27928</v>
      </c>
      <c r="H11" s="8">
        <v>239.82300000000001</v>
      </c>
      <c r="I11" s="9">
        <v>26890</v>
      </c>
      <c r="J11" s="8">
        <v>224.64699999999999</v>
      </c>
      <c r="K11" s="7">
        <v>27066</v>
      </c>
      <c r="L11" s="8">
        <v>230.95699999999999</v>
      </c>
      <c r="N11" s="6" t="s">
        <v>48</v>
      </c>
      <c r="O11" s="6" t="s">
        <v>49</v>
      </c>
      <c r="P11" s="6">
        <v>-200670</v>
      </c>
      <c r="Q11" s="6">
        <v>239.7</v>
      </c>
      <c r="S11" s="6" t="s">
        <v>50</v>
      </c>
      <c r="T11" s="6">
        <v>28.013400000000001</v>
      </c>
      <c r="U11" s="6" t="s">
        <v>31</v>
      </c>
    </row>
    <row r="12" spans="2:21">
      <c r="B12" s="10">
        <v>1000</v>
      </c>
      <c r="C12" s="11">
        <v>42769</v>
      </c>
      <c r="D12" s="12">
        <v>269.21499999999997</v>
      </c>
      <c r="E12" s="11">
        <v>35882</v>
      </c>
      <c r="F12" s="12">
        <v>232.59700000000001</v>
      </c>
      <c r="G12" s="11">
        <v>31389</v>
      </c>
      <c r="H12" s="12">
        <v>243.471</v>
      </c>
      <c r="I12" s="13">
        <v>30129</v>
      </c>
      <c r="J12" s="12">
        <v>228.05699999999999</v>
      </c>
      <c r="K12" s="11">
        <v>30355</v>
      </c>
      <c r="L12" s="12">
        <v>234.42099999999999</v>
      </c>
      <c r="N12" s="6" t="s">
        <v>48</v>
      </c>
      <c r="O12" s="6" t="s">
        <v>51</v>
      </c>
      <c r="P12" s="6">
        <v>-238660</v>
      </c>
      <c r="Q12" s="6">
        <v>126.8</v>
      </c>
      <c r="S12" s="6" t="s">
        <v>37</v>
      </c>
      <c r="T12" s="6">
        <v>28.010100000000001</v>
      </c>
      <c r="U12" s="6" t="s">
        <v>31</v>
      </c>
    </row>
    <row r="13" spans="2:21">
      <c r="B13" s="4">
        <v>1100</v>
      </c>
      <c r="C13" s="7">
        <v>48258</v>
      </c>
      <c r="D13" s="8">
        <v>274.44499999999999</v>
      </c>
      <c r="E13" s="7">
        <v>40071</v>
      </c>
      <c r="F13" s="8">
        <v>236.584</v>
      </c>
      <c r="G13" s="7">
        <v>34899</v>
      </c>
      <c r="H13" s="8">
        <v>246.81800000000001</v>
      </c>
      <c r="I13" s="9">
        <v>33426</v>
      </c>
      <c r="J13" s="8">
        <v>231.19900000000001</v>
      </c>
      <c r="K13" s="7">
        <v>33702</v>
      </c>
      <c r="L13" s="8">
        <v>237.60900000000001</v>
      </c>
      <c r="N13" s="6" t="s">
        <v>52</v>
      </c>
      <c r="O13" s="6" t="s">
        <v>53</v>
      </c>
      <c r="P13" s="6">
        <v>-126150</v>
      </c>
      <c r="Q13" s="6">
        <v>310.12</v>
      </c>
      <c r="S13" s="6" t="s">
        <v>35</v>
      </c>
      <c r="T13" s="6">
        <v>44.009500000000003</v>
      </c>
      <c r="U13" s="6" t="s">
        <v>31</v>
      </c>
    </row>
    <row r="14" spans="2:21">
      <c r="B14" s="10">
        <v>1200</v>
      </c>
      <c r="C14" s="11">
        <v>53848</v>
      </c>
      <c r="D14" s="12">
        <v>297.30700000000002</v>
      </c>
      <c r="E14" s="11">
        <v>44380</v>
      </c>
      <c r="F14" s="12">
        <v>240.333</v>
      </c>
      <c r="G14" s="11">
        <v>38447</v>
      </c>
      <c r="H14" s="12">
        <v>219.90600000000001</v>
      </c>
      <c r="I14" s="13">
        <v>36777</v>
      </c>
      <c r="J14" s="12">
        <v>234.11500000000001</v>
      </c>
      <c r="K14" s="11">
        <v>37095</v>
      </c>
      <c r="L14" s="12">
        <v>240.66300000000001</v>
      </c>
      <c r="N14" s="6" t="s">
        <v>55</v>
      </c>
      <c r="O14" s="6" t="s">
        <v>56</v>
      </c>
      <c r="P14" s="6">
        <v>-291010</v>
      </c>
      <c r="Q14" s="6">
        <v>622.83000000000004</v>
      </c>
      <c r="S14" s="6" t="s">
        <v>75</v>
      </c>
      <c r="T14" s="6">
        <v>18.015280000000001</v>
      </c>
      <c r="U14" s="6" t="s">
        <v>31</v>
      </c>
    </row>
    <row r="15" spans="2:21">
      <c r="B15" s="4">
        <v>1300</v>
      </c>
      <c r="C15" s="7">
        <v>59522</v>
      </c>
      <c r="D15" s="8">
        <v>283.84699999999998</v>
      </c>
      <c r="E15" s="7">
        <v>48807</v>
      </c>
      <c r="F15" s="8">
        <v>243.87700000000001</v>
      </c>
      <c r="G15" s="7">
        <v>42033</v>
      </c>
      <c r="H15" s="8">
        <v>252.77600000000001</v>
      </c>
      <c r="I15" s="9">
        <v>40170</v>
      </c>
      <c r="J15" s="8">
        <v>236.83099999999999</v>
      </c>
      <c r="K15" s="7">
        <v>40534</v>
      </c>
      <c r="L15" s="8">
        <v>243.316</v>
      </c>
      <c r="N15" s="6" t="s">
        <v>58</v>
      </c>
      <c r="O15" s="6" t="s">
        <v>50</v>
      </c>
      <c r="P15" s="6">
        <v>0</v>
      </c>
      <c r="Q15" s="6">
        <v>191.61</v>
      </c>
      <c r="S15" s="6" t="s">
        <v>59</v>
      </c>
      <c r="T15" s="6">
        <v>2.0158800000000001</v>
      </c>
      <c r="U15" s="6" t="s">
        <v>31</v>
      </c>
    </row>
    <row r="16" spans="2:21">
      <c r="B16" s="10">
        <v>1400</v>
      </c>
      <c r="C16" s="11">
        <v>65271</v>
      </c>
      <c r="D16" s="12">
        <v>288.10599999999999</v>
      </c>
      <c r="E16" s="11">
        <v>53351</v>
      </c>
      <c r="F16" s="12">
        <v>247.24100000000001</v>
      </c>
      <c r="G16" s="11">
        <v>45648</v>
      </c>
      <c r="H16" s="12">
        <v>255.45400000000001</v>
      </c>
      <c r="I16" s="13">
        <v>43605</v>
      </c>
      <c r="J16" s="12">
        <v>239.375</v>
      </c>
      <c r="K16" s="11">
        <v>44007</v>
      </c>
      <c r="L16" s="12">
        <v>245.88900000000001</v>
      </c>
      <c r="N16" s="6" t="s">
        <v>60</v>
      </c>
      <c r="O16" s="6" t="s">
        <v>6</v>
      </c>
      <c r="P16" s="6">
        <v>-208450</v>
      </c>
      <c r="Q16" s="6">
        <v>466.73</v>
      </c>
      <c r="S16" s="6" t="s">
        <v>61</v>
      </c>
      <c r="T16" s="6">
        <v>34.080880000000001</v>
      </c>
      <c r="U16" s="6" t="s">
        <v>31</v>
      </c>
    </row>
    <row r="17" spans="2:21">
      <c r="B17" s="4">
        <v>1500</v>
      </c>
      <c r="C17" s="7">
        <v>71078</v>
      </c>
      <c r="D17" s="8">
        <v>292.11399999999998</v>
      </c>
      <c r="E17" s="7">
        <v>57999</v>
      </c>
      <c r="F17" s="8">
        <v>250.45</v>
      </c>
      <c r="G17" s="7">
        <v>49292</v>
      </c>
      <c r="H17" s="8">
        <v>257.96499999999997</v>
      </c>
      <c r="I17" s="9">
        <v>47073</v>
      </c>
      <c r="J17" s="8">
        <v>241.768</v>
      </c>
      <c r="K17" s="7">
        <v>47517</v>
      </c>
      <c r="L17" s="8">
        <v>248.31200000000001</v>
      </c>
      <c r="N17" s="6" t="s">
        <v>60</v>
      </c>
      <c r="O17" s="6" t="s">
        <v>62</v>
      </c>
      <c r="P17" s="6">
        <v>-249950</v>
      </c>
      <c r="Q17" s="6">
        <v>360.79</v>
      </c>
      <c r="S17" s="6" t="s">
        <v>63</v>
      </c>
      <c r="T17" s="6">
        <v>4.0026020000000004</v>
      </c>
      <c r="U17" s="6" t="s">
        <v>31</v>
      </c>
    </row>
    <row r="18" spans="2:21">
      <c r="B18" s="10">
        <v>1600</v>
      </c>
      <c r="C18" s="11">
        <v>76944</v>
      </c>
      <c r="D18" s="12">
        <v>295.90100000000001</v>
      </c>
      <c r="E18" s="11">
        <v>62748</v>
      </c>
      <c r="F18" s="12">
        <v>253.51300000000001</v>
      </c>
      <c r="G18" s="11">
        <v>52961</v>
      </c>
      <c r="H18" s="12">
        <v>260.33300000000003</v>
      </c>
      <c r="I18" s="13">
        <v>50571</v>
      </c>
      <c r="J18" s="12">
        <v>244.02799999999999</v>
      </c>
      <c r="K18" s="11">
        <v>51053</v>
      </c>
      <c r="L18" s="12">
        <v>250.59200000000001</v>
      </c>
      <c r="N18" s="6" t="s">
        <v>64</v>
      </c>
      <c r="O18" s="6" t="s">
        <v>65</v>
      </c>
      <c r="P18" s="6">
        <v>-146440</v>
      </c>
      <c r="Q18" s="6">
        <v>348.4</v>
      </c>
      <c r="S18" s="6" t="s">
        <v>66</v>
      </c>
      <c r="T18" s="6">
        <v>31.998799999999999</v>
      </c>
      <c r="U18" s="6" t="s">
        <v>31</v>
      </c>
    </row>
    <row r="19" spans="2:21" ht="15.6">
      <c r="B19" s="4">
        <v>1700</v>
      </c>
      <c r="C19" s="7">
        <v>82856</v>
      </c>
      <c r="D19" s="8">
        <v>299.48200000000003</v>
      </c>
      <c r="E19" s="7">
        <v>67589</v>
      </c>
      <c r="F19" s="8">
        <v>256.45</v>
      </c>
      <c r="G19" s="7">
        <v>56652</v>
      </c>
      <c r="H19" s="8">
        <v>262.57100000000003</v>
      </c>
      <c r="I19" s="9">
        <v>54099</v>
      </c>
      <c r="J19" s="8">
        <v>246.166</v>
      </c>
      <c r="K19" s="7">
        <v>54609</v>
      </c>
      <c r="L19" s="8">
        <v>252.751</v>
      </c>
      <c r="M19" s="14"/>
      <c r="N19" s="6" t="s">
        <v>67</v>
      </c>
      <c r="O19" s="6" t="s">
        <v>66</v>
      </c>
      <c r="P19" s="6">
        <v>0</v>
      </c>
      <c r="Q19" s="6">
        <v>205.04</v>
      </c>
      <c r="S19" s="6" t="s">
        <v>68</v>
      </c>
      <c r="T19" s="6">
        <v>39.948</v>
      </c>
      <c r="U19" s="6" t="s">
        <v>31</v>
      </c>
    </row>
    <row r="20" spans="2:21">
      <c r="B20" s="10">
        <v>1800</v>
      </c>
      <c r="C20" s="11">
        <v>88806</v>
      </c>
      <c r="D20" s="12">
        <v>302.88400000000001</v>
      </c>
      <c r="E20" s="11">
        <v>72513</v>
      </c>
      <c r="F20" s="12">
        <v>259.262</v>
      </c>
      <c r="G20" s="11">
        <v>60371</v>
      </c>
      <c r="H20" s="12">
        <v>264.70100000000002</v>
      </c>
      <c r="I20" s="13">
        <v>57651</v>
      </c>
      <c r="J20" s="12">
        <v>247.798</v>
      </c>
      <c r="K20" s="11">
        <v>58191</v>
      </c>
      <c r="L20" s="12">
        <v>254.797</v>
      </c>
      <c r="N20" s="6" t="s">
        <v>69</v>
      </c>
      <c r="O20" s="6" t="s">
        <v>70</v>
      </c>
      <c r="P20" s="6">
        <v>-103850</v>
      </c>
      <c r="Q20" s="6">
        <v>269.91000000000003</v>
      </c>
      <c r="S20" s="6" t="s">
        <v>71</v>
      </c>
      <c r="T20" s="15">
        <v>28.965115935300002</v>
      </c>
      <c r="U20" s="6" t="s">
        <v>31</v>
      </c>
    </row>
    <row r="21" spans="2:21">
      <c r="B21" s="4">
        <v>1900</v>
      </c>
      <c r="C21" s="7">
        <v>94793</v>
      </c>
      <c r="D21" s="8">
        <v>306.12200000000001</v>
      </c>
      <c r="E21" s="7">
        <v>77517</v>
      </c>
      <c r="F21" s="8">
        <v>261.96899999999999</v>
      </c>
      <c r="G21" s="7">
        <v>64116</v>
      </c>
      <c r="H21" s="8">
        <v>266.72199999999998</v>
      </c>
      <c r="I21" s="9">
        <v>61220</v>
      </c>
      <c r="J21" s="8">
        <v>250.12799999999999</v>
      </c>
      <c r="K21" s="7">
        <v>61794</v>
      </c>
      <c r="L21" s="8">
        <v>256.74299999999999</v>
      </c>
      <c r="N21" s="6" t="s">
        <v>72</v>
      </c>
      <c r="O21" s="6" t="s">
        <v>73</v>
      </c>
      <c r="P21" s="6">
        <v>-285830</v>
      </c>
      <c r="Q21" s="6">
        <v>69.92</v>
      </c>
      <c r="S21" s="6"/>
      <c r="T21" s="6"/>
      <c r="U21" s="6"/>
    </row>
    <row r="22" spans="2:21">
      <c r="B22" s="10">
        <v>2000</v>
      </c>
      <c r="C22" s="11">
        <v>100804</v>
      </c>
      <c r="D22" s="12">
        <v>309.20999999999998</v>
      </c>
      <c r="E22" s="11">
        <v>82593</v>
      </c>
      <c r="F22" s="12">
        <v>264.57100000000003</v>
      </c>
      <c r="G22" s="11">
        <v>67881</v>
      </c>
      <c r="H22" s="12">
        <v>268.65499999999997</v>
      </c>
      <c r="I22" s="13">
        <v>64810</v>
      </c>
      <c r="J22" s="12">
        <v>251.96899999999999</v>
      </c>
      <c r="K22" s="11">
        <v>65408</v>
      </c>
      <c r="L22" s="12">
        <v>258.60000000000002</v>
      </c>
      <c r="N22" s="6" t="s">
        <v>74</v>
      </c>
      <c r="O22" s="6" t="s">
        <v>75</v>
      </c>
      <c r="P22" s="6">
        <v>-241820</v>
      </c>
      <c r="Q22" s="6">
        <v>188.83</v>
      </c>
      <c r="S22" s="6"/>
      <c r="T22" s="6"/>
      <c r="U22" s="6"/>
    </row>
    <row r="23" spans="2:21">
      <c r="B23" s="4">
        <v>2100</v>
      </c>
      <c r="C23" s="7">
        <v>106864</v>
      </c>
      <c r="D23" s="8">
        <v>312.16000000000003</v>
      </c>
      <c r="E23" s="7">
        <v>87735</v>
      </c>
      <c r="F23" s="8">
        <v>267.08100000000002</v>
      </c>
      <c r="G23" s="7">
        <v>71668</v>
      </c>
      <c r="H23" s="8">
        <v>270.50400000000002</v>
      </c>
      <c r="I23" s="9">
        <v>68417</v>
      </c>
      <c r="J23" s="8">
        <v>253.726</v>
      </c>
      <c r="K23" s="7">
        <v>69044</v>
      </c>
      <c r="L23" s="8">
        <v>260.37</v>
      </c>
      <c r="N23" s="6"/>
      <c r="O23" s="6"/>
      <c r="P23" s="6"/>
      <c r="Q23" s="6"/>
      <c r="S23" s="6"/>
      <c r="T23" s="6"/>
      <c r="U23" s="6"/>
    </row>
    <row r="24" spans="2:21">
      <c r="B24" s="10">
        <v>2200</v>
      </c>
      <c r="C24" s="11">
        <v>112939</v>
      </c>
      <c r="D24" s="12">
        <v>314.988</v>
      </c>
      <c r="E24" s="11">
        <v>92940</v>
      </c>
      <c r="F24" s="12">
        <v>269.5</v>
      </c>
      <c r="G24" s="11">
        <v>75484</v>
      </c>
      <c r="H24" s="12">
        <v>272.27800000000002</v>
      </c>
      <c r="I24" s="13">
        <v>72040</v>
      </c>
      <c r="J24" s="12">
        <v>255.41200000000001</v>
      </c>
      <c r="K24" s="11">
        <v>72688</v>
      </c>
      <c r="L24" s="12">
        <v>262.065</v>
      </c>
      <c r="N24" s="6"/>
      <c r="O24" s="6"/>
      <c r="P24" s="6"/>
      <c r="Q24" s="6"/>
      <c r="S24" s="6"/>
      <c r="T24" s="6"/>
      <c r="U24" s="6"/>
    </row>
    <row r="25" spans="2:21">
      <c r="B25" s="4">
        <v>2300</v>
      </c>
      <c r="C25" s="7">
        <v>119035</v>
      </c>
      <c r="D25" s="8">
        <v>317.69499999999999</v>
      </c>
      <c r="E25" s="7">
        <v>98199</v>
      </c>
      <c r="F25" s="8">
        <v>271.839</v>
      </c>
      <c r="G25" s="7">
        <v>79316</v>
      </c>
      <c r="H25" s="8">
        <v>273.89100000000002</v>
      </c>
      <c r="I25" s="9">
        <v>75676</v>
      </c>
      <c r="J25" s="8">
        <v>257.02699999999999</v>
      </c>
      <c r="K25" s="7">
        <v>76345</v>
      </c>
      <c r="L25" s="8">
        <v>263.69200000000001</v>
      </c>
      <c r="N25" s="6"/>
      <c r="O25" s="6"/>
      <c r="P25" s="6"/>
      <c r="Q25" s="6"/>
      <c r="S25" s="6"/>
      <c r="T25" s="6"/>
      <c r="U25" s="6"/>
    </row>
    <row r="26" spans="2:21">
      <c r="B26" s="10">
        <v>2400</v>
      </c>
      <c r="C26" s="11">
        <v>125152</v>
      </c>
      <c r="D26" s="12">
        <v>320.30200000000002</v>
      </c>
      <c r="E26" s="11">
        <v>103508</v>
      </c>
      <c r="F26" s="12">
        <v>274.09800000000001</v>
      </c>
      <c r="G26" s="11">
        <v>83174</v>
      </c>
      <c r="H26" s="12">
        <v>275.625</v>
      </c>
      <c r="I26" s="13">
        <v>79320</v>
      </c>
      <c r="J26" s="12">
        <v>258.58</v>
      </c>
      <c r="K26" s="11">
        <v>80015</v>
      </c>
      <c r="L26" s="12">
        <v>265.25299999999999</v>
      </c>
      <c r="N26" s="6"/>
      <c r="O26" s="6"/>
      <c r="P26" s="6"/>
      <c r="Q26" s="6"/>
      <c r="S26" s="6"/>
      <c r="T26" s="6"/>
      <c r="U26" s="6"/>
    </row>
    <row r="27" spans="2:21">
      <c r="B27" s="4">
        <v>2500</v>
      </c>
      <c r="C27" s="7">
        <v>131290</v>
      </c>
      <c r="D27" s="8">
        <v>322.80799999999999</v>
      </c>
      <c r="E27" s="7">
        <v>108868</v>
      </c>
      <c r="F27" s="8">
        <v>276.286</v>
      </c>
      <c r="G27" s="7">
        <v>87057</v>
      </c>
      <c r="H27" s="8">
        <v>277.20699999999999</v>
      </c>
      <c r="I27" s="9">
        <v>82981</v>
      </c>
      <c r="J27" s="8">
        <v>260.79899999999998</v>
      </c>
      <c r="K27" s="7">
        <v>83692</v>
      </c>
      <c r="L27" s="8">
        <v>266.755</v>
      </c>
      <c r="N27" s="6"/>
      <c r="O27" s="6"/>
      <c r="P27" s="6"/>
      <c r="Q27" s="6"/>
      <c r="S27" s="6"/>
      <c r="T27" s="6"/>
      <c r="U27" s="6"/>
    </row>
    <row r="28" spans="2:21">
      <c r="B28" s="10">
        <v>2600</v>
      </c>
      <c r="C28" s="11">
        <v>137449</v>
      </c>
      <c r="D28" s="12">
        <v>325.22199999999998</v>
      </c>
      <c r="E28" s="11">
        <v>114273</v>
      </c>
      <c r="F28" s="12">
        <v>278.40699999999998</v>
      </c>
      <c r="G28" s="11">
        <v>90956</v>
      </c>
      <c r="H28" s="12">
        <v>278.738</v>
      </c>
      <c r="I28" s="13">
        <v>86650</v>
      </c>
      <c r="J28" s="12">
        <v>261.512</v>
      </c>
      <c r="K28" s="11">
        <v>87383</v>
      </c>
      <c r="L28" s="12">
        <v>269.202</v>
      </c>
      <c r="N28" s="6"/>
      <c r="O28" s="6"/>
      <c r="P28" s="6"/>
      <c r="Q28" s="6"/>
      <c r="S28" s="6"/>
      <c r="T28" s="6"/>
      <c r="U28" s="6"/>
    </row>
    <row r="29" spans="2:21">
      <c r="B29" s="4">
        <v>2700</v>
      </c>
      <c r="C29" s="7">
        <v>143620</v>
      </c>
      <c r="D29" s="8">
        <v>327.54899999999998</v>
      </c>
      <c r="E29" s="7">
        <v>119717</v>
      </c>
      <c r="F29" s="8">
        <v>280.46199999999999</v>
      </c>
      <c r="G29" s="7">
        <v>94881</v>
      </c>
      <c r="H29" s="8">
        <v>280.21899999999999</v>
      </c>
      <c r="I29" s="9">
        <v>90328</v>
      </c>
      <c r="J29" s="8">
        <v>262.90199999999999</v>
      </c>
      <c r="K29" s="7">
        <v>91077</v>
      </c>
      <c r="L29" s="8">
        <v>269.596</v>
      </c>
      <c r="N29" s="6"/>
      <c r="O29" s="6"/>
      <c r="P29" s="6"/>
      <c r="Q29" s="6"/>
      <c r="S29" s="6"/>
      <c r="T29" s="6"/>
      <c r="U29" s="6"/>
    </row>
    <row r="30" spans="2:21">
      <c r="B30" s="10">
        <v>2800</v>
      </c>
      <c r="C30" s="11">
        <v>149808</v>
      </c>
      <c r="D30" s="12">
        <v>329.8</v>
      </c>
      <c r="E30" s="11">
        <v>125198</v>
      </c>
      <c r="F30" s="12">
        <v>282.45299999999997</v>
      </c>
      <c r="G30" s="11">
        <v>98826</v>
      </c>
      <c r="H30" s="12">
        <v>281.654</v>
      </c>
      <c r="I30" s="13">
        <v>94014</v>
      </c>
      <c r="J30" s="12">
        <v>264.24099999999999</v>
      </c>
      <c r="K30" s="11">
        <v>94784</v>
      </c>
      <c r="L30" s="12">
        <v>270.94299999999998</v>
      </c>
      <c r="N30" s="6"/>
      <c r="O30" s="6"/>
      <c r="P30" s="6"/>
      <c r="Q30" s="6"/>
      <c r="S30" s="6"/>
      <c r="T30" s="6"/>
      <c r="U30" s="6"/>
    </row>
    <row r="31" spans="2:21">
      <c r="B31" s="4">
        <v>2900</v>
      </c>
      <c r="C31" s="7">
        <v>156009</v>
      </c>
      <c r="D31" s="8">
        <v>331.97500000000002</v>
      </c>
      <c r="E31" s="7">
        <v>130717</v>
      </c>
      <c r="F31" s="8">
        <v>284.39</v>
      </c>
      <c r="G31" s="7">
        <v>102793</v>
      </c>
      <c r="H31" s="8">
        <v>283.048</v>
      </c>
      <c r="I31" s="9">
        <v>97705</v>
      </c>
      <c r="J31" s="8">
        <v>265.53800000000001</v>
      </c>
      <c r="K31" s="7">
        <v>98495</v>
      </c>
      <c r="L31" s="8">
        <v>272.24900000000002</v>
      </c>
      <c r="N31" s="6"/>
      <c r="O31" s="6"/>
      <c r="P31" s="6"/>
      <c r="Q31" s="6"/>
      <c r="S31" s="6"/>
      <c r="T31" s="6"/>
      <c r="U31" s="6"/>
    </row>
    <row r="32" spans="2:21">
      <c r="B32" s="10">
        <v>3000</v>
      </c>
      <c r="C32" s="11">
        <v>162226</v>
      </c>
      <c r="D32" s="12">
        <v>334.084</v>
      </c>
      <c r="E32" s="11">
        <v>136264</v>
      </c>
      <c r="F32" s="12">
        <v>286.27300000000002</v>
      </c>
      <c r="G32" s="11">
        <v>106780</v>
      </c>
      <c r="H32" s="12">
        <v>284.399</v>
      </c>
      <c r="I32" s="13">
        <v>101407</v>
      </c>
      <c r="J32" s="12">
        <v>266.79300000000001</v>
      </c>
      <c r="K32" s="11">
        <v>102210</v>
      </c>
      <c r="L32" s="12">
        <v>273.50799999999998</v>
      </c>
      <c r="N32" s="6"/>
      <c r="O32" s="6"/>
      <c r="P32" s="6"/>
      <c r="Q32" s="6"/>
    </row>
    <row r="33" spans="2:21">
      <c r="B33" s="4">
        <v>3100</v>
      </c>
      <c r="C33" s="7">
        <v>160456</v>
      </c>
      <c r="D33" s="8">
        <v>336.12599999999998</v>
      </c>
      <c r="E33" s="7">
        <v>141846</v>
      </c>
      <c r="F33" s="8">
        <v>288.99900000000002</v>
      </c>
      <c r="G33" s="7">
        <v>110784</v>
      </c>
      <c r="H33" s="8">
        <v>285.71300000000002</v>
      </c>
      <c r="I33" s="9">
        <v>105115</v>
      </c>
      <c r="J33" s="8">
        <v>268.00700000000001</v>
      </c>
      <c r="K33" s="7">
        <v>105939</v>
      </c>
      <c r="L33" s="8">
        <v>274.73</v>
      </c>
      <c r="N33" s="6"/>
      <c r="O33" s="6"/>
      <c r="P33" s="6"/>
      <c r="Q33" s="6"/>
    </row>
    <row r="34" spans="2:21">
      <c r="N34" s="6"/>
      <c r="O34" s="6"/>
      <c r="P34" s="6"/>
      <c r="Q34" s="6"/>
    </row>
    <row r="35" spans="2:21">
      <c r="N35" s="6"/>
      <c r="O35" s="6"/>
      <c r="P35" s="6"/>
      <c r="Q35" s="6"/>
    </row>
    <row r="36" spans="2:21">
      <c r="B36" s="2" t="s">
        <v>76</v>
      </c>
      <c r="N36" s="6"/>
      <c r="O36" s="6"/>
      <c r="P36" s="6"/>
      <c r="Q36" s="6"/>
    </row>
    <row r="37" spans="2:21">
      <c r="B37" s="16" t="s">
        <v>77</v>
      </c>
      <c r="C37" s="16" t="s">
        <v>78</v>
      </c>
      <c r="D37" s="16" t="s">
        <v>79</v>
      </c>
      <c r="E37" s="16" t="s">
        <v>80</v>
      </c>
      <c r="F37" s="16" t="s">
        <v>81</v>
      </c>
      <c r="G37" s="16" t="s">
        <v>116</v>
      </c>
    </row>
    <row r="38" spans="2:21">
      <c r="B38" s="16">
        <v>298</v>
      </c>
      <c r="C38" s="16">
        <v>37.200000000000003</v>
      </c>
      <c r="D38" s="16">
        <v>33.450000000000003</v>
      </c>
      <c r="E38" s="16">
        <v>29.31</v>
      </c>
      <c r="F38" s="16">
        <v>29.07</v>
      </c>
      <c r="G38" s="16">
        <v>29.07</v>
      </c>
    </row>
    <row r="39" spans="2:21">
      <c r="B39" s="16">
        <v>300</v>
      </c>
      <c r="C39" s="16">
        <v>37.28</v>
      </c>
      <c r="D39" s="16">
        <v>33.47</v>
      </c>
      <c r="E39" s="16">
        <v>29.33</v>
      </c>
      <c r="F39" s="16">
        <v>29.07</v>
      </c>
      <c r="G39" s="16">
        <v>29.08</v>
      </c>
    </row>
    <row r="40" spans="2:21">
      <c r="B40" s="16">
        <v>400</v>
      </c>
      <c r="C40" s="16">
        <v>41.27</v>
      </c>
      <c r="D40" s="16">
        <v>34.44</v>
      </c>
      <c r="E40" s="16">
        <v>30.21</v>
      </c>
      <c r="F40" s="16">
        <v>29.32</v>
      </c>
      <c r="G40" s="16">
        <v>29.43</v>
      </c>
    </row>
    <row r="41" spans="2:21">
      <c r="B41" s="16">
        <v>500</v>
      </c>
      <c r="C41" s="16">
        <v>44.57</v>
      </c>
      <c r="D41" s="16">
        <v>35.340000000000003</v>
      </c>
      <c r="E41" s="16">
        <v>31.11</v>
      </c>
      <c r="F41" s="16">
        <v>29.63</v>
      </c>
      <c r="G41" s="16">
        <v>29.86</v>
      </c>
    </row>
    <row r="42" spans="2:21">
      <c r="B42" s="16">
        <v>600</v>
      </c>
      <c r="C42" s="16">
        <v>47.31</v>
      </c>
      <c r="D42" s="16">
        <v>36.29</v>
      </c>
      <c r="E42" s="16">
        <v>32.03</v>
      </c>
      <c r="F42" s="16">
        <v>30.08</v>
      </c>
      <c r="G42" s="16">
        <v>30.41</v>
      </c>
    </row>
    <row r="43" spans="2:21">
      <c r="B43" s="16">
        <v>700</v>
      </c>
      <c r="C43" s="16">
        <v>49.61</v>
      </c>
      <c r="D43" s="16">
        <v>37.36</v>
      </c>
      <c r="E43" s="16">
        <v>32.93</v>
      </c>
      <c r="F43" s="16">
        <v>30.68</v>
      </c>
      <c r="G43" s="16">
        <v>31.09</v>
      </c>
    </row>
    <row r="44" spans="2:21">
      <c r="B44" s="16">
        <v>800</v>
      </c>
      <c r="C44" s="16">
        <v>51.55</v>
      </c>
      <c r="D44" s="16">
        <v>38.590000000000003</v>
      </c>
      <c r="E44" s="16">
        <v>33.76</v>
      </c>
      <c r="F44" s="16">
        <v>31.39</v>
      </c>
      <c r="G44" s="16">
        <v>31.86</v>
      </c>
    </row>
    <row r="45" spans="2:21">
      <c r="B45" s="16">
        <v>900</v>
      </c>
      <c r="C45" s="16">
        <v>53.13</v>
      </c>
      <c r="D45" s="16">
        <v>39.93</v>
      </c>
      <c r="E45" s="16">
        <v>34.450000000000003</v>
      </c>
      <c r="F45" s="16">
        <v>32.130000000000003</v>
      </c>
      <c r="G45" s="16">
        <v>32.630000000000003</v>
      </c>
      <c r="U45" s="2">
        <f>-8775.8/46.897</f>
        <v>-187.12924067637587</v>
      </c>
    </row>
    <row r="46" spans="2:21">
      <c r="B46" s="16">
        <v>1000</v>
      </c>
      <c r="C46" s="16">
        <v>54.36</v>
      </c>
      <c r="D46" s="16">
        <v>41.31</v>
      </c>
      <c r="E46" s="16">
        <v>34.93</v>
      </c>
      <c r="F46" s="16">
        <v>32.76</v>
      </c>
      <c r="G46" s="16">
        <v>33.25</v>
      </c>
    </row>
    <row r="47" spans="2:21">
      <c r="B47" s="16">
        <v>1200</v>
      </c>
      <c r="C47" s="16">
        <v>56.2</v>
      </c>
      <c r="D47" s="16">
        <v>43.87</v>
      </c>
      <c r="E47" s="16">
        <v>35.590000000000003</v>
      </c>
      <c r="F47" s="16">
        <v>33.71</v>
      </c>
      <c r="G47" s="16">
        <v>34.15</v>
      </c>
    </row>
    <row r="48" spans="2:21">
      <c r="B48" s="16">
        <v>1400</v>
      </c>
      <c r="C48" s="16">
        <v>57.67</v>
      </c>
      <c r="D48" s="16">
        <v>46.1</v>
      </c>
      <c r="E48" s="16">
        <v>36.200000000000003</v>
      </c>
      <c r="F48" s="16">
        <v>34.479999999999997</v>
      </c>
      <c r="G48" s="16">
        <v>34.869999999999997</v>
      </c>
    </row>
    <row r="49" spans="2:7">
      <c r="B49" s="16">
        <v>1600</v>
      </c>
      <c r="C49" s="16">
        <v>58.83</v>
      </c>
      <c r="D49" s="16">
        <v>48.03</v>
      </c>
      <c r="E49" s="16">
        <v>36.770000000000003</v>
      </c>
      <c r="F49" s="16">
        <v>35.1</v>
      </c>
      <c r="G49" s="16">
        <v>35.450000000000003</v>
      </c>
    </row>
    <row r="50" spans="2:7">
      <c r="B50" s="16">
        <v>1800</v>
      </c>
      <c r="C50" s="16">
        <v>59.73</v>
      </c>
      <c r="D50" s="16">
        <v>49.7</v>
      </c>
      <c r="E50" s="16">
        <v>37.29</v>
      </c>
      <c r="F50" s="16">
        <v>35.590000000000003</v>
      </c>
      <c r="G50" s="16">
        <v>35.909999999999997</v>
      </c>
    </row>
    <row r="51" spans="2:7">
      <c r="B51" s="16">
        <v>2000</v>
      </c>
      <c r="C51" s="16">
        <v>60.43</v>
      </c>
      <c r="D51" s="16">
        <v>51.14</v>
      </c>
      <c r="E51" s="16">
        <v>37.79</v>
      </c>
      <c r="F51" s="16">
        <v>35.99</v>
      </c>
      <c r="G51" s="16">
        <v>36.270000000000003</v>
      </c>
    </row>
    <row r="52" spans="2:7">
      <c r="B52" s="16">
        <v>2200</v>
      </c>
      <c r="C52" s="16">
        <v>60.96</v>
      </c>
      <c r="D52" s="16">
        <v>52.38</v>
      </c>
      <c r="E52" s="16">
        <v>38.25</v>
      </c>
      <c r="F52" s="16">
        <v>36.299999999999997</v>
      </c>
      <c r="G52" s="16">
        <v>36.549999999999997</v>
      </c>
    </row>
    <row r="53" spans="2:7">
      <c r="B53" s="16">
        <v>2400</v>
      </c>
      <c r="C53" s="16">
        <v>61.37</v>
      </c>
      <c r="D53" s="16">
        <v>53.43</v>
      </c>
      <c r="E53" s="16">
        <v>38.68</v>
      </c>
      <c r="F53" s="16">
        <v>36.54</v>
      </c>
      <c r="G53" s="16">
        <v>36.770000000000003</v>
      </c>
    </row>
    <row r="54" spans="2:7">
      <c r="B54" s="16">
        <v>2600</v>
      </c>
      <c r="C54" s="16">
        <v>61.7</v>
      </c>
      <c r="D54" s="16">
        <v>54.34</v>
      </c>
      <c r="E54" s="16">
        <v>39.090000000000003</v>
      </c>
      <c r="F54" s="16">
        <v>36.74</v>
      </c>
      <c r="G54" s="16">
        <v>36.950000000000003</v>
      </c>
    </row>
    <row r="55" spans="2:7">
      <c r="B55" s="16">
        <v>2800</v>
      </c>
      <c r="C55" s="16">
        <v>61.96</v>
      </c>
      <c r="D55" s="16">
        <v>55.11</v>
      </c>
      <c r="E55" s="16">
        <v>39.479999999999997</v>
      </c>
      <c r="F55" s="16">
        <v>36.89</v>
      </c>
      <c r="G55" s="16">
        <v>37.090000000000003</v>
      </c>
    </row>
    <row r="56" spans="2:7">
      <c r="B56" s="16">
        <v>3000</v>
      </c>
      <c r="C56" s="16">
        <v>62.19</v>
      </c>
      <c r="D56" s="16">
        <v>55.78</v>
      </c>
      <c r="E56" s="16">
        <v>39.840000000000003</v>
      </c>
      <c r="F56" s="16">
        <v>37.03</v>
      </c>
      <c r="G56" s="16">
        <v>37.21</v>
      </c>
    </row>
    <row r="57" spans="2:7">
      <c r="B57" s="16">
        <v>3200</v>
      </c>
      <c r="C57" s="16">
        <v>62.4</v>
      </c>
      <c r="D57" s="16">
        <v>56.35</v>
      </c>
      <c r="E57" s="16">
        <v>40.19</v>
      </c>
      <c r="F57" s="16">
        <v>37.14</v>
      </c>
      <c r="G57" s="16">
        <v>37.32</v>
      </c>
    </row>
    <row r="58" spans="2:7">
      <c r="B58" s="16">
        <v>3400</v>
      </c>
      <c r="C58" s="16">
        <v>62.61</v>
      </c>
      <c r="D58" s="16">
        <v>56.85</v>
      </c>
      <c r="E58" s="16">
        <v>40.520000000000003</v>
      </c>
      <c r="F58" s="16">
        <v>37.25</v>
      </c>
      <c r="G58" s="16">
        <v>37.42</v>
      </c>
    </row>
    <row r="59" spans="2:7">
      <c r="B59" s="16">
        <v>3500</v>
      </c>
      <c r="C59" s="16">
        <v>62.72</v>
      </c>
      <c r="D59" s="16">
        <v>57.07</v>
      </c>
      <c r="E59" s="16">
        <v>40.68</v>
      </c>
      <c r="F59" s="16">
        <v>37.299999999999997</v>
      </c>
      <c r="G59" s="16">
        <v>37.47</v>
      </c>
    </row>
    <row r="62" spans="2:7">
      <c r="B62" s="25"/>
      <c r="C62" s="25" t="s">
        <v>123</v>
      </c>
      <c r="D62" s="25" t="s">
        <v>124</v>
      </c>
      <c r="E62" s="25" t="s">
        <v>125</v>
      </c>
      <c r="F62" s="25" t="s">
        <v>126</v>
      </c>
    </row>
    <row r="63" spans="2:7" ht="18.600000000000001">
      <c r="B63" s="26" t="s">
        <v>127</v>
      </c>
      <c r="C63" s="26">
        <v>22.26</v>
      </c>
      <c r="D63" s="26">
        <v>5.9810000000000002E-2</v>
      </c>
      <c r="E63" s="26">
        <v>-3.5009999999999999E-5</v>
      </c>
      <c r="F63" s="26">
        <v>7.4690000000000006E-9</v>
      </c>
    </row>
    <row r="64" spans="2:7" ht="18.600000000000001">
      <c r="B64" s="16" t="s">
        <v>128</v>
      </c>
      <c r="C64" s="16">
        <v>32.24</v>
      </c>
      <c r="D64" s="16">
        <v>1.923E-3</v>
      </c>
      <c r="E64" s="16">
        <v>1.0550000000000001E-5</v>
      </c>
      <c r="F64" s="16">
        <v>-3.5950000000000001E-9</v>
      </c>
    </row>
    <row r="65" spans="2:6" ht="18.600000000000001">
      <c r="B65" s="26" t="s">
        <v>129</v>
      </c>
      <c r="C65" s="26">
        <v>28.9</v>
      </c>
      <c r="D65" s="26">
        <v>-1.5709999999999999E-3</v>
      </c>
      <c r="E65" s="26">
        <v>8.0809999999999994E-6</v>
      </c>
      <c r="F65" s="26">
        <v>-2.8729999999999999E-9</v>
      </c>
    </row>
    <row r="66" spans="2:6" ht="18.600000000000001">
      <c r="B66" s="16" t="s">
        <v>128</v>
      </c>
      <c r="C66" s="16">
        <v>25.48</v>
      </c>
      <c r="D66" s="16">
        <v>1.52E-2</v>
      </c>
      <c r="E66" s="16">
        <v>-7.1550000000000001E-6</v>
      </c>
      <c r="F66" s="16">
        <v>1.312E-9</v>
      </c>
    </row>
  </sheetData>
  <pageMargins left="0.75" right="0.75" top="1" bottom="1" header="0.5" footer="0.5"/>
  <pageSetup orientation="portrait" horizontalDpi="4294967292" verticalDpi="4294967292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BE12-37AB-4D9B-B627-028A136A0BBA}">
  <dimension ref="A1:AF68"/>
  <sheetViews>
    <sheetView zoomScale="72" zoomScaleNormal="100" workbookViewId="0">
      <selection activeCell="R10" sqref="R10"/>
    </sheetView>
  </sheetViews>
  <sheetFormatPr defaultRowHeight="14.4"/>
  <cols>
    <col min="1" max="1" width="10.33203125" bestFit="1" customWidth="1"/>
    <col min="2" max="3" width="12.109375" bestFit="1" customWidth="1"/>
    <col min="4" max="4" width="10.5546875" bestFit="1" customWidth="1"/>
    <col min="5" max="5" width="8" bestFit="1" customWidth="1"/>
    <col min="8" max="8" width="9" bestFit="1" customWidth="1"/>
    <col min="9" max="9" width="9.109375" bestFit="1" customWidth="1"/>
    <col min="10" max="10" width="10.109375" bestFit="1" customWidth="1"/>
    <col min="11" max="11" width="9" bestFit="1" customWidth="1"/>
    <col min="12" max="12" width="12" bestFit="1" customWidth="1"/>
    <col min="13" max="13" width="11.6640625" bestFit="1" customWidth="1"/>
    <col min="14" max="14" width="9" bestFit="1" customWidth="1"/>
    <col min="15" max="15" width="11" bestFit="1" customWidth="1"/>
    <col min="16" max="16" width="13.21875" bestFit="1" customWidth="1"/>
    <col min="19" max="20" width="9.109375" bestFit="1" customWidth="1"/>
    <col min="21" max="21" width="12.109375" bestFit="1" customWidth="1"/>
    <col min="22" max="22" width="9.109375" bestFit="1" customWidth="1"/>
    <col min="23" max="24" width="9" bestFit="1" customWidth="1"/>
    <col min="26" max="26" width="10.44140625" bestFit="1" customWidth="1"/>
    <col min="27" max="28" width="9" bestFit="1" customWidth="1"/>
    <col min="29" max="29" width="12" bestFit="1" customWidth="1"/>
    <col min="30" max="32" width="9" bestFit="1" customWidth="1"/>
  </cols>
  <sheetData>
    <row r="1" spans="1:32">
      <c r="A1" t="s">
        <v>1</v>
      </c>
    </row>
    <row r="2" spans="1:32">
      <c r="A2" t="s">
        <v>2</v>
      </c>
      <c r="B2" t="s">
        <v>0</v>
      </c>
      <c r="C2" t="s">
        <v>3</v>
      </c>
      <c r="D2" t="s">
        <v>4</v>
      </c>
      <c r="E2" t="s">
        <v>5</v>
      </c>
      <c r="H2" t="s">
        <v>87</v>
      </c>
    </row>
    <row r="3" spans="1:32">
      <c r="A3" t="s">
        <v>62</v>
      </c>
      <c r="B3" s="17">
        <v>8</v>
      </c>
      <c r="C3" s="17">
        <v>18</v>
      </c>
      <c r="D3">
        <f>B3*12+C3</f>
        <v>114</v>
      </c>
      <c r="E3">
        <f>VLOOKUP(A3,Table2[[#All],[Formula]:[Sº]],2,FALSE)</f>
        <v>-249950</v>
      </c>
      <c r="H3" t="str">
        <f>A3</f>
        <v>C8H18(l)</v>
      </c>
      <c r="I3" t="s">
        <v>66</v>
      </c>
      <c r="J3" t="s">
        <v>50</v>
      </c>
      <c r="K3" t="s">
        <v>54</v>
      </c>
      <c r="L3" t="s">
        <v>57</v>
      </c>
      <c r="M3" t="s">
        <v>50</v>
      </c>
    </row>
    <row r="4" spans="1:32">
      <c r="H4">
        <v>1</v>
      </c>
      <c r="I4">
        <f>K4+L4/2</f>
        <v>12.5</v>
      </c>
      <c r="J4">
        <f>3.76*I4</f>
        <v>47</v>
      </c>
      <c r="K4">
        <f>H4*B3</f>
        <v>8</v>
      </c>
      <c r="L4">
        <f>(C3*H4)/2</f>
        <v>9</v>
      </c>
      <c r="M4">
        <f>J4</f>
        <v>47</v>
      </c>
    </row>
    <row r="5" spans="1:32">
      <c r="A5" t="s">
        <v>7</v>
      </c>
      <c r="B5" s="17">
        <v>298</v>
      </c>
      <c r="D5" t="s">
        <v>8</v>
      </c>
      <c r="E5">
        <v>298</v>
      </c>
    </row>
    <row r="6" spans="1:32">
      <c r="A6" t="s">
        <v>9</v>
      </c>
      <c r="B6">
        <v>1</v>
      </c>
      <c r="H6" t="s">
        <v>88</v>
      </c>
    </row>
    <row r="7" spans="1:32">
      <c r="H7" t="str">
        <f>A3</f>
        <v>C8H18(l)</v>
      </c>
      <c r="I7" t="s">
        <v>66</v>
      </c>
      <c r="J7" t="s">
        <v>50</v>
      </c>
      <c r="K7" t="s">
        <v>35</v>
      </c>
      <c r="L7" t="s">
        <v>75</v>
      </c>
      <c r="M7" t="s">
        <v>50</v>
      </c>
      <c r="N7" t="s">
        <v>66</v>
      </c>
    </row>
    <row r="8" spans="1:32">
      <c r="A8" t="s">
        <v>82</v>
      </c>
      <c r="E8" t="s">
        <v>5</v>
      </c>
      <c r="H8">
        <f>H4</f>
        <v>1</v>
      </c>
      <c r="I8">
        <f>I4*C11</f>
        <v>12.5</v>
      </c>
      <c r="J8">
        <f>3.76*I8</f>
        <v>47</v>
      </c>
      <c r="K8">
        <f>K4</f>
        <v>8</v>
      </c>
      <c r="L8">
        <f>L4</f>
        <v>9</v>
      </c>
      <c r="M8">
        <f>J8</f>
        <v>47</v>
      </c>
      <c r="N8" s="18">
        <f>I8-K8-L4/2</f>
        <v>0</v>
      </c>
    </row>
    <row r="9" spans="1:32">
      <c r="A9" t="s">
        <v>7</v>
      </c>
      <c r="B9" s="17">
        <v>400</v>
      </c>
      <c r="E9" t="s">
        <v>83</v>
      </c>
    </row>
    <row r="10" spans="1:32">
      <c r="A10" t="s">
        <v>84</v>
      </c>
      <c r="B10" s="17">
        <v>1</v>
      </c>
      <c r="D10" t="s">
        <v>66</v>
      </c>
      <c r="E10">
        <f>VLOOKUP(D10,Table2[[#All],[Formula]:[Sº]],2,FALSE)</f>
        <v>0</v>
      </c>
    </row>
    <row r="11" spans="1:32">
      <c r="A11" t="s">
        <v>85</v>
      </c>
      <c r="B11">
        <f>B12+100</f>
        <v>100</v>
      </c>
      <c r="C11">
        <f>B11/100</f>
        <v>1</v>
      </c>
      <c r="D11" t="s">
        <v>50</v>
      </c>
      <c r="E11">
        <f>VLOOKUP(D11,Table2[[#All],[Formula]:[Sº]],2,FALSE)</f>
        <v>0</v>
      </c>
      <c r="H11" s="28" t="s">
        <v>115</v>
      </c>
      <c r="I11" s="28"/>
      <c r="J11" s="28"/>
      <c r="K11" s="28"/>
      <c r="L11" s="28"/>
      <c r="M11" s="28"/>
      <c r="N11" s="28"/>
      <c r="O11" s="28"/>
      <c r="P11" s="28"/>
      <c r="R11" s="28" t="s">
        <v>121</v>
      </c>
      <c r="S11" s="28"/>
      <c r="T11" s="28"/>
      <c r="U11" s="28"/>
      <c r="V11" s="28"/>
      <c r="W11" s="28"/>
      <c r="X11" s="28"/>
      <c r="Z11" s="28" t="s">
        <v>122</v>
      </c>
      <c r="AA11" s="28"/>
      <c r="AB11" s="28"/>
      <c r="AC11" s="28"/>
      <c r="AD11" s="28"/>
      <c r="AE11" s="28"/>
      <c r="AF11" s="28"/>
    </row>
    <row r="12" spans="1:32">
      <c r="A12" t="s">
        <v>86</v>
      </c>
      <c r="B12" s="17">
        <v>0</v>
      </c>
      <c r="D12" t="s">
        <v>75</v>
      </c>
      <c r="E12">
        <v>-241820</v>
      </c>
      <c r="H12" t="s">
        <v>91</v>
      </c>
      <c r="R12" t="s">
        <v>91</v>
      </c>
      <c r="Z12" t="s">
        <v>91</v>
      </c>
    </row>
    <row r="13" spans="1:32">
      <c r="M13" t="s">
        <v>92</v>
      </c>
      <c r="N13">
        <f>(X15+X12)/2</f>
        <v>0</v>
      </c>
      <c r="S13" s="23"/>
      <c r="T13" s="23"/>
      <c r="U13" s="23"/>
      <c r="V13" s="23" t="s">
        <v>92</v>
      </c>
      <c r="W13" s="23">
        <f>(AH12+AH9)/2</f>
        <v>0</v>
      </c>
      <c r="X13" s="23"/>
      <c r="AA13" s="23"/>
      <c r="AB13" s="23"/>
      <c r="AC13" s="23"/>
      <c r="AD13" s="23" t="s">
        <v>92</v>
      </c>
      <c r="AE13" s="23">
        <f>(AP12+AP9)/2</f>
        <v>0</v>
      </c>
      <c r="AF13" s="23"/>
    </row>
    <row r="14" spans="1:32">
      <c r="B14" t="s">
        <v>90</v>
      </c>
      <c r="I14" t="s">
        <v>93</v>
      </c>
      <c r="J14" t="s">
        <v>5</v>
      </c>
      <c r="K14" s="19" t="s">
        <v>104</v>
      </c>
      <c r="L14" s="19" t="s">
        <v>105</v>
      </c>
      <c r="M14" t="s">
        <v>95</v>
      </c>
      <c r="S14" s="24" t="s">
        <v>93</v>
      </c>
      <c r="T14" s="24" t="s">
        <v>5</v>
      </c>
      <c r="U14" s="24" t="s">
        <v>94</v>
      </c>
      <c r="V14" s="24" t="s">
        <v>95</v>
      </c>
      <c r="W14" s="23"/>
      <c r="X14" s="23"/>
      <c r="AA14" s="24" t="s">
        <v>93</v>
      </c>
      <c r="AB14" s="24" t="s">
        <v>5</v>
      </c>
      <c r="AC14" s="24" t="s">
        <v>94</v>
      </c>
      <c r="AD14" s="24" t="s">
        <v>95</v>
      </c>
      <c r="AE14" s="23"/>
      <c r="AF14" s="23"/>
    </row>
    <row r="15" spans="1:32">
      <c r="A15" t="s">
        <v>89</v>
      </c>
      <c r="B15" s="22">
        <f>I39</f>
        <v>2460.035034472422</v>
      </c>
      <c r="H15" t="str">
        <f>$H$3</f>
        <v>C8H18(l)</v>
      </c>
      <c r="I15">
        <f>HLOOKUP(H15,$H$3:$J$4,2)</f>
        <v>1</v>
      </c>
      <c r="J15">
        <f>VLOOKUP(H15,Table2[[#All],[Formula]:[Sº]],2,FALSE)</f>
        <v>-249950</v>
      </c>
      <c r="K15">
        <v>0</v>
      </c>
      <c r="M15">
        <f>I15*SUM(J15:K15)</f>
        <v>-249950</v>
      </c>
      <c r="O15" t="s">
        <v>102</v>
      </c>
      <c r="P15" s="20">
        <f>SUMPRODUCT(I15:I17,J15:J17)</f>
        <v>-249950</v>
      </c>
      <c r="R15" t="str">
        <f>$H$3</f>
        <v>C8H18(l)</v>
      </c>
      <c r="S15" s="24">
        <f>$H$8</f>
        <v>1</v>
      </c>
      <c r="T15">
        <f>VLOOKUP(R15,Table2[[#All],[Formula]:[Sº]],2,FALSE)</f>
        <v>-249950</v>
      </c>
      <c r="U15">
        <v>0</v>
      </c>
      <c r="V15" s="24">
        <f>S15*(T15+U15)</f>
        <v>-249950</v>
      </c>
      <c r="W15" s="23"/>
      <c r="X15" s="23"/>
      <c r="Z15" t="str">
        <f>$H$3</f>
        <v>C8H18(l)</v>
      </c>
      <c r="AA15" s="24">
        <f>$H$8</f>
        <v>1</v>
      </c>
      <c r="AB15">
        <f>VLOOKUP(Z15,Table2[[#All],[Formula]:[Sº]],2,FALSE)</f>
        <v>-249950</v>
      </c>
      <c r="AC15">
        <v>0</v>
      </c>
      <c r="AD15" s="24">
        <f>AA15*(AB15+AC15)</f>
        <v>-249950</v>
      </c>
      <c r="AE15" s="23"/>
      <c r="AF15" s="23"/>
    </row>
    <row r="16" spans="1:32">
      <c r="A16" t="s">
        <v>113</v>
      </c>
      <c r="B16" s="22">
        <f>X59</f>
        <v>2387.9058596062819</v>
      </c>
      <c r="H16" t="str">
        <f>$I$3</f>
        <v>O2</v>
      </c>
      <c r="I16">
        <f>HLOOKUP(H16,$H$3:$J$4,2,FALSE)</f>
        <v>12.5</v>
      </c>
      <c r="J16">
        <f>VLOOKUP(H16,Table2[[#All],[Formula]:[Sº]],2,FALSE)</f>
        <v>0</v>
      </c>
      <c r="K16" cm="1">
        <f t="array" ref="K16">[2]!PINTERP(Table1[T(K)],Table1[O2h],'Class 4'!$B$9)</f>
        <v>11711</v>
      </c>
      <c r="L16" cm="1">
        <f t="array" ref="L16">[2]!PINTERP(Table1[T(K)],Table1[O2h],298)</f>
        <v>8682</v>
      </c>
      <c r="M16">
        <f>I16*SUM(J16:K16)</f>
        <v>146387.5</v>
      </c>
      <c r="O16" t="s">
        <v>103</v>
      </c>
      <c r="P16" s="20">
        <f>SUMPRODUCT(I15:I17,K15:K17)-SUMPRODUCT(I15:I17,L15:L17)</f>
        <v>177499.5</v>
      </c>
      <c r="R16" t="str">
        <f>$I$3</f>
        <v>O2</v>
      </c>
      <c r="S16" s="24">
        <f>$I$8</f>
        <v>12.5</v>
      </c>
      <c r="T16">
        <f>VLOOKUP(R16,Table2[[#All],[Formula]:[Sº]],2,FALSE)</f>
        <v>0</v>
      </c>
      <c r="U16" cm="1">
        <f t="array" ref="U16">[2]!PINTERP(Table1[T(K)],Table1[O2h],'Class 4'!$B$9)-[2]!PINTERP(Table1[T(K)],Table1[O2h],298)</f>
        <v>3029</v>
      </c>
      <c r="V16" s="24">
        <f>S16*(T16+U16*W13)</f>
        <v>0</v>
      </c>
      <c r="W16" s="23"/>
      <c r="X16" s="24" t="s">
        <v>96</v>
      </c>
      <c r="Z16" t="str">
        <f>$I$3</f>
        <v>O2</v>
      </c>
      <c r="AA16" s="24">
        <f>$I$8</f>
        <v>12.5</v>
      </c>
      <c r="AB16">
        <f>VLOOKUP(Z16,Table2[[#All],[Formula]:[Sº]],2,FALSE)</f>
        <v>0</v>
      </c>
      <c r="AC16" cm="1">
        <f t="array" ref="AC16">[2]!PINTERP(Table1[T(K)],Table1[O2h],'Class 4'!$B$9)-[2]!PINTERP(Table1[T(K)],Table1[O2h],298)</f>
        <v>3029</v>
      </c>
      <c r="AD16" s="24">
        <f>AA16*(AB16+AC16*AE13)</f>
        <v>0</v>
      </c>
      <c r="AE16" s="23"/>
      <c r="AF16" s="24" t="s">
        <v>96</v>
      </c>
    </row>
    <row r="17" spans="1:32">
      <c r="A17" t="s">
        <v>114</v>
      </c>
      <c r="B17" s="22">
        <f>AF59</f>
        <v>2383.1482017738881</v>
      </c>
      <c r="H17" t="str">
        <f>$J$3</f>
        <v>N2</v>
      </c>
      <c r="I17">
        <f>HLOOKUP(H17,$H$3:$J$4,2,FALSE)</f>
        <v>47</v>
      </c>
      <c r="J17">
        <f>VLOOKUP(H17,Table2[[#All],[Formula]:[Sº]],2,FALSE)</f>
        <v>0</v>
      </c>
      <c r="K17" cm="1">
        <f t="array" ref="K17">[2]!PINTERP(Table1[T(K)],Table1[N2h],'Class 4'!$B$9)</f>
        <v>11640</v>
      </c>
      <c r="L17" cm="1">
        <f t="array" ref="L17">[2]!PINTERP(Table1[T(K)],Table1[N2h],298)</f>
        <v>8669</v>
      </c>
      <c r="M17">
        <f>I17*SUM(J17:K17)</f>
        <v>547080</v>
      </c>
      <c r="R17" t="str">
        <f>$J$3</f>
        <v>N2</v>
      </c>
      <c r="S17" s="24">
        <f>$J$8</f>
        <v>47</v>
      </c>
      <c r="T17">
        <f>VLOOKUP(R17,Table2[[#All],[Formula]:[Sº]],2,FALSE)</f>
        <v>0</v>
      </c>
      <c r="U17" cm="1">
        <f t="array" ref="U17">[2]!PINTERP(Table1[T(K)],Table1[N2h],'Class 4'!$B$9)-[2]!PINTERP(Table1[T(K)],Table1[N2h],298)</f>
        <v>2971</v>
      </c>
      <c r="V17" s="24">
        <f>S17*(T17+U17)</f>
        <v>139637</v>
      </c>
      <c r="W17" s="23"/>
      <c r="X17" s="23">
        <f>SUM(V15:V17)</f>
        <v>-110313</v>
      </c>
      <c r="Z17" t="str">
        <f>$J$3</f>
        <v>N2</v>
      </c>
      <c r="AA17" s="24">
        <f>$J$8</f>
        <v>47</v>
      </c>
      <c r="AB17">
        <f>VLOOKUP(Z17,Table2[[#All],[Formula]:[Sº]],2,FALSE)</f>
        <v>0</v>
      </c>
      <c r="AC17" cm="1">
        <f t="array" ref="AC17">[2]!PINTERP(Table1[T(K)],Table1[N2h],'Class 4'!$B$9)-[2]!PINTERP(Table1[T(K)],Table1[N2h],298)</f>
        <v>2971</v>
      </c>
      <c r="AD17" s="24">
        <f>AA17*(AB17+AC17)</f>
        <v>139637</v>
      </c>
      <c r="AE17" s="23"/>
      <c r="AF17" s="23">
        <f>SUM(AD15:AD17)</f>
        <v>-110313</v>
      </c>
    </row>
    <row r="19" spans="1:32">
      <c r="H19" t="s">
        <v>97</v>
      </c>
      <c r="I19">
        <v>1</v>
      </c>
      <c r="R19" s="28" t="s">
        <v>97</v>
      </c>
      <c r="S19" s="28"/>
      <c r="T19" s="28"/>
      <c r="U19" s="28"/>
      <c r="V19" s="28"/>
      <c r="W19" s="28"/>
      <c r="X19" s="28"/>
      <c r="Z19" s="28" t="s">
        <v>97</v>
      </c>
      <c r="AA19" s="28"/>
      <c r="AB19" s="28"/>
      <c r="AC19" s="28"/>
      <c r="AD19" s="28"/>
      <c r="AE19" s="28"/>
      <c r="AF19" s="28"/>
    </row>
    <row r="20" spans="1:32">
      <c r="I20" t="s">
        <v>93</v>
      </c>
      <c r="J20" t="s">
        <v>5</v>
      </c>
      <c r="K20" s="19" t="s">
        <v>106</v>
      </c>
      <c r="L20" s="19" t="s">
        <v>105</v>
      </c>
      <c r="M20" t="s">
        <v>95</v>
      </c>
      <c r="O20" t="s">
        <v>99</v>
      </c>
      <c r="P20" s="17">
        <v>2500</v>
      </c>
      <c r="S20" s="24" t="s">
        <v>93</v>
      </c>
      <c r="T20" s="24" t="s">
        <v>5</v>
      </c>
      <c r="U20" s="24" t="s">
        <v>98</v>
      </c>
      <c r="V20" s="23"/>
      <c r="W20" s="23" t="s">
        <v>99</v>
      </c>
      <c r="X20" s="27">
        <v>2500</v>
      </c>
      <c r="AA20" s="24" t="s">
        <v>93</v>
      </c>
      <c r="AB20" s="24" t="s">
        <v>5</v>
      </c>
      <c r="AC20" s="24" t="s">
        <v>98</v>
      </c>
      <c r="AD20" s="23"/>
      <c r="AE20" s="23" t="s">
        <v>99</v>
      </c>
      <c r="AF20" s="27">
        <v>3000</v>
      </c>
    </row>
    <row r="21" spans="1:32">
      <c r="H21" t="str">
        <f>$K$7</f>
        <v>CO2(g)</v>
      </c>
      <c r="I21">
        <f>HLOOKUP(H21,$K$7:$N$8,2,FALSE)</f>
        <v>8</v>
      </c>
      <c r="J21">
        <f>VLOOKUP(H21,Table2[[#All],[Formula]:[Sº]],2,FALSE)</f>
        <v>-393520</v>
      </c>
      <c r="K21" cm="1">
        <f t="array" ref="K21">[2]!PINTERP(Table1[T(K)],Table1[CO2h],'Class 4'!P20)</f>
        <v>131290</v>
      </c>
      <c r="L21" cm="1">
        <f t="array" ref="L21">[2]!PINTERP(Table1[T(K)],Table1[CO2h],298)</f>
        <v>9364</v>
      </c>
      <c r="M21">
        <f>I21*SUM(J21:K21)</f>
        <v>-2097840</v>
      </c>
      <c r="R21" t="str">
        <f>$K$7</f>
        <v>CO2(g)</v>
      </c>
      <c r="S21">
        <f>HLOOKUP(R21,$K$7:$N$8,2,FALSE)</f>
        <v>8</v>
      </c>
      <c r="T21">
        <f>VLOOKUP(R21,Table2[[#All],[Formula]:[Sº]],2,FALSE)</f>
        <v>-393520</v>
      </c>
      <c r="U21" s="23" cm="1">
        <f t="array" ref="U21">[2]!PINTERP(Table4[T],Table4[CO2cp],X21)</f>
        <v>57.986718750000001</v>
      </c>
      <c r="V21" s="23"/>
      <c r="W21" s="23" t="s">
        <v>92</v>
      </c>
      <c r="X21" s="23">
        <f>(X20+B9)/2</f>
        <v>1450</v>
      </c>
      <c r="Z21" t="str">
        <f>$K$7</f>
        <v>CO2(g)</v>
      </c>
      <c r="AA21">
        <f>HLOOKUP(Z21,$K$7:$N$8,2,FALSE)</f>
        <v>8</v>
      </c>
      <c r="AB21">
        <f>VLOOKUP(Z21,Table2[[#All],[Formula]:[Sº]],2,FALSE)</f>
        <v>-393520</v>
      </c>
      <c r="AC21" s="23">
        <f>(Datos!$C$63+Datos!$D$63*'Class 4'!AF21+Datos!$E$63*'Class 4'!AF21^2+Datos!$F$63*'Class 4'!AF21^3)</f>
        <v>59.453297000000013</v>
      </c>
      <c r="AD21" s="23"/>
      <c r="AE21" s="23" t="s">
        <v>92</v>
      </c>
      <c r="AF21" s="23">
        <f>(AF20+B9)/2</f>
        <v>1700</v>
      </c>
    </row>
    <row r="22" spans="1:32">
      <c r="H22" t="str">
        <f>$L$7</f>
        <v>H2O(g)</v>
      </c>
      <c r="I22">
        <f t="shared" ref="I22:I24" si="0">HLOOKUP(H22,$K$7:$N$8,2,FALSE)</f>
        <v>9</v>
      </c>
      <c r="J22">
        <f>VLOOKUP(H22,Table2[[#All],[Formula]:[Sº]],2,FALSE)</f>
        <v>-241820</v>
      </c>
      <c r="K22" cm="1">
        <f t="array" ref="K22">[2]!PINTERP(Table1[T(K)],Table1[H2Oh],'Class 4'!P20)</f>
        <v>108868</v>
      </c>
      <c r="L22" cm="1">
        <f t="array" ref="L22">[2]!PINTERP(Table1[T(K)],Table1[H2Oh],298)</f>
        <v>9904</v>
      </c>
      <c r="M22">
        <f>I22*SUM(J22:K22)</f>
        <v>-1196568</v>
      </c>
      <c r="O22" t="s">
        <v>102</v>
      </c>
      <c r="P22" s="20">
        <f>SUMPRODUCT(I21:I24,J21:J24)</f>
        <v>-5324540</v>
      </c>
      <c r="R22" t="str">
        <f>$L$7</f>
        <v>H2O(g)</v>
      </c>
      <c r="S22">
        <f t="shared" ref="S22:S24" si="1">HLOOKUP(R22,$K$7:$N$8,2,FALSE)</f>
        <v>9</v>
      </c>
      <c r="T22">
        <f>VLOOKUP(R22,Table2[[#All],[Formula]:[Sº]],2,FALSE)</f>
        <v>-241820</v>
      </c>
      <c r="U22" s="23" cm="1">
        <f t="array" ref="U22">[2]!PINTERP(Table4[T],Table4[H2Ocp],X21)</f>
        <v>46.608750000000001</v>
      </c>
      <c r="V22" s="23"/>
      <c r="W22" s="23"/>
      <c r="X22" s="23"/>
      <c r="Y22" s="20"/>
      <c r="Z22" t="str">
        <f>$L$7</f>
        <v>H2O(g)</v>
      </c>
      <c r="AA22">
        <f t="shared" ref="AA22:AA24" si="2">HLOOKUP(Z22,$K$7:$N$8,2,FALSE)</f>
        <v>9</v>
      </c>
      <c r="AB22">
        <f>VLOOKUP(Z22,Table2[[#All],[Formula]:[Sº]],2,FALSE)</f>
        <v>-241820</v>
      </c>
      <c r="AC22" s="23">
        <f>(Datos!$C$64+Datos!$D$64*'Class 4'!AF21+Datos!$E$64*'Class 4'!AF21^2+Datos!$F$64*'Class 4'!AF21^3)</f>
        <v>48.336365000000015</v>
      </c>
      <c r="AD22" s="23"/>
      <c r="AE22" s="23"/>
      <c r="AF22" s="23"/>
    </row>
    <row r="23" spans="1:32">
      <c r="H23" t="str">
        <f>$M$7</f>
        <v>N2</v>
      </c>
      <c r="I23">
        <f t="shared" si="0"/>
        <v>47</v>
      </c>
      <c r="J23">
        <f>VLOOKUP(H23,Table2[[#All],[Formula]:[Sº]],2,FALSE)</f>
        <v>0</v>
      </c>
      <c r="K23" cm="1">
        <f t="array" ref="K23">[2]!PINTERP(Table1[T(K)],Table1[N2h],'Class 4'!P20)</f>
        <v>82981</v>
      </c>
      <c r="L23" cm="1">
        <f t="array" ref="L23">[2]!PINTERP(Table1[T(K)],Table1[N2h],298)</f>
        <v>8669</v>
      </c>
      <c r="M23">
        <f>I23*SUM(J23:K23)</f>
        <v>3900107</v>
      </c>
      <c r="O23" t="s">
        <v>108</v>
      </c>
      <c r="P23" s="20">
        <f>SUMPRODUCT(I21:I24,L21:L24)</f>
        <v>571491</v>
      </c>
      <c r="R23" t="str">
        <f>$M$7</f>
        <v>N2</v>
      </c>
      <c r="S23">
        <f t="shared" si="1"/>
        <v>47</v>
      </c>
      <c r="T23">
        <f>VLOOKUP(R23,Table2[[#All],[Formula]:[Sº]],2,FALSE)</f>
        <v>0</v>
      </c>
      <c r="U23" s="23" cm="1">
        <f t="array" ref="U23">[2]!PINTERP(Table4[T],Table4[N2cp],X21)</f>
        <v>34.648125</v>
      </c>
      <c r="V23" s="23"/>
      <c r="W23" s="23" t="s">
        <v>100</v>
      </c>
      <c r="X23" s="23">
        <f>(($X$17-T25)/U25)+298</f>
        <v>2373.8641779476407</v>
      </c>
      <c r="Y23" s="20"/>
      <c r="Z23" t="str">
        <f>$M$7</f>
        <v>N2</v>
      </c>
      <c r="AA23">
        <f t="shared" si="2"/>
        <v>47</v>
      </c>
      <c r="AB23">
        <f>VLOOKUP(Z23,Table2[[#All],[Formula]:[Sº]],2,FALSE)</f>
        <v>0</v>
      </c>
      <c r="AC23" s="23">
        <f>(Datos!$C$65+Datos!$D$65*'Class 4'!AF21+Datos!$E$65*'Class 4'!AF21^2+Datos!$F$65*'Class 4'!AF21^3)</f>
        <v>35.468340999999995</v>
      </c>
      <c r="AD23" s="23"/>
      <c r="AE23" s="23" t="s">
        <v>100</v>
      </c>
      <c r="AF23" s="23">
        <f>(($X$17-AB25)/AC25)+298</f>
        <v>2320.8484338656408</v>
      </c>
    </row>
    <row r="24" spans="1:32">
      <c r="H24" t="str">
        <f>$N$7</f>
        <v>O2</v>
      </c>
      <c r="I24">
        <f t="shared" si="0"/>
        <v>0</v>
      </c>
      <c r="J24">
        <f>VLOOKUP(H24,Table2[[#All],[Formula]:[Sº]],2,FALSE)</f>
        <v>0</v>
      </c>
      <c r="K24" cm="1">
        <f t="array" ref="K24">[2]!PINTERP(Table1[T(K)],Table1[O2h],'Class 4'!P20)</f>
        <v>87057</v>
      </c>
      <c r="L24" cm="1">
        <f t="array" ref="L24">[2]!PINTERP(Table1[T(K)],Table1[O2h],298)</f>
        <v>8682</v>
      </c>
      <c r="M24">
        <f>I24*SUM(J24:K24)</f>
        <v>0</v>
      </c>
      <c r="P24" s="20"/>
      <c r="R24" t="str">
        <f>$N$7</f>
        <v>O2</v>
      </c>
      <c r="S24">
        <f t="shared" si="1"/>
        <v>0</v>
      </c>
      <c r="T24">
        <f>VLOOKUP(R24,Table2[[#All],[Formula]:[Sº]],2,FALSE)</f>
        <v>0</v>
      </c>
      <c r="U24" s="23" cm="1">
        <f t="array" ref="U24">[2]!PINTERP(Table4[T],Table4[O2cp],X21)</f>
        <v>36.346718750000008</v>
      </c>
      <c r="V24" s="23"/>
      <c r="W24" s="23"/>
      <c r="X24" s="23"/>
      <c r="Y24" s="20"/>
      <c r="Z24" t="str">
        <f>$N$7</f>
        <v>O2</v>
      </c>
      <c r="AA24">
        <f t="shared" si="2"/>
        <v>0</v>
      </c>
      <c r="AB24">
        <f>VLOOKUP(Z24,Table2[[#All],[Formula]:[Sº]],2,FALSE)</f>
        <v>0</v>
      </c>
      <c r="AC24" s="23">
        <f>(Datos!$C$66+Datos!$D$66*'Class 4'!AF21+Datos!$E$66*'Class 4'!AF21^2+Datos!$F$66*'Class 4'!AF21^3)</f>
        <v>37.087906000000004</v>
      </c>
      <c r="AD24" s="23"/>
      <c r="AE24" s="23"/>
      <c r="AF24" s="23"/>
    </row>
    <row r="25" spans="1:32">
      <c r="O25" t="s">
        <v>107</v>
      </c>
      <c r="P25" s="20">
        <f>SUMPRODUCT(I21:I24,K21:K24)</f>
        <v>5930239</v>
      </c>
      <c r="S25" s="23"/>
      <c r="T25">
        <f>SUMPRODUCT(S21:S24,T21:T24)</f>
        <v>-5324540</v>
      </c>
      <c r="U25" s="23">
        <f>SUMPRODUCT(S21:S24,U21:U24)</f>
        <v>2511.8343749999999</v>
      </c>
      <c r="V25" s="23"/>
      <c r="W25" s="23"/>
      <c r="X25" s="23"/>
      <c r="Y25" s="20"/>
      <c r="AA25" s="23"/>
      <c r="AB25">
        <f>SUMPRODUCT(AA21:AA24,AB21:AB24)</f>
        <v>-5324540</v>
      </c>
      <c r="AC25" s="23">
        <f>SUMPRODUCT(AA21:AA24,AC21:AC24)</f>
        <v>2577.665688</v>
      </c>
      <c r="AD25" s="23"/>
      <c r="AE25" s="23"/>
      <c r="AF25" s="23"/>
    </row>
    <row r="26" spans="1:32">
      <c r="N26" t="s">
        <v>109</v>
      </c>
      <c r="P26" s="20"/>
      <c r="S26" s="23"/>
      <c r="T26" s="23"/>
      <c r="U26" s="23"/>
      <c r="V26" s="23"/>
      <c r="W26" s="23"/>
      <c r="X26" s="23"/>
      <c r="Y26" s="20"/>
      <c r="AA26" s="23"/>
      <c r="AB26" s="23"/>
      <c r="AC26" s="23"/>
      <c r="AD26" s="23"/>
      <c r="AE26" s="23"/>
      <c r="AF26" s="23"/>
    </row>
    <row r="27" spans="1:32">
      <c r="H27" t="s">
        <v>97</v>
      </c>
      <c r="I27">
        <v>2</v>
      </c>
      <c r="R27" s="28" t="s">
        <v>101</v>
      </c>
      <c r="S27" s="28"/>
      <c r="T27" s="28"/>
      <c r="U27" s="28"/>
      <c r="V27" s="28"/>
      <c r="W27" s="28"/>
      <c r="X27" s="28"/>
      <c r="Z27" s="28" t="s">
        <v>101</v>
      </c>
      <c r="AA27" s="28"/>
      <c r="AB27" s="28"/>
      <c r="AC27" s="28"/>
      <c r="AD27" s="28"/>
      <c r="AE27" s="28"/>
      <c r="AF27" s="28"/>
    </row>
    <row r="28" spans="1:32">
      <c r="I28" t="s">
        <v>93</v>
      </c>
      <c r="J28" t="s">
        <v>5</v>
      </c>
      <c r="K28" s="19" t="s">
        <v>106</v>
      </c>
      <c r="L28" s="19" t="s">
        <v>105</v>
      </c>
      <c r="M28" t="s">
        <v>95</v>
      </c>
      <c r="O28" t="s">
        <v>99</v>
      </c>
      <c r="P28" s="17">
        <v>2000</v>
      </c>
      <c r="S28" s="24" t="s">
        <v>93</v>
      </c>
      <c r="T28" s="24" t="s">
        <v>5</v>
      </c>
      <c r="U28" s="24" t="s">
        <v>98</v>
      </c>
      <c r="V28" s="23"/>
      <c r="W28" s="23" t="s">
        <v>99</v>
      </c>
      <c r="X28" s="23">
        <f>X23</f>
        <v>2373.8641779476407</v>
      </c>
      <c r="AA28" s="24" t="s">
        <v>93</v>
      </c>
      <c r="AB28" s="24" t="s">
        <v>5</v>
      </c>
      <c r="AC28" s="24" t="s">
        <v>98</v>
      </c>
      <c r="AD28" s="23"/>
      <c r="AE28" s="23" t="s">
        <v>99</v>
      </c>
      <c r="AF28" s="23">
        <f>AF23</f>
        <v>2320.8484338656408</v>
      </c>
    </row>
    <row r="29" spans="1:32">
      <c r="H29" t="str">
        <f>$K$7</f>
        <v>CO2(g)</v>
      </c>
      <c r="I29">
        <f>HLOOKUP(H29,$K$7:$N$8,2,FALSE)</f>
        <v>8</v>
      </c>
      <c r="J29">
        <f>VLOOKUP(H29,Table2[[#All],[Formula]:[Sº]],2,FALSE)</f>
        <v>-393520</v>
      </c>
      <c r="K29" cm="1">
        <f t="array" ref="K29">[2]!PINTERP(Table1[T(K)],Table1[CO2h],'Class 4'!P28)</f>
        <v>100804</v>
      </c>
      <c r="L29" cm="1">
        <f t="array" ref="L29">[2]!PINTERP(Table1[T(K)],Table1[CO2h],298)</f>
        <v>9364</v>
      </c>
      <c r="M29">
        <f>I29*SUM(J29:K29)</f>
        <v>-2341728</v>
      </c>
      <c r="R29" t="str">
        <f>$K$7</f>
        <v>CO2(g)</v>
      </c>
      <c r="S29">
        <f>HLOOKUP(R29,$K$7:$N$8,2,FALSE)</f>
        <v>8</v>
      </c>
      <c r="T29">
        <f>VLOOKUP(R29,Table2[[#All],[Formula]:[Sº]],2,FALSE)</f>
        <v>-393520</v>
      </c>
      <c r="U29" s="23" cm="1">
        <f t="array" ref="U29">[2]!PINTERP(Table4[T],Table4[CO2cp],X29)</f>
        <v>57.584332804560837</v>
      </c>
      <c r="V29" s="23"/>
      <c r="W29" s="23" t="s">
        <v>92</v>
      </c>
      <c r="X29" s="23">
        <f>(X28+$B$9)/2</f>
        <v>1386.9320889738203</v>
      </c>
      <c r="Z29" t="str">
        <f>$K$7</f>
        <v>CO2(g)</v>
      </c>
      <c r="AA29">
        <f>HLOOKUP(Z29,$K$7:$N$8,2,FALSE)</f>
        <v>8</v>
      </c>
      <c r="AB29">
        <f>VLOOKUP(Z29,Table2[[#All],[Formula]:[Sº]],2,FALSE)</f>
        <v>-393520</v>
      </c>
      <c r="AC29" s="23">
        <f>(Datos!$C$63+Datos!$D$63*'Class 4'!AF29+Datos!$E$63*'Class 4'!AF29^2+Datos!$F$63*'Class 4'!AF29^3)</f>
        <v>57.637600713365984</v>
      </c>
      <c r="AD29" s="23"/>
      <c r="AE29" s="23" t="s">
        <v>92</v>
      </c>
      <c r="AF29" s="23">
        <f>(AF28+$B$9)/2</f>
        <v>1360.4242169328204</v>
      </c>
    </row>
    <row r="30" spans="1:32">
      <c r="H30" t="str">
        <f>$L$7</f>
        <v>H2O(g)</v>
      </c>
      <c r="I30">
        <f t="shared" ref="I30:I32" si="3">HLOOKUP(H30,$K$7:$N$8,2,FALSE)</f>
        <v>9</v>
      </c>
      <c r="J30">
        <f>VLOOKUP(H30,Table2[[#All],[Formula]:[Sº]],2,FALSE)</f>
        <v>-241820</v>
      </c>
      <c r="K30" cm="1">
        <f t="array" ref="K30">[2]!PINTERP(Table1[T(K)],Table1[H2Oh],'Class 4'!P28)</f>
        <v>82593</v>
      </c>
      <c r="L30" cm="1">
        <f t="array" ref="L30">[2]!PINTERP(Table1[T(K)],Table1[H2Oh],298)</f>
        <v>9904</v>
      </c>
      <c r="M30">
        <f>I30*SUM(J30:K30)</f>
        <v>-1433043</v>
      </c>
      <c r="O30" t="s">
        <v>102</v>
      </c>
      <c r="P30" s="20">
        <f>SUMPRODUCT(I29:I32,J29:J32)</f>
        <v>-5324540</v>
      </c>
      <c r="R30" t="str">
        <f>$L$7</f>
        <v>H2O(g)</v>
      </c>
      <c r="S30">
        <f t="shared" ref="S30:S32" si="4">HLOOKUP(R30,$K$7:$N$8,2,FALSE)</f>
        <v>9</v>
      </c>
      <c r="T30">
        <f>VLOOKUP(R30,Table2[[#All],[Formula]:[Sº]],2,FALSE)</f>
        <v>-241820</v>
      </c>
      <c r="U30" s="23" cm="1">
        <f t="array" ref="U30">[2]!PINTERP(Table4[T],Table4[H2Ocp],X29)</f>
        <v>45.963911363940532</v>
      </c>
      <c r="V30" s="23"/>
      <c r="W30" s="23"/>
      <c r="X30" s="23"/>
      <c r="Y30" s="20"/>
      <c r="Z30" t="str">
        <f>$L$7</f>
        <v>H2O(g)</v>
      </c>
      <c r="AA30">
        <f t="shared" ref="AA30:AA32" si="5">HLOOKUP(Z30,$K$7:$N$8,2,FALSE)</f>
        <v>9</v>
      </c>
      <c r="AB30">
        <f>VLOOKUP(Z30,Table2[[#All],[Formula]:[Sº]],2,FALSE)</f>
        <v>-241820</v>
      </c>
      <c r="AC30" s="23">
        <f>(Datos!$C$64+Datos!$D$64*'Class 4'!AF29+Datos!$E$64*'Class 4'!AF29^2+Datos!$F$64*'Class 4'!AF29^3)</f>
        <v>45.330021784762245</v>
      </c>
      <c r="AD30" s="23"/>
      <c r="AE30" s="23"/>
      <c r="AF30" s="23"/>
    </row>
    <row r="31" spans="1:32">
      <c r="H31" t="str">
        <f>$M$7</f>
        <v>N2</v>
      </c>
      <c r="I31">
        <f t="shared" si="3"/>
        <v>47</v>
      </c>
      <c r="J31">
        <f>VLOOKUP(H31,Table2[[#All],[Formula]:[Sº]],2,FALSE)</f>
        <v>0</v>
      </c>
      <c r="K31" cm="1">
        <f t="array" ref="K31">[2]!PINTERP(Table1[T(K)],Table1[N2h],'Class 4'!P28)</f>
        <v>64810</v>
      </c>
      <c r="L31" cm="1">
        <f t="array" ref="L31">[2]!PINTERP(Table1[T(K)],Table1[N2h],298)</f>
        <v>8669</v>
      </c>
      <c r="M31">
        <f>I31*SUM(J31:K31)</f>
        <v>3046070</v>
      </c>
      <c r="O31" t="s">
        <v>108</v>
      </c>
      <c r="P31" s="20">
        <f>SUMPRODUCT(I29:I32,L29:L32)</f>
        <v>571491</v>
      </c>
      <c r="R31" t="str">
        <f>$M$7</f>
        <v>N2</v>
      </c>
      <c r="S31">
        <f t="shared" si="4"/>
        <v>47</v>
      </c>
      <c r="T31">
        <f>VLOOKUP(R31,Table2[[#All],[Formula]:[Sº]],2,FALSE)</f>
        <v>0</v>
      </c>
      <c r="U31" s="23" cm="1">
        <f t="array" ref="U31">[2]!PINTERP(Table4[T],Table4[N2cp],X29)</f>
        <v>34.43472684210667</v>
      </c>
      <c r="V31" s="23"/>
      <c r="W31" s="23" t="s">
        <v>100</v>
      </c>
      <c r="X31" s="23">
        <f>($X$17-T33)/U33+298</f>
        <v>2389.7300209189566</v>
      </c>
      <c r="Y31" s="20"/>
      <c r="Z31" t="str">
        <f>$M$7</f>
        <v>N2</v>
      </c>
      <c r="AA31">
        <f t="shared" si="5"/>
        <v>47</v>
      </c>
      <c r="AB31">
        <f>VLOOKUP(Z31,Table2[[#All],[Formula]:[Sº]],2,FALSE)</f>
        <v>0</v>
      </c>
      <c r="AC31" s="23">
        <f>(Datos!$C$65+Datos!$D$65*'Class 4'!AF29+Datos!$E$65*'Class 4'!AF29^2+Datos!$F$65*'Class 4'!AF29^3)</f>
        <v>34.485047095610369</v>
      </c>
      <c r="AD31" s="23"/>
      <c r="AE31" s="23" t="s">
        <v>100</v>
      </c>
      <c r="AF31" s="23">
        <f>($AF$17-AB33)/AC33+298</f>
        <v>2392.1779038888753</v>
      </c>
    </row>
    <row r="32" spans="1:32">
      <c r="H32" t="str">
        <f>$N$7</f>
        <v>O2</v>
      </c>
      <c r="I32">
        <f t="shared" si="3"/>
        <v>0</v>
      </c>
      <c r="J32">
        <f>VLOOKUP(H32,Table2[[#All],[Formula]:[Sº]],2,FALSE)</f>
        <v>0</v>
      </c>
      <c r="K32" cm="1">
        <f t="array" ref="K32">[2]!PINTERP(Table1[T(K)],Table1[O2h],'Class 4'!P28)</f>
        <v>67881</v>
      </c>
      <c r="L32" cm="1">
        <f t="array" ref="L32">[2]!PINTERP(Table1[T(K)],Table1[O2h],298)</f>
        <v>8682</v>
      </c>
      <c r="M32">
        <f>I32*SUM(J32:K32)</f>
        <v>0</v>
      </c>
      <c r="P32" s="20"/>
      <c r="R32" t="str">
        <f>$N$7</f>
        <v>O2</v>
      </c>
      <c r="S32">
        <f t="shared" si="4"/>
        <v>0</v>
      </c>
      <c r="T32">
        <f>VLOOKUP(R32,Table2[[#All],[Formula]:[Sº]],2,FALSE)</f>
        <v>0</v>
      </c>
      <c r="U32" s="23" cm="1">
        <f t="array" ref="U32">[2]!PINTERP(Table4[T],Table4[O2cp],X29)</f>
        <v>36.161516953067647</v>
      </c>
      <c r="V32" s="23"/>
      <c r="W32" s="23"/>
      <c r="X32" s="23"/>
      <c r="Y32" s="20"/>
      <c r="Z32" t="str">
        <f>$N$7</f>
        <v>O2</v>
      </c>
      <c r="AA32">
        <f t="shared" si="5"/>
        <v>0</v>
      </c>
      <c r="AB32">
        <f>VLOOKUP(Z32,Table2[[#All],[Formula]:[Sº]],2,FALSE)</f>
        <v>0</v>
      </c>
      <c r="AC32" s="23">
        <f>(Datos!$C$66+Datos!$D$66*'Class 4'!AF29+Datos!$E$66*'Class 4'!AF29^2+Datos!$F$66*'Class 4'!AF29^3)</f>
        <v>36.219670415055006</v>
      </c>
      <c r="AD32" s="23"/>
      <c r="AE32" s="23"/>
      <c r="AF32" s="23"/>
    </row>
    <row r="33" spans="8:32">
      <c r="O33" t="s">
        <v>107</v>
      </c>
      <c r="P33" s="20">
        <f>SUMPRODUCT(I29:I32,K29:K32)</f>
        <v>4595839</v>
      </c>
      <c r="S33" s="23"/>
      <c r="T33">
        <f>SUMPRODUCT(S29:S32,T29:T32)</f>
        <v>-5324540</v>
      </c>
      <c r="U33" s="23">
        <f>SUMPRODUCT(S29:S32,U29:U32)</f>
        <v>2492.7820262909654</v>
      </c>
      <c r="V33" s="23"/>
      <c r="W33" s="23"/>
      <c r="X33" s="23"/>
      <c r="Y33" s="20"/>
      <c r="AA33" s="23"/>
      <c r="AB33">
        <f>SUMPRODUCT(AA29:AA32,AB29:AB32)</f>
        <v>-5324540</v>
      </c>
      <c r="AC33" s="23">
        <f>SUMPRODUCT(AA29:AA32,AC29:AC32)</f>
        <v>2489.8682152634756</v>
      </c>
      <c r="AD33" s="23"/>
      <c r="AE33" s="23"/>
      <c r="AF33" s="23"/>
    </row>
    <row r="34" spans="8:32">
      <c r="R34" s="28" t="s">
        <v>117</v>
      </c>
      <c r="S34" s="28"/>
      <c r="T34" s="28"/>
      <c r="U34" s="28"/>
      <c r="V34" s="28"/>
      <c r="W34" s="28"/>
      <c r="X34" s="28"/>
      <c r="Z34" s="28" t="s">
        <v>117</v>
      </c>
      <c r="AA34" s="28"/>
      <c r="AB34" s="28"/>
      <c r="AC34" s="28"/>
      <c r="AD34" s="28"/>
      <c r="AE34" s="28"/>
      <c r="AF34" s="28"/>
    </row>
    <row r="35" spans="8:32">
      <c r="H35" t="s">
        <v>110</v>
      </c>
      <c r="S35" s="24" t="s">
        <v>93</v>
      </c>
      <c r="T35" s="24" t="s">
        <v>5</v>
      </c>
      <c r="U35" s="24" t="s">
        <v>98</v>
      </c>
      <c r="V35" s="23"/>
      <c r="W35" s="23" t="s">
        <v>99</v>
      </c>
      <c r="X35" s="23">
        <f>X31</f>
        <v>2389.7300209189566</v>
      </c>
      <c r="AA35" s="24" t="s">
        <v>93</v>
      </c>
      <c r="AB35" s="24" t="s">
        <v>5</v>
      </c>
      <c r="AC35" s="24" t="s">
        <v>98</v>
      </c>
      <c r="AD35" s="23"/>
      <c r="AE35" s="23" t="s">
        <v>99</v>
      </c>
      <c r="AF35" s="23">
        <f>AF31</f>
        <v>2392.1779038888753</v>
      </c>
    </row>
    <row r="36" spans="8:32">
      <c r="R36" t="str">
        <f>$K$7</f>
        <v>CO2(g)</v>
      </c>
      <c r="S36">
        <f>HLOOKUP(R36,$K$7:$N$8,2,FALSE)</f>
        <v>8</v>
      </c>
      <c r="T36">
        <f>VLOOKUP(R36,Table2[[#All],[Formula]:[Sº]],2,FALSE)</f>
        <v>-393520</v>
      </c>
      <c r="U36" s="23" cm="1">
        <f t="array" ref="U36">[2]!PINTERP(Table4[T],Table4[CO2cp],X36)</f>
        <v>57.636510503486889</v>
      </c>
      <c r="V36" s="23"/>
      <c r="W36" s="23" t="s">
        <v>92</v>
      </c>
      <c r="X36" s="23">
        <f>(X35+$B$9)/2</f>
        <v>1394.8650104594783</v>
      </c>
      <c r="Z36" t="str">
        <f>$K$7</f>
        <v>CO2(g)</v>
      </c>
      <c r="AA36">
        <f>HLOOKUP(Z36,$K$7:$N$8,2,FALSE)</f>
        <v>8</v>
      </c>
      <c r="AB36">
        <f>VLOOKUP(Z36,Table2[[#All],[Formula]:[Sº]],2,FALSE)</f>
        <v>-393520</v>
      </c>
      <c r="AC36" s="23">
        <f>(Datos!$C$63+Datos!$D$63*'Class 4'!AF36+Datos!$E$63*'Class 4'!AF36^2+Datos!$F$63*'Class 4'!AF36^3)</f>
        <v>57.846987992767239</v>
      </c>
      <c r="AD36" s="23"/>
      <c r="AE36" s="23" t="s">
        <v>92</v>
      </c>
      <c r="AF36" s="23">
        <f>(AF35+$B$9)/2</f>
        <v>1396.0889519444377</v>
      </c>
    </row>
    <row r="37" spans="8:32">
      <c r="H37" t="s">
        <v>111</v>
      </c>
      <c r="I37">
        <f>P20</f>
        <v>2500</v>
      </c>
      <c r="J37" s="21">
        <f>P25</f>
        <v>5930239</v>
      </c>
      <c r="R37" t="str">
        <f>$L$7</f>
        <v>H2O(g)</v>
      </c>
      <c r="S37">
        <f t="shared" ref="S37:S39" si="6">HLOOKUP(R37,$K$7:$N$8,2,FALSE)</f>
        <v>9</v>
      </c>
      <c r="T37">
        <f>VLOOKUP(R37,Table2[[#All],[Formula]:[Sº]],2,FALSE)</f>
        <v>-241820</v>
      </c>
      <c r="U37" s="23" cm="1">
        <f t="array" ref="U37">[2]!PINTERP(Table4[T],Table4[H2Ocp],X36)</f>
        <v>46.046684846423368</v>
      </c>
      <c r="V37" s="23"/>
      <c r="W37" s="23"/>
      <c r="X37" s="23"/>
      <c r="Z37" t="str">
        <f>$L$7</f>
        <v>H2O(g)</v>
      </c>
      <c r="AA37">
        <f t="shared" ref="AA37:AA39" si="7">HLOOKUP(Z37,$K$7:$N$8,2,FALSE)</f>
        <v>9</v>
      </c>
      <c r="AB37">
        <f>VLOOKUP(Z37,Table2[[#All],[Formula]:[Sº]],2,FALSE)</f>
        <v>-241820</v>
      </c>
      <c r="AC37" s="23">
        <f>(Datos!$C$64+Datos!$D$64*'Class 4'!AF36+Datos!$E$64*'Class 4'!AF36^2+Datos!$F$64*'Class 4'!AF36^3)</f>
        <v>45.705071407669855</v>
      </c>
      <c r="AD37" s="23"/>
      <c r="AE37" s="23"/>
      <c r="AF37" s="23"/>
    </row>
    <row r="38" spans="8:32">
      <c r="H38" t="s">
        <v>112</v>
      </c>
      <c r="I38">
        <f>P28</f>
        <v>2000</v>
      </c>
      <c r="J38" s="21">
        <f>P33</f>
        <v>4595839</v>
      </c>
      <c r="R38" t="str">
        <f>$M$7</f>
        <v>N2</v>
      </c>
      <c r="S38">
        <f t="shared" si="6"/>
        <v>47</v>
      </c>
      <c r="T38">
        <f>VLOOKUP(R38,Table2[[#All],[Formula]:[Sº]],2,FALSE)</f>
        <v>0</v>
      </c>
      <c r="U38" s="23" cm="1">
        <f t="array" ref="U38">[2]!PINTERP(Table4[T],Table4[N2cp],X36)</f>
        <v>34.462294089211937</v>
      </c>
      <c r="V38" s="23"/>
      <c r="W38" s="23" t="s">
        <v>100</v>
      </c>
      <c r="X38" s="23">
        <f>($X$17-T40)/U40+298</f>
        <v>2387.6694722993661</v>
      </c>
      <c r="Z38" t="str">
        <f>$M$7</f>
        <v>N2</v>
      </c>
      <c r="AA38">
        <f t="shared" si="7"/>
        <v>47</v>
      </c>
      <c r="AB38">
        <f>VLOOKUP(Z38,Table2[[#All],[Formula]:[Sº]],2,FALSE)</f>
        <v>0</v>
      </c>
      <c r="AC38" s="23">
        <f>(Datos!$C$65+Datos!$D$65*'Class 4'!AF36+Datos!$E$65*'Class 4'!AF36^2+Datos!$F$65*'Class 4'!AF36^3)</f>
        <v>34.639507234760877</v>
      </c>
      <c r="AD38" s="23"/>
      <c r="AE38" s="23" t="s">
        <v>100</v>
      </c>
      <c r="AF38" s="23">
        <f>($AF$17-AB40)/AC40+298</f>
        <v>2381.8750058070605</v>
      </c>
    </row>
    <row r="39" spans="8:32">
      <c r="H39" t="s">
        <v>90</v>
      </c>
      <c r="I39" s="17" cm="1">
        <f t="array" ref="I39">[2]!PINTERP(J37:J38,I37:I38,J39)</f>
        <v>2460.035034472422</v>
      </c>
      <c r="J39" s="21">
        <f>$P$15-P22+P23+$P$16</f>
        <v>5823580.5</v>
      </c>
      <c r="R39" t="str">
        <f>$N$7</f>
        <v>O2</v>
      </c>
      <c r="S39">
        <f t="shared" si="6"/>
        <v>0</v>
      </c>
      <c r="T39">
        <f>VLOOKUP(R39,Table2[[#All],[Formula]:[Sº]],2,FALSE)</f>
        <v>0</v>
      </c>
      <c r="U39" s="23" cm="1">
        <f t="array" ref="U39">[2]!PINTERP(Table4[T],Table4[O2cp],X36)</f>
        <v>36.184901136158587</v>
      </c>
      <c r="V39" s="23"/>
      <c r="W39" s="23"/>
      <c r="X39" s="23"/>
      <c r="Z39" t="str">
        <f>$N$7</f>
        <v>O2</v>
      </c>
      <c r="AA39">
        <f t="shared" si="7"/>
        <v>0</v>
      </c>
      <c r="AB39">
        <f>VLOOKUP(Z39,Table2[[#All],[Formula]:[Sº]],2,FALSE)</f>
        <v>0</v>
      </c>
      <c r="AC39" s="23">
        <f>(Datos!$C$66+Datos!$D$66*'Class 4'!AF36+Datos!$E$66*'Class 4'!AF36^2+Datos!$F$66*'Class 4'!AF36^3)</f>
        <v>36.325036756633388</v>
      </c>
      <c r="AD39" s="23"/>
      <c r="AE39" s="23"/>
      <c r="AF39" s="23"/>
    </row>
    <row r="40" spans="8:32">
      <c r="S40" s="23"/>
      <c r="T40">
        <f>SUMPRODUCT(S36:S39,T36:T39)</f>
        <v>-5324540</v>
      </c>
      <c r="U40" s="23">
        <f>SUMPRODUCT(S36:S39,U36:U39)</f>
        <v>2495.2400698386664</v>
      </c>
      <c r="V40" s="23"/>
      <c r="W40" s="23"/>
      <c r="X40" s="23"/>
      <c r="AA40" s="23"/>
      <c r="AB40">
        <f>SUMPRODUCT(AA36:AA39,AB36:AB39)</f>
        <v>-5324540</v>
      </c>
      <c r="AC40" s="23">
        <f>SUMPRODUCT(AA36:AA39,AC36:AC39)</f>
        <v>2502.1783866449277</v>
      </c>
      <c r="AD40" s="23"/>
      <c r="AE40" s="23"/>
      <c r="AF40" s="23"/>
    </row>
    <row r="41" spans="8:32">
      <c r="R41" s="28" t="s">
        <v>118</v>
      </c>
      <c r="S41" s="28"/>
      <c r="T41" s="28"/>
      <c r="U41" s="28"/>
      <c r="V41" s="28"/>
      <c r="W41" s="28"/>
      <c r="X41" s="28"/>
      <c r="Z41" s="28" t="s">
        <v>118</v>
      </c>
      <c r="AA41" s="28"/>
      <c r="AB41" s="28"/>
      <c r="AC41" s="28"/>
      <c r="AD41" s="28"/>
      <c r="AE41" s="28"/>
      <c r="AF41" s="28"/>
    </row>
    <row r="42" spans="8:32">
      <c r="S42" s="24" t="s">
        <v>93</v>
      </c>
      <c r="T42" s="24" t="s">
        <v>5</v>
      </c>
      <c r="U42" s="24" t="s">
        <v>98</v>
      </c>
      <c r="V42" s="23"/>
      <c r="W42" s="23" t="s">
        <v>99</v>
      </c>
      <c r="X42" s="23">
        <f>X38</f>
        <v>2387.6694722993661</v>
      </c>
      <c r="AA42" s="24" t="s">
        <v>93</v>
      </c>
      <c r="AB42" s="24" t="s">
        <v>5</v>
      </c>
      <c r="AC42" s="24" t="s">
        <v>98</v>
      </c>
      <c r="AD42" s="23"/>
      <c r="AE42" s="23" t="s">
        <v>99</v>
      </c>
      <c r="AF42" s="23">
        <f>AF38</f>
        <v>2381.8750058070605</v>
      </c>
    </row>
    <row r="43" spans="8:32">
      <c r="R43" t="str">
        <f>$K$7</f>
        <v>CO2(g)</v>
      </c>
      <c r="S43">
        <f>HLOOKUP(R43,$K$7:$N$8,2,FALSE)</f>
        <v>8</v>
      </c>
      <c r="T43">
        <f>VLOOKUP(R43,Table2[[#All],[Formula]:[Sº]],2,FALSE)</f>
        <v>-393520</v>
      </c>
      <c r="U43" s="23" cm="1">
        <f t="array" ref="U43">[2]!PINTERP(Table4[T],Table4[CO2cp],X43)</f>
        <v>57.629764240439982</v>
      </c>
      <c r="V43" s="23"/>
      <c r="W43" s="23" t="s">
        <v>92</v>
      </c>
      <c r="X43" s="23">
        <f>(X42+$B$9)/2</f>
        <v>1393.8347361496831</v>
      </c>
      <c r="Z43" t="str">
        <f>$K$7</f>
        <v>CO2(g)</v>
      </c>
      <c r="AA43">
        <f>HLOOKUP(Z43,$K$7:$N$8,2,FALSE)</f>
        <v>8</v>
      </c>
      <c r="AB43">
        <f>VLOOKUP(Z43,Table2[[#All],[Formula]:[Sº]],2,FALSE)</f>
        <v>-393520</v>
      </c>
      <c r="AC43" s="23">
        <f>(Datos!$C$63+Datos!$D$63*'Class 4'!AF43+Datos!$E$63*'Class 4'!AF43^2+Datos!$F$63*'Class 4'!AF43^3)</f>
        <v>57.817377779475699</v>
      </c>
      <c r="AD43" s="23"/>
      <c r="AE43" s="23" t="s">
        <v>92</v>
      </c>
      <c r="AF43" s="23">
        <f>(AF42+$B$9)/2</f>
        <v>1390.9375029035302</v>
      </c>
    </row>
    <row r="44" spans="8:32">
      <c r="L44">
        <f>1800/537</f>
        <v>3.3519553072625698</v>
      </c>
      <c r="R44" t="str">
        <f>$L$7</f>
        <v>H2O(g)</v>
      </c>
      <c r="S44">
        <f t="shared" ref="S44:S46" si="8">HLOOKUP(R44,$K$7:$N$8,2,FALSE)</f>
        <v>9</v>
      </c>
      <c r="T44">
        <f>VLOOKUP(R44,Table2[[#All],[Formula]:[Sº]],2,FALSE)</f>
        <v>-241820</v>
      </c>
      <c r="U44" s="23" cm="1">
        <f t="array" ref="U44">[2]!PINTERP(Table4[T],Table4[H2Ocp],X43)</f>
        <v>46.035962787092608</v>
      </c>
      <c r="V44" s="23"/>
      <c r="W44" s="23"/>
      <c r="X44" s="23"/>
      <c r="Z44" t="str">
        <f>$L$7</f>
        <v>H2O(g)</v>
      </c>
      <c r="AA44">
        <f t="shared" ref="AA44:AA46" si="9">HLOOKUP(Z44,$K$7:$N$8,2,FALSE)</f>
        <v>9</v>
      </c>
      <c r="AB44">
        <f>VLOOKUP(Z44,Table2[[#All],[Formula]:[Sº]],2,FALSE)</f>
        <v>-241820</v>
      </c>
      <c r="AC44" s="23">
        <f>(Datos!$C$64+Datos!$D$64*'Class 4'!AF43+Datos!$E$64*'Class 4'!AF43^2+Datos!$F$64*'Class 4'!AF43^3)</f>
        <v>45.651584226553609</v>
      </c>
      <c r="AD44" s="23"/>
      <c r="AE44" s="23"/>
      <c r="AF44" s="23"/>
    </row>
    <row r="45" spans="8:32">
      <c r="R45" t="str">
        <f>$M$7</f>
        <v>N2</v>
      </c>
      <c r="S45">
        <f t="shared" si="8"/>
        <v>47</v>
      </c>
      <c r="T45">
        <f>VLOOKUP(R45,Table2[[#All],[Formula]:[Sº]],2,FALSE)</f>
        <v>0</v>
      </c>
      <c r="U45" s="23" cm="1">
        <f t="array" ref="U45">[2]!PINTERP(Table4[T],Table4[N2cp],X43)</f>
        <v>34.458728508902958</v>
      </c>
      <c r="V45" s="23"/>
      <c r="W45" s="23" t="s">
        <v>100</v>
      </c>
      <c r="X45" s="23">
        <f>($X$17-T47)/U47+298</f>
        <v>2387.9358619012169</v>
      </c>
      <c r="Z45" t="str">
        <f>$M$7</f>
        <v>N2</v>
      </c>
      <c r="AA45">
        <f t="shared" si="9"/>
        <v>47</v>
      </c>
      <c r="AB45">
        <f>VLOOKUP(Z45,Table2[[#All],[Formula]:[Sº]],2,FALSE)</f>
        <v>0</v>
      </c>
      <c r="AC45" s="23">
        <f>(Datos!$C$65+Datos!$D$65*'Class 4'!AF43+Datos!$E$65*'Class 4'!AF43^2+Datos!$F$65*'Class 4'!AF43^3)</f>
        <v>34.617799617679459</v>
      </c>
      <c r="AD45" s="23"/>
      <c r="AE45" s="23" t="s">
        <v>100</v>
      </c>
      <c r="AF45" s="23">
        <f>($AF$17-AB47)/AC47+298</f>
        <v>2383.3238978488453</v>
      </c>
    </row>
    <row r="46" spans="8:32">
      <c r="R46" t="str">
        <f>$N$7</f>
        <v>O2</v>
      </c>
      <c r="S46">
        <f t="shared" si="8"/>
        <v>0</v>
      </c>
      <c r="T46">
        <f>VLOOKUP(R46,Table2[[#All],[Formula]:[Sº]],2,FALSE)</f>
        <v>0</v>
      </c>
      <c r="U46" s="23" cm="1">
        <f t="array" ref="U46">[2]!PINTERP(Table4[T],Table4[O2cp],X43)</f>
        <v>36.181868156545626</v>
      </c>
      <c r="V46" s="23"/>
      <c r="W46" s="23"/>
      <c r="X46" s="23"/>
      <c r="Z46" t="str">
        <f>$N$7</f>
        <v>O2</v>
      </c>
      <c r="AA46">
        <f t="shared" si="9"/>
        <v>0</v>
      </c>
      <c r="AB46">
        <f>VLOOKUP(Z46,Table2[[#All],[Formula]:[Sº]],2,FALSE)</f>
        <v>0</v>
      </c>
      <c r="AC46" s="23">
        <f>(Datos!$C$66+Datos!$D$66*'Class 4'!AF43+Datos!$E$66*'Class 4'!AF43^2+Datos!$F$66*'Class 4'!AF43^3)</f>
        <v>36.310086887739374</v>
      </c>
      <c r="AD46" s="23"/>
      <c r="AE46" s="23"/>
      <c r="AF46" s="23"/>
    </row>
    <row r="47" spans="8:32">
      <c r="S47" s="23"/>
      <c r="T47">
        <f>SUMPRODUCT(S43:S46,T43:T46)</f>
        <v>-5324540</v>
      </c>
      <c r="U47" s="23">
        <f>SUMPRODUCT(S43:S46,U43:U46)</f>
        <v>2494.9220189257921</v>
      </c>
      <c r="V47" s="23"/>
      <c r="W47" s="23"/>
      <c r="X47" s="23"/>
      <c r="AA47" s="23"/>
      <c r="AB47">
        <f>SUMPRODUCT(AA43:AA46,AB43:AB46)</f>
        <v>-5324540</v>
      </c>
      <c r="AC47" s="23">
        <f>SUMPRODUCT(AA43:AA46,AC43:AC46)</f>
        <v>2500.4398623057227</v>
      </c>
      <c r="AD47" s="23"/>
      <c r="AE47" s="23"/>
      <c r="AF47" s="23"/>
    </row>
    <row r="48" spans="8:32">
      <c r="R48" s="28" t="s">
        <v>119</v>
      </c>
      <c r="S48" s="28"/>
      <c r="T48" s="28"/>
      <c r="U48" s="28"/>
      <c r="V48" s="28"/>
      <c r="W48" s="28"/>
      <c r="X48" s="28"/>
      <c r="Z48" s="28" t="s">
        <v>119</v>
      </c>
      <c r="AA48" s="28"/>
      <c r="AB48" s="28"/>
      <c r="AC48" s="28"/>
      <c r="AD48" s="28"/>
      <c r="AE48" s="28"/>
      <c r="AF48" s="28"/>
    </row>
    <row r="49" spans="18:32">
      <c r="S49" s="24" t="s">
        <v>93</v>
      </c>
      <c r="T49" s="24" t="s">
        <v>5</v>
      </c>
      <c r="U49" s="24" t="s">
        <v>98</v>
      </c>
      <c r="V49" s="23"/>
      <c r="W49" s="23" t="s">
        <v>99</v>
      </c>
      <c r="X49" s="23">
        <f>X45</f>
        <v>2387.9358619012169</v>
      </c>
      <c r="AA49" s="24" t="s">
        <v>93</v>
      </c>
      <c r="AB49" s="24" t="s">
        <v>5</v>
      </c>
      <c r="AC49" s="24" t="s">
        <v>98</v>
      </c>
      <c r="AD49" s="23"/>
      <c r="AE49" s="23" t="s">
        <v>99</v>
      </c>
      <c r="AF49" s="23">
        <f>AF45</f>
        <v>2383.3238978488453</v>
      </c>
    </row>
    <row r="50" spans="18:32">
      <c r="R50" t="str">
        <f>$K$7</f>
        <v>CO2(g)</v>
      </c>
      <c r="S50">
        <f>HLOOKUP(R50,$K$7:$N$8,2,FALSE)</f>
        <v>8</v>
      </c>
      <c r="T50">
        <f>VLOOKUP(R50,Table2[[#All],[Formula]:[Sº]],2,FALSE)</f>
        <v>-393520</v>
      </c>
      <c r="U50" s="23" cm="1">
        <f t="array" ref="U50">[2]!PINTERP(Table4[T],Table4[CO2cp],X50)</f>
        <v>57.630636911286636</v>
      </c>
      <c r="V50" s="23"/>
      <c r="W50" s="23" t="s">
        <v>92</v>
      </c>
      <c r="X50" s="23">
        <f>(X49+$B$9)/2</f>
        <v>1393.9679309506084</v>
      </c>
      <c r="Z50" t="str">
        <f>$K$7</f>
        <v>CO2(g)</v>
      </c>
      <c r="AA50">
        <f>HLOOKUP(Z50,$K$7:$N$8,2,FALSE)</f>
        <v>8</v>
      </c>
      <c r="AB50">
        <f>VLOOKUP(Z50,Table2[[#All],[Formula]:[Sº]],2,FALSE)</f>
        <v>-393520</v>
      </c>
      <c r="AC50" s="23">
        <f>(Datos!$C$63+Datos!$D$63*'Class 4'!AF50+Datos!$E$63*'Class 4'!AF50^2+Datos!$F$63*'Class 4'!AF50^3)</f>
        <v>57.821554035867287</v>
      </c>
      <c r="AD50" s="23"/>
      <c r="AE50" s="23" t="s">
        <v>92</v>
      </c>
      <c r="AF50" s="23">
        <f>(AF49+$B$9)/2</f>
        <v>1391.6619489244226</v>
      </c>
    </row>
    <row r="51" spans="18:32">
      <c r="R51" t="str">
        <f>$L$7</f>
        <v>H2O(g)</v>
      </c>
      <c r="S51">
        <f t="shared" ref="S51:S53" si="10">HLOOKUP(R51,$K$7:$N$8,2,FALSE)</f>
        <v>9</v>
      </c>
      <c r="T51">
        <f>VLOOKUP(R51,Table2[[#All],[Formula]:[Sº]],2,FALSE)</f>
        <v>-241820</v>
      </c>
      <c r="U51" s="23" cm="1">
        <f t="array" ref="U51">[2]!PINTERP(Table4[T],Table4[H2Ocp],X50)</f>
        <v>46.037349415163682</v>
      </c>
      <c r="V51" s="23"/>
      <c r="W51" s="23"/>
      <c r="X51" s="23"/>
      <c r="Z51" t="str">
        <f>$L$7</f>
        <v>H2O(g)</v>
      </c>
      <c r="AA51">
        <f t="shared" ref="AA51:AA53" si="11">HLOOKUP(Z51,$K$7:$N$8,2,FALSE)</f>
        <v>9</v>
      </c>
      <c r="AB51">
        <f>VLOOKUP(Z51,Table2[[#All],[Formula]:[Sº]],2,FALSE)</f>
        <v>-241820</v>
      </c>
      <c r="AC51" s="23">
        <f>(Datos!$C$64+Datos!$D$64*'Class 4'!AF50+Datos!$E$64*'Class 4'!AF50^2+Datos!$F$64*'Class 4'!AF50^3)</f>
        <v>45.659120448888011</v>
      </c>
      <c r="AD51" s="23"/>
      <c r="AE51" s="23"/>
      <c r="AF51" s="23"/>
    </row>
    <row r="52" spans="18:32">
      <c r="R52" t="str">
        <f>$M$7</f>
        <v>N2</v>
      </c>
      <c r="S52">
        <f t="shared" si="10"/>
        <v>47</v>
      </c>
      <c r="T52">
        <f>VLOOKUP(R52,Table2[[#All],[Formula]:[Sº]],2,FALSE)</f>
        <v>0</v>
      </c>
      <c r="U52" s="23" cm="1">
        <f t="array" ref="U52">[2]!PINTERP(Table4[T],Table4[N2cp],X50)</f>
        <v>34.45918971681261</v>
      </c>
      <c r="V52" s="23"/>
      <c r="W52" s="23" t="s">
        <v>100</v>
      </c>
      <c r="X52" s="23">
        <f>($X$17-T54)/U54+298</f>
        <v>2387.9014023362301</v>
      </c>
      <c r="Z52" t="str">
        <f>$M$7</f>
        <v>N2</v>
      </c>
      <c r="AA52">
        <f t="shared" si="11"/>
        <v>47</v>
      </c>
      <c r="AB52">
        <f>VLOOKUP(Z52,Table2[[#All],[Formula]:[Sº]],2,FALSE)</f>
        <v>0</v>
      </c>
      <c r="AC52" s="23">
        <f>(Datos!$C$65+Datos!$D$65*'Class 4'!AF50+Datos!$E$65*'Class 4'!AF50^2+Datos!$F$65*'Class 4'!AF50^3)</f>
        <v>34.620864936305573</v>
      </c>
      <c r="AD52" s="23"/>
      <c r="AE52" s="23" t="s">
        <v>100</v>
      </c>
      <c r="AF52" s="23">
        <f>($AF$17-AB54)/AC54+298</f>
        <v>2383.1193369036873</v>
      </c>
    </row>
    <row r="53" spans="18:32">
      <c r="R53" t="str">
        <f>$N$7</f>
        <v>O2</v>
      </c>
      <c r="S53">
        <f t="shared" si="10"/>
        <v>0</v>
      </c>
      <c r="T53">
        <f>VLOOKUP(R53,Table2[[#All],[Formula]:[Sº]],2,FALSE)</f>
        <v>0</v>
      </c>
      <c r="U53" s="23" cm="1">
        <f t="array" ref="U53">[2]!PINTERP(Table4[T],Table4[O2cp],X50)</f>
        <v>36.182260330122844</v>
      </c>
      <c r="V53" s="23"/>
      <c r="W53" s="23"/>
      <c r="X53" s="23"/>
      <c r="Z53" t="str">
        <f>$N$7</f>
        <v>O2</v>
      </c>
      <c r="AA53">
        <f t="shared" si="11"/>
        <v>0</v>
      </c>
      <c r="AB53">
        <f>VLOOKUP(Z53,Table2[[#All],[Formula]:[Sº]],2,FALSE)</f>
        <v>0</v>
      </c>
      <c r="AC53" s="23">
        <f>(Datos!$C$66+Datos!$D$66*'Class 4'!AF50+Datos!$E$66*'Class 4'!AF50^2+Datos!$F$66*'Class 4'!AF50^3)</f>
        <v>36.312194645360968</v>
      </c>
      <c r="AD53" s="23"/>
      <c r="AE53" s="23"/>
      <c r="AF53" s="23"/>
    </row>
    <row r="54" spans="18:32">
      <c r="S54" s="23"/>
      <c r="T54">
        <f>SUMPRODUCT(S50:S53,T50:T53)</f>
        <v>-5324540</v>
      </c>
      <c r="U54" s="23">
        <f>SUMPRODUCT(S50:S53,U50:U53)</f>
        <v>2494.963156716959</v>
      </c>
      <c r="V54" s="23"/>
      <c r="W54" s="23"/>
      <c r="X54" s="23"/>
      <c r="AA54" s="23"/>
      <c r="AB54">
        <f>SUMPRODUCT(AA50:AA53,AB50:AB53)</f>
        <v>-5324540</v>
      </c>
      <c r="AC54" s="23">
        <f>SUMPRODUCT(AA50:AA53,AC50:AC53)</f>
        <v>2500.6851683332925</v>
      </c>
      <c r="AD54" s="23"/>
      <c r="AE54" s="23"/>
      <c r="AF54" s="23"/>
    </row>
    <row r="55" spans="18:32">
      <c r="R55" s="28" t="s">
        <v>120</v>
      </c>
      <c r="S55" s="28"/>
      <c r="T55" s="28"/>
      <c r="U55" s="28"/>
      <c r="V55" s="28"/>
      <c r="W55" s="28"/>
      <c r="X55" s="28"/>
      <c r="Z55" s="28" t="s">
        <v>120</v>
      </c>
      <c r="AA55" s="28"/>
      <c r="AB55" s="28"/>
      <c r="AC55" s="28"/>
      <c r="AD55" s="28"/>
      <c r="AE55" s="28"/>
      <c r="AF55" s="28"/>
    </row>
    <row r="56" spans="18:32">
      <c r="S56" s="24" t="s">
        <v>93</v>
      </c>
      <c r="T56" s="24" t="s">
        <v>5</v>
      </c>
      <c r="U56" s="24" t="s">
        <v>98</v>
      </c>
      <c r="V56" s="23"/>
      <c r="W56" s="23" t="s">
        <v>99</v>
      </c>
      <c r="X56" s="23">
        <f>X52</f>
        <v>2387.9014023362301</v>
      </c>
      <c r="AA56" s="24" t="s">
        <v>93</v>
      </c>
      <c r="AB56" s="24" t="s">
        <v>5</v>
      </c>
      <c r="AC56" s="24" t="s">
        <v>98</v>
      </c>
      <c r="AD56" s="23"/>
      <c r="AE56" s="23" t="s">
        <v>99</v>
      </c>
      <c r="AF56" s="23">
        <f>AF52</f>
        <v>2383.1193369036873</v>
      </c>
    </row>
    <row r="57" spans="18:32">
      <c r="R57" t="str">
        <f>$K$7</f>
        <v>CO2(g)</v>
      </c>
      <c r="S57">
        <f>HLOOKUP(R57,$K$7:$N$8,2,FALSE)</f>
        <v>8</v>
      </c>
      <c r="T57">
        <f>VLOOKUP(R57,Table2[[#All],[Formula]:[Sº]],2,FALSE)</f>
        <v>-393520</v>
      </c>
      <c r="U57" s="23" cm="1">
        <f t="array" ref="U57">[2]!PINTERP(Table4[T],Table4[CO2cp],X57)</f>
        <v>57.630524033023228</v>
      </c>
      <c r="V57" s="23"/>
      <c r="W57" s="23" t="s">
        <v>92</v>
      </c>
      <c r="X57" s="23">
        <f>(X56+$B$9)/2</f>
        <v>1393.9507011681151</v>
      </c>
      <c r="Z57" t="str">
        <f>$K$7</f>
        <v>CO2(g)</v>
      </c>
      <c r="AA57">
        <f>HLOOKUP(Z57,$K$7:$N$8,2,FALSE)</f>
        <v>8</v>
      </c>
      <c r="AB57">
        <f>VLOOKUP(Z57,Table2[[#All],[Formula]:[Sº]],2,FALSE)</f>
        <v>-393520</v>
      </c>
      <c r="AC57" s="23">
        <f>(Datos!$C$63+Datos!$D$63*'Class 4'!AF57+Datos!$E$63*'Class 4'!AF57^2+Datos!$F$63*'Class 4'!AF57^3)</f>
        <v>57.820964657566194</v>
      </c>
      <c r="AD57" s="23"/>
      <c r="AE57" s="23" t="s">
        <v>92</v>
      </c>
      <c r="AF57" s="23">
        <f>(AF56+$B$9)/2</f>
        <v>1391.5596684518437</v>
      </c>
    </row>
    <row r="58" spans="18:32">
      <c r="R58" t="str">
        <f>$L$7</f>
        <v>H2O(g)</v>
      </c>
      <c r="S58">
        <f t="shared" ref="S58:S60" si="12">HLOOKUP(R58,$K$7:$N$8,2,FALSE)</f>
        <v>9</v>
      </c>
      <c r="T58">
        <f>VLOOKUP(R58,Table2[[#All],[Formula]:[Sº]],2,FALSE)</f>
        <v>-241820</v>
      </c>
      <c r="U58" s="23" cm="1">
        <f t="array" ref="U58">[2]!PINTERP(Table4[T],Table4[H2Ocp],X57)</f>
        <v>46.037170051915183</v>
      </c>
      <c r="V58" s="23"/>
      <c r="W58" s="23"/>
      <c r="X58" s="23"/>
      <c r="Z58" t="str">
        <f>$L$7</f>
        <v>H2O(g)</v>
      </c>
      <c r="AA58">
        <f t="shared" ref="AA58:AA60" si="13">HLOOKUP(Z58,$K$7:$N$8,2,FALSE)</f>
        <v>9</v>
      </c>
      <c r="AB58">
        <f>VLOOKUP(Z58,Table2[[#All],[Formula]:[Sº]],2,FALSE)</f>
        <v>-241820</v>
      </c>
      <c r="AC58" s="23">
        <f>(Datos!$C$64+Datos!$D$64*'Class 4'!AF57+Datos!$E$64*'Class 4'!AF57^2+Datos!$F$64*'Class 4'!AF57^3)</f>
        <v>45.65805673546906</v>
      </c>
      <c r="AD58" s="23"/>
      <c r="AE58" s="23"/>
      <c r="AF58" s="23"/>
    </row>
    <row r="59" spans="18:32">
      <c r="R59" t="str">
        <f>$M$7</f>
        <v>N2</v>
      </c>
      <c r="S59">
        <f t="shared" si="12"/>
        <v>47</v>
      </c>
      <c r="T59">
        <f>VLOOKUP(R59,Table2[[#All],[Formula]:[Sº]],2,FALSE)</f>
        <v>0</v>
      </c>
      <c r="U59" s="23" cm="1">
        <f t="array" ref="U59">[2]!PINTERP(Table4[T],Table4[N2cp],X57)</f>
        <v>34.459130060106659</v>
      </c>
      <c r="V59" s="23"/>
      <c r="W59" s="23" t="s">
        <v>100</v>
      </c>
      <c r="X59" s="23">
        <f>($X$17-T61)/U61+298</f>
        <v>2387.9058596062819</v>
      </c>
      <c r="Z59" t="str">
        <f>$M$7</f>
        <v>N2</v>
      </c>
      <c r="AA59">
        <f t="shared" si="13"/>
        <v>47</v>
      </c>
      <c r="AB59">
        <f>VLOOKUP(Z59,Table2[[#All],[Formula]:[Sº]],2,FALSE)</f>
        <v>0</v>
      </c>
      <c r="AC59" s="23">
        <f>(Datos!$C$65+Datos!$D$65*'Class 4'!AF57+Datos!$E$65*'Class 4'!AF57^2+Datos!$F$65*'Class 4'!AF57^3)</f>
        <v>34.620432410053212</v>
      </c>
      <c r="AD59" s="23"/>
      <c r="AE59" s="23" t="s">
        <v>100</v>
      </c>
      <c r="AF59" s="23">
        <f>($AF$17-AB61)/AC61+298</f>
        <v>2383.1482017738881</v>
      </c>
    </row>
    <row r="60" spans="18:32">
      <c r="R60" t="str">
        <f>$N$7</f>
        <v>O2</v>
      </c>
      <c r="S60">
        <f t="shared" si="12"/>
        <v>0</v>
      </c>
      <c r="T60">
        <f>VLOOKUP(R60,Table2[[#All],[Formula]:[Sº]],2,FALSE)</f>
        <v>0</v>
      </c>
      <c r="U60" s="23" cm="1">
        <f t="array" ref="U60">[2]!PINTERP(Table4[T],Table4[O2cp],X57)</f>
        <v>36.182209600547139</v>
      </c>
      <c r="V60" s="23"/>
      <c r="W60" s="23"/>
      <c r="X60" s="23"/>
      <c r="Z60" t="str">
        <f>$N$7</f>
        <v>O2</v>
      </c>
      <c r="AA60">
        <f t="shared" si="13"/>
        <v>0</v>
      </c>
      <c r="AB60">
        <f>VLOOKUP(Z60,Table2[[#All],[Formula]:[Sº]],2,FALSE)</f>
        <v>0</v>
      </c>
      <c r="AC60" s="23">
        <f>(Datos!$C$66+Datos!$D$66*'Class 4'!AF57+Datos!$E$66*'Class 4'!AF57^2+Datos!$F$66*'Class 4'!AF57^3)</f>
        <v>36.311897169690276</v>
      </c>
      <c r="AD60" s="23"/>
      <c r="AE60" s="23"/>
      <c r="AF60" s="23"/>
    </row>
    <row r="61" spans="18:32">
      <c r="S61" s="23"/>
      <c r="T61">
        <f>SUMPRODUCT(S57:S60,T57:T60)</f>
        <v>-5324540</v>
      </c>
      <c r="U61" s="23">
        <f>SUMPRODUCT(S57:S60,U57:U60)</f>
        <v>2494.9578355564354</v>
      </c>
      <c r="V61" s="23"/>
      <c r="W61" s="23"/>
      <c r="X61" s="23"/>
      <c r="AA61" s="23"/>
      <c r="AB61">
        <f>SUMPRODUCT(AA57:AA60,AB57:AB60)</f>
        <v>-5324540</v>
      </c>
      <c r="AC61" s="23">
        <f>SUMPRODUCT(AA57:AA60,AC57:AC60)</f>
        <v>2500.6505511522519</v>
      </c>
      <c r="AD61" s="23"/>
      <c r="AE61" s="23"/>
      <c r="AF61" s="23"/>
    </row>
    <row r="63" spans="18:32">
      <c r="S63">
        <v>1</v>
      </c>
      <c r="T63">
        <f>X23-X20</f>
        <v>-126.13582205235934</v>
      </c>
      <c r="AA63">
        <v>1</v>
      </c>
      <c r="AB63">
        <f>AF23-AF20</f>
        <v>-679.1515661343592</v>
      </c>
      <c r="AD63">
        <f>AB63-T63</f>
        <v>-553.01574408199986</v>
      </c>
    </row>
    <row r="64" spans="18:32">
      <c r="S64">
        <v>2</v>
      </c>
      <c r="T64">
        <f>X31-X28</f>
        <v>15.865842971315942</v>
      </c>
      <c r="AA64">
        <v>2</v>
      </c>
      <c r="AB64">
        <f>AF31-AF28</f>
        <v>71.329470023234535</v>
      </c>
      <c r="AD64">
        <f t="shared" ref="AD64:AD68" si="14">AB64-T64</f>
        <v>55.463627051918593</v>
      </c>
    </row>
    <row r="65" spans="19:30">
      <c r="S65">
        <v>3</v>
      </c>
      <c r="T65">
        <f>X38-X35</f>
        <v>-2.0605486195904632</v>
      </c>
      <c r="AA65">
        <v>3</v>
      </c>
      <c r="AB65">
        <f>AF38-AF35</f>
        <v>-10.302898081814874</v>
      </c>
      <c r="AD65">
        <f t="shared" si="14"/>
        <v>-8.2423494622244107</v>
      </c>
    </row>
    <row r="66" spans="19:30">
      <c r="S66">
        <v>4</v>
      </c>
      <c r="T66">
        <f>X45-X42</f>
        <v>0.26638960185073302</v>
      </c>
      <c r="AA66">
        <v>4</v>
      </c>
      <c r="AB66">
        <f>AF45-AF42</f>
        <v>1.4488920417848021</v>
      </c>
      <c r="AD66">
        <f t="shared" si="14"/>
        <v>1.1825024399340691</v>
      </c>
    </row>
    <row r="67" spans="19:30">
      <c r="S67">
        <v>5</v>
      </c>
      <c r="T67">
        <f>X52-X49</f>
        <v>-3.445956498671876E-2</v>
      </c>
      <c r="AA67">
        <v>5</v>
      </c>
      <c r="AB67">
        <f>AF52-AF49</f>
        <v>-0.20456094515793666</v>
      </c>
      <c r="AD67">
        <f t="shared" si="14"/>
        <v>-0.1701013801712179</v>
      </c>
    </row>
    <row r="68" spans="19:30">
      <c r="S68">
        <v>6</v>
      </c>
      <c r="T68">
        <f>X59-X56</f>
        <v>4.4572700517164776E-3</v>
      </c>
      <c r="AA68">
        <v>6</v>
      </c>
      <c r="AB68">
        <f>AF59-AF56</f>
        <v>2.8864870200777659E-2</v>
      </c>
      <c r="AD68">
        <f t="shared" si="14"/>
        <v>2.4407600149061182E-2</v>
      </c>
    </row>
  </sheetData>
  <mergeCells count="15">
    <mergeCell ref="H11:P11"/>
    <mergeCell ref="R11:X11"/>
    <mergeCell ref="Z48:AF48"/>
    <mergeCell ref="Z55:AF55"/>
    <mergeCell ref="R34:X34"/>
    <mergeCell ref="R41:X41"/>
    <mergeCell ref="Z11:AF11"/>
    <mergeCell ref="Z19:AF19"/>
    <mergeCell ref="Z27:AF27"/>
    <mergeCell ref="Z34:AF34"/>
    <mergeCell ref="Z41:AF41"/>
    <mergeCell ref="R48:X48"/>
    <mergeCell ref="R55:X55"/>
    <mergeCell ref="R19:X19"/>
    <mergeCell ref="R27:X27"/>
  </mergeCells>
  <phoneticPr fontId="10" type="noConversion"/>
  <hyperlinks>
    <hyperlink ref="K14" r:id="rId1" xr:uid="{68035F31-03B9-4573-8C2D-30C226C251DE}"/>
    <hyperlink ref="L14" r:id="rId2" xr:uid="{7F2E6BC2-B900-49D8-8C95-5AC9D210334D}"/>
    <hyperlink ref="K20" r:id="rId3" xr:uid="{1A594893-2BD5-4894-BFEF-02230FD3D4D2}"/>
    <hyperlink ref="L20" r:id="rId4" xr:uid="{69D62925-FDC1-4D63-9EB5-DA0D0F10AAC8}"/>
    <hyperlink ref="K28" r:id="rId5" xr:uid="{9A6D9D6A-91B0-4260-85A5-CA5D1BE8C089}"/>
    <hyperlink ref="L28" r:id="rId6" xr:uid="{8C4ED5E6-7003-4349-8A83-6B7F5DA451F3}"/>
  </hyperlinks>
  <pageMargins left="0.7" right="0.7" top="0.75" bottom="0.75" header="0.3" footer="0.3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331E63B23F447ABE4BA18125FF301" ma:contentTypeVersion="0" ma:contentTypeDescription="Create a new document." ma:contentTypeScope="" ma:versionID="a6e04ac251bd28e1f08dfa48033ea9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92B8E-0C56-43BC-9297-0442F31E2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C36E36-33A6-4752-86A0-5DAADA64CD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Class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Chris.Simental.RTP</dc:creator>
  <cp:lastModifiedBy>Dante Leos Estrada</cp:lastModifiedBy>
  <dcterms:created xsi:type="dcterms:W3CDTF">2021-09-04T12:59:20Z</dcterms:created>
  <dcterms:modified xsi:type="dcterms:W3CDTF">2023-09-11T05:52:53Z</dcterms:modified>
</cp:coreProperties>
</file>