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  <Override PartName="/xl/threadedComments/threadedComment5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LVO\00 Repos\The-thermal-repository\102-spreadsheet-tools\"/>
    </mc:Choice>
  </mc:AlternateContent>
  <bookViews>
    <workbookView xWindow="0" yWindow="0" windowWidth="8805" windowHeight="7200"/>
  </bookViews>
  <sheets>
    <sheet name="GasTurbineCycle" sheetId="8" r:id="rId1"/>
    <sheet name="TF Main Iterations" sheetId="7" r:id="rId2"/>
    <sheet name="Fuels" sheetId="9" r:id="rId3"/>
    <sheet name="TF Main CalcsR1" sheetId="5" r:id="rId4"/>
    <sheet name="TJ Main Calcs" sheetId="1" r:id="rId5"/>
    <sheet name="GasTurb14" sheetId="3" r:id="rId6"/>
    <sheet name="Sheet1 (2)" sheetId="2" r:id="rId7"/>
  </sheets>
  <definedNames>
    <definedName name="solver_adj" localSheetId="5" hidden="1">GasTurb14!#REF!</definedName>
    <definedName name="solver_adj" localSheetId="6" hidden="1">'Sheet1 (2)'!$J$15</definedName>
    <definedName name="solver_adj" localSheetId="3" hidden="1">'TF Main CalcsR1'!#REF!</definedName>
    <definedName name="solver_adj" localSheetId="1" hidden="1">'TF Main Iterations'!#REF!</definedName>
    <definedName name="solver_adj" localSheetId="4" hidden="1">'TJ Main Calcs'!#REF!</definedName>
    <definedName name="solver_cvg" localSheetId="5" hidden="1">0.0001</definedName>
    <definedName name="solver_cvg" localSheetId="6" hidden="1">0.0001</definedName>
    <definedName name="solver_cvg" localSheetId="3" hidden="1">0.0001</definedName>
    <definedName name="solver_cvg" localSheetId="1" hidden="1">0.0001</definedName>
    <definedName name="solver_cvg" localSheetId="4" hidden="1">0.0001</definedName>
    <definedName name="solver_drv" localSheetId="5" hidden="1">1</definedName>
    <definedName name="solver_drv" localSheetId="6" hidden="1">1</definedName>
    <definedName name="solver_drv" localSheetId="3" hidden="1">1</definedName>
    <definedName name="solver_drv" localSheetId="1" hidden="1">1</definedName>
    <definedName name="solver_drv" localSheetId="4" hidden="1">1</definedName>
    <definedName name="solver_eng" localSheetId="5" hidden="1">1</definedName>
    <definedName name="solver_eng" localSheetId="6" hidden="1">1</definedName>
    <definedName name="solver_eng" localSheetId="3" hidden="1">1</definedName>
    <definedName name="solver_eng" localSheetId="1" hidden="1">1</definedName>
    <definedName name="solver_eng" localSheetId="4" hidden="1">1</definedName>
    <definedName name="solver_est" localSheetId="5" hidden="1">1</definedName>
    <definedName name="solver_est" localSheetId="6" hidden="1">1</definedName>
    <definedName name="solver_est" localSheetId="3" hidden="1">1</definedName>
    <definedName name="solver_est" localSheetId="1" hidden="1">1</definedName>
    <definedName name="solver_est" localSheetId="4" hidden="1">1</definedName>
    <definedName name="solver_itr" localSheetId="5" hidden="1">2147483647</definedName>
    <definedName name="solver_itr" localSheetId="6" hidden="1">2147483647</definedName>
    <definedName name="solver_itr" localSheetId="3" hidden="1">2147483647</definedName>
    <definedName name="solver_itr" localSheetId="1" hidden="1">2147483647</definedName>
    <definedName name="solver_itr" localSheetId="4" hidden="1">2147483647</definedName>
    <definedName name="solver_lhs1" localSheetId="5" hidden="1">GasTurb14!#REF!</definedName>
    <definedName name="solver_lhs1" localSheetId="6" hidden="1">'Sheet1 (2)'!$J$15</definedName>
    <definedName name="solver_lhs1" localSheetId="3" hidden="1">'TF Main CalcsR1'!#REF!</definedName>
    <definedName name="solver_lhs1" localSheetId="1" hidden="1">'TF Main Iterations'!#REF!</definedName>
    <definedName name="solver_lhs1" localSheetId="4" hidden="1">'TJ Main Calcs'!#REF!</definedName>
    <definedName name="solver_mip" localSheetId="5" hidden="1">2147483647</definedName>
    <definedName name="solver_mip" localSheetId="6" hidden="1">2147483647</definedName>
    <definedName name="solver_mip" localSheetId="3" hidden="1">2147483647</definedName>
    <definedName name="solver_mip" localSheetId="1" hidden="1">2147483647</definedName>
    <definedName name="solver_mip" localSheetId="4" hidden="1">2147483647</definedName>
    <definedName name="solver_mni" localSheetId="5" hidden="1">30</definedName>
    <definedName name="solver_mni" localSheetId="6" hidden="1">30</definedName>
    <definedName name="solver_mni" localSheetId="3" hidden="1">30</definedName>
    <definedName name="solver_mni" localSheetId="1" hidden="1">30</definedName>
    <definedName name="solver_mni" localSheetId="4" hidden="1">30</definedName>
    <definedName name="solver_mrt" localSheetId="5" hidden="1">0.075</definedName>
    <definedName name="solver_mrt" localSheetId="6" hidden="1">0.075</definedName>
    <definedName name="solver_mrt" localSheetId="3" hidden="1">0.075</definedName>
    <definedName name="solver_mrt" localSheetId="1" hidden="1">0.075</definedName>
    <definedName name="solver_mrt" localSheetId="4" hidden="1">0.075</definedName>
    <definedName name="solver_msl" localSheetId="5" hidden="1">2</definedName>
    <definedName name="solver_msl" localSheetId="6" hidden="1">2</definedName>
    <definedName name="solver_msl" localSheetId="3" hidden="1">2</definedName>
    <definedName name="solver_msl" localSheetId="1" hidden="1">2</definedName>
    <definedName name="solver_msl" localSheetId="4" hidden="1">2</definedName>
    <definedName name="solver_neg" localSheetId="5" hidden="1">1</definedName>
    <definedName name="solver_neg" localSheetId="6" hidden="1">1</definedName>
    <definedName name="solver_neg" localSheetId="3" hidden="1">1</definedName>
    <definedName name="solver_neg" localSheetId="1" hidden="1">1</definedName>
    <definedName name="solver_neg" localSheetId="4" hidden="1">1</definedName>
    <definedName name="solver_nod" localSheetId="5" hidden="1">2147483647</definedName>
    <definedName name="solver_nod" localSheetId="6" hidden="1">2147483647</definedName>
    <definedName name="solver_nod" localSheetId="3" hidden="1">2147483647</definedName>
    <definedName name="solver_nod" localSheetId="1" hidden="1">2147483647</definedName>
    <definedName name="solver_nod" localSheetId="4" hidden="1">2147483647</definedName>
    <definedName name="solver_num" localSheetId="5" hidden="1">1</definedName>
    <definedName name="solver_num" localSheetId="6" hidden="1">1</definedName>
    <definedName name="solver_num" localSheetId="3" hidden="1">1</definedName>
    <definedName name="solver_num" localSheetId="1" hidden="1">1</definedName>
    <definedName name="solver_num" localSheetId="4" hidden="1">1</definedName>
    <definedName name="solver_nwt" localSheetId="5" hidden="1">1</definedName>
    <definedName name="solver_nwt" localSheetId="6" hidden="1">1</definedName>
    <definedName name="solver_nwt" localSheetId="3" hidden="1">1</definedName>
    <definedName name="solver_nwt" localSheetId="1" hidden="1">1</definedName>
    <definedName name="solver_nwt" localSheetId="4" hidden="1">1</definedName>
    <definedName name="solver_opt" localSheetId="5" hidden="1">GasTurb14!#REF!</definedName>
    <definedName name="solver_opt" localSheetId="6" hidden="1">'Sheet1 (2)'!$L$15</definedName>
    <definedName name="solver_opt" localSheetId="3" hidden="1">'TF Main CalcsR1'!#REF!</definedName>
    <definedName name="solver_opt" localSheetId="1" hidden="1">'TF Main Iterations'!#REF!</definedName>
    <definedName name="solver_opt" localSheetId="4" hidden="1">'TJ Main Calcs'!#REF!</definedName>
    <definedName name="solver_pre" localSheetId="5" hidden="1">0.000001</definedName>
    <definedName name="solver_pre" localSheetId="6" hidden="1">0.000001</definedName>
    <definedName name="solver_pre" localSheetId="3" hidden="1">0.000001</definedName>
    <definedName name="solver_pre" localSheetId="1" hidden="1">0.000001</definedName>
    <definedName name="solver_pre" localSheetId="4" hidden="1">0.000001</definedName>
    <definedName name="solver_rbv" localSheetId="5" hidden="1">1</definedName>
    <definedName name="solver_rbv" localSheetId="6" hidden="1">1</definedName>
    <definedName name="solver_rbv" localSheetId="3" hidden="1">1</definedName>
    <definedName name="solver_rbv" localSheetId="1" hidden="1">1</definedName>
    <definedName name="solver_rbv" localSheetId="4" hidden="1">1</definedName>
    <definedName name="solver_rel1" localSheetId="5" hidden="1">1</definedName>
    <definedName name="solver_rel1" localSheetId="6" hidden="1">1</definedName>
    <definedName name="solver_rel1" localSheetId="3" hidden="1">1</definedName>
    <definedName name="solver_rel1" localSheetId="1" hidden="1">1</definedName>
    <definedName name="solver_rel1" localSheetId="4" hidden="1">1</definedName>
    <definedName name="solver_rhs1" localSheetId="5" hidden="1">GasTurb14!#REF!</definedName>
    <definedName name="solver_rhs1" localSheetId="6" hidden="1">'Sheet1 (2)'!$I$15</definedName>
    <definedName name="solver_rhs1" localSheetId="3" hidden="1">'TF Main CalcsR1'!#REF!</definedName>
    <definedName name="solver_rhs1" localSheetId="1" hidden="1">'TF Main Iterations'!#REF!</definedName>
    <definedName name="solver_rhs1" localSheetId="4" hidden="1">'TJ Main Calcs'!#REF!</definedName>
    <definedName name="solver_rlx" localSheetId="5" hidden="1">2</definedName>
    <definedName name="solver_rlx" localSheetId="6" hidden="1">2</definedName>
    <definedName name="solver_rlx" localSheetId="3" hidden="1">2</definedName>
    <definedName name="solver_rlx" localSheetId="1" hidden="1">2</definedName>
    <definedName name="solver_rlx" localSheetId="4" hidden="1">2</definedName>
    <definedName name="solver_rsd" localSheetId="5" hidden="1">0</definedName>
    <definedName name="solver_rsd" localSheetId="6" hidden="1">0</definedName>
    <definedName name="solver_rsd" localSheetId="3" hidden="1">0</definedName>
    <definedName name="solver_rsd" localSheetId="1" hidden="1">0</definedName>
    <definedName name="solver_rsd" localSheetId="4" hidden="1">0</definedName>
    <definedName name="solver_scl" localSheetId="5" hidden="1">1</definedName>
    <definedName name="solver_scl" localSheetId="6" hidden="1">1</definedName>
    <definedName name="solver_scl" localSheetId="3" hidden="1">1</definedName>
    <definedName name="solver_scl" localSheetId="1" hidden="1">1</definedName>
    <definedName name="solver_scl" localSheetId="4" hidden="1">1</definedName>
    <definedName name="solver_sho" localSheetId="5" hidden="1">2</definedName>
    <definedName name="solver_sho" localSheetId="6" hidden="1">2</definedName>
    <definedName name="solver_sho" localSheetId="3" hidden="1">2</definedName>
    <definedName name="solver_sho" localSheetId="1" hidden="1">2</definedName>
    <definedName name="solver_sho" localSheetId="4" hidden="1">2</definedName>
    <definedName name="solver_ssz" localSheetId="5" hidden="1">100</definedName>
    <definedName name="solver_ssz" localSheetId="6" hidden="1">100</definedName>
    <definedName name="solver_ssz" localSheetId="3" hidden="1">100</definedName>
    <definedName name="solver_ssz" localSheetId="1" hidden="1">100</definedName>
    <definedName name="solver_ssz" localSheetId="4" hidden="1">100</definedName>
    <definedName name="solver_tim" localSheetId="5" hidden="1">2147483647</definedName>
    <definedName name="solver_tim" localSheetId="6" hidden="1">2147483647</definedName>
    <definedName name="solver_tim" localSheetId="3" hidden="1">2147483647</definedName>
    <definedName name="solver_tim" localSheetId="1" hidden="1">2147483647</definedName>
    <definedName name="solver_tim" localSheetId="4" hidden="1">2147483647</definedName>
    <definedName name="solver_tol" localSheetId="5" hidden="1">0.01</definedName>
    <definedName name="solver_tol" localSheetId="6" hidden="1">0.01</definedName>
    <definedName name="solver_tol" localSheetId="3" hidden="1">0.01</definedName>
    <definedName name="solver_tol" localSheetId="1" hidden="1">0.01</definedName>
    <definedName name="solver_tol" localSheetId="4" hidden="1">0.01</definedName>
    <definedName name="solver_typ" localSheetId="5" hidden="1">3</definedName>
    <definedName name="solver_typ" localSheetId="6" hidden="1">3</definedName>
    <definedName name="solver_typ" localSheetId="3" hidden="1">3</definedName>
    <definedName name="solver_typ" localSheetId="1" hidden="1">3</definedName>
    <definedName name="solver_typ" localSheetId="4" hidden="1">3</definedName>
    <definedName name="solver_val" localSheetId="5" hidden="1">0.158606071</definedName>
    <definedName name="solver_val" localSheetId="6" hidden="1">0.158606071</definedName>
    <definedName name="solver_val" localSheetId="3" hidden="1">0.158606071</definedName>
    <definedName name="solver_val" localSheetId="1" hidden="1">0.158606071</definedName>
    <definedName name="solver_val" localSheetId="4" hidden="1">0.158606071</definedName>
    <definedName name="solver_ver" localSheetId="5" hidden="1">3</definedName>
    <definedName name="solver_ver" localSheetId="6" hidden="1">3</definedName>
    <definedName name="solver_ver" localSheetId="3" hidden="1">3</definedName>
    <definedName name="solver_ver" localSheetId="1" hidden="1">3</definedName>
    <definedName name="solver_ver" localSheetId="4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9" i="8" l="1"/>
  <c r="D202" i="8"/>
  <c r="D199" i="8"/>
  <c r="D180" i="8"/>
  <c r="D134" i="8"/>
  <c r="D107" i="8"/>
  <c r="D181" i="8" s="1"/>
  <c r="D89" i="8"/>
  <c r="D85" i="8"/>
  <c r="D86" i="8" s="1"/>
  <c r="D95" i="8" s="1"/>
  <c r="D96" i="8" s="1"/>
  <c r="D84" i="8"/>
  <c r="D93" i="8" s="1"/>
  <c r="D94" i="8" s="1"/>
  <c r="D83" i="8"/>
  <c r="D82" i="8"/>
  <c r="D92" i="8" s="1"/>
  <c r="D99" i="8" s="1"/>
  <c r="D63" i="8"/>
  <c r="D59" i="8"/>
  <c r="D58" i="8"/>
  <c r="D57" i="8"/>
  <c r="D60" i="8" s="1"/>
  <c r="D56" i="8"/>
  <c r="D53" i="7"/>
  <c r="D53" i="8"/>
  <c r="D52" i="8"/>
  <c r="D27" i="8"/>
  <c r="D39" i="8"/>
  <c r="D36" i="8"/>
  <c r="D35" i="8"/>
  <c r="D32" i="8"/>
  <c r="D31" i="8"/>
  <c r="D104" i="8" l="1"/>
  <c r="D115" i="8"/>
  <c r="D116" i="8" s="1"/>
  <c r="D123" i="8" s="1"/>
  <c r="D124" i="8" s="1"/>
  <c r="D113" i="8"/>
  <c r="D114" i="8" s="1"/>
  <c r="D121" i="8" s="1"/>
  <c r="D122" i="8" s="1"/>
  <c r="D133" i="8" s="1"/>
  <c r="D145" i="8" s="1"/>
  <c r="D101" i="8"/>
  <c r="D102" i="8" s="1"/>
  <c r="D103" i="8" s="1"/>
  <c r="D178" i="8" s="1"/>
  <c r="D111" i="8"/>
  <c r="D87" i="8"/>
  <c r="D88" i="8" s="1"/>
  <c r="D25" i="7"/>
  <c r="D105" i="8" l="1"/>
  <c r="D106" i="8" s="1"/>
  <c r="D173" i="8" s="1"/>
  <c r="D172" i="8" s="1"/>
  <c r="D7" i="7"/>
  <c r="D16" i="7" l="1"/>
  <c r="D29" i="7"/>
  <c r="D180" i="1"/>
  <c r="D179" i="1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8" i="5" s="1"/>
  <c r="N56" i="5"/>
  <c r="N55" i="5"/>
  <c r="N54" i="5"/>
  <c r="N51" i="5"/>
  <c r="N33" i="5"/>
  <c r="N27" i="5"/>
  <c r="N26" i="5"/>
  <c r="N25" i="5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K219" i="5"/>
  <c r="K211" i="5"/>
  <c r="J199" i="5"/>
  <c r="L199" i="5" s="1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I30" i="7"/>
  <c r="J30" i="7"/>
  <c r="J54" i="7" s="1"/>
  <c r="K30" i="7"/>
  <c r="K54" i="7" s="1"/>
  <c r="D27" i="5"/>
  <c r="D25" i="5" s="1"/>
  <c r="D30" i="7"/>
  <c r="D54" i="7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J29" i="7"/>
  <c r="K29" i="7"/>
  <c r="K53" i="7" s="1"/>
  <c r="E54" i="7"/>
  <c r="H54" i="7"/>
  <c r="K84" i="7"/>
  <c r="K94" i="7" s="1"/>
  <c r="K101" i="7" s="1"/>
  <c r="K113" i="7" s="1"/>
  <c r="J84" i="7"/>
  <c r="J94" i="7"/>
  <c r="J101" i="7"/>
  <c r="I84" i="7"/>
  <c r="I94" i="7"/>
  <c r="I101" i="7"/>
  <c r="H84" i="7"/>
  <c r="H94" i="7"/>
  <c r="H101" i="7"/>
  <c r="H113" i="7" s="1"/>
  <c r="G84" i="7"/>
  <c r="G94" i="7"/>
  <c r="G101" i="7"/>
  <c r="G113" i="7" s="1"/>
  <c r="F84" i="7"/>
  <c r="F94" i="7" s="1"/>
  <c r="F101" i="7" s="1"/>
  <c r="F113" i="7" s="1"/>
  <c r="E84" i="7"/>
  <c r="E94" i="7"/>
  <c r="E101" i="7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/>
  <c r="J109" i="7"/>
  <c r="J183" i="7"/>
  <c r="I109" i="7"/>
  <c r="I183" i="7"/>
  <c r="H109" i="7"/>
  <c r="H183" i="7" s="1"/>
  <c r="G109" i="7"/>
  <c r="G183" i="7"/>
  <c r="F109" i="7"/>
  <c r="F183" i="7"/>
  <c r="E109" i="7"/>
  <c r="E183" i="7"/>
  <c r="K85" i="7"/>
  <c r="K86" i="7"/>
  <c r="K95" i="7"/>
  <c r="K96" i="7"/>
  <c r="K115" i="7" s="1"/>
  <c r="K103" i="7"/>
  <c r="K104" i="7"/>
  <c r="K105" i="7" s="1"/>
  <c r="K180" i="7" s="1"/>
  <c r="K33" i="7"/>
  <c r="J85" i="7"/>
  <c r="J86" i="7"/>
  <c r="J95" i="7"/>
  <c r="J96" i="7"/>
  <c r="J103" i="7" s="1"/>
  <c r="J104" i="7" s="1"/>
  <c r="J33" i="7"/>
  <c r="I85" i="7"/>
  <c r="I86" i="7"/>
  <c r="I95" i="7"/>
  <c r="I96" i="7" s="1"/>
  <c r="I33" i="7"/>
  <c r="H85" i="7"/>
  <c r="H86" i="7"/>
  <c r="H95" i="7"/>
  <c r="H96" i="7"/>
  <c r="H115" i="7" s="1"/>
  <c r="H116" i="7" s="1"/>
  <c r="H33" i="7"/>
  <c r="G85" i="7"/>
  <c r="G86" i="7"/>
  <c r="G95" i="7"/>
  <c r="G96" i="7"/>
  <c r="G115" i="7" s="1"/>
  <c r="G116" i="7" s="1"/>
  <c r="G103" i="7"/>
  <c r="G104" i="7" s="1"/>
  <c r="G33" i="7"/>
  <c r="F85" i="7"/>
  <c r="F86" i="7" s="1"/>
  <c r="F95" i="7" s="1"/>
  <c r="F96" i="7" s="1"/>
  <c r="F33" i="7"/>
  <c r="E85" i="7"/>
  <c r="E86" i="7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/>
  <c r="K88" i="7"/>
  <c r="K97" i="7"/>
  <c r="K98" i="7" s="1"/>
  <c r="J7" i="7"/>
  <c r="J87" i="7"/>
  <c r="J89" i="7" s="1"/>
  <c r="J90" i="7" s="1"/>
  <c r="J88" i="7"/>
  <c r="J97" i="7"/>
  <c r="J98" i="7"/>
  <c r="J117" i="7" s="1"/>
  <c r="J106" i="7"/>
  <c r="I7" i="7"/>
  <c r="I87" i="7" s="1"/>
  <c r="H7" i="7"/>
  <c r="H64" i="7" s="1"/>
  <c r="G7" i="7"/>
  <c r="G87" i="7"/>
  <c r="G88" i="7" s="1"/>
  <c r="G97" i="7" s="1"/>
  <c r="G98" i="7" s="1"/>
  <c r="F7" i="7"/>
  <c r="F64" i="7" s="1"/>
  <c r="F87" i="7"/>
  <c r="F88" i="7" s="1"/>
  <c r="F97" i="7" s="1"/>
  <c r="F98" i="7" s="1"/>
  <c r="E7" i="7"/>
  <c r="E87" i="7"/>
  <c r="E89" i="7" s="1"/>
  <c r="E90" i="7" s="1"/>
  <c r="E88" i="7"/>
  <c r="E97" i="7" s="1"/>
  <c r="E98" i="7" s="1"/>
  <c r="K136" i="7"/>
  <c r="J136" i="7"/>
  <c r="I136" i="7"/>
  <c r="H136" i="7"/>
  <c r="G136" i="7"/>
  <c r="F136" i="7"/>
  <c r="E136" i="7"/>
  <c r="J113" i="7"/>
  <c r="I113" i="7"/>
  <c r="K91" i="7"/>
  <c r="J91" i="7"/>
  <c r="I91" i="7"/>
  <c r="H91" i="7"/>
  <c r="G91" i="7"/>
  <c r="F91" i="7"/>
  <c r="E91" i="7"/>
  <c r="K89" i="7"/>
  <c r="K90" i="7"/>
  <c r="G89" i="7"/>
  <c r="G90" i="7" s="1"/>
  <c r="K64" i="7"/>
  <c r="J64" i="7"/>
  <c r="I64" i="7"/>
  <c r="G64" i="7"/>
  <c r="E64" i="7"/>
  <c r="K58" i="7"/>
  <c r="K61" i="7" s="1"/>
  <c r="K59" i="7"/>
  <c r="K60" i="7"/>
  <c r="J58" i="7"/>
  <c r="J59" i="7"/>
  <c r="J60" i="7"/>
  <c r="J61" i="7"/>
  <c r="I58" i="7"/>
  <c r="I59" i="7"/>
  <c r="I60" i="7"/>
  <c r="I61" i="7"/>
  <c r="H58" i="7"/>
  <c r="H61" i="7" s="1"/>
  <c r="H59" i="7"/>
  <c r="H60" i="7"/>
  <c r="G58" i="7"/>
  <c r="G59" i="7"/>
  <c r="G60" i="7"/>
  <c r="G61" i="7"/>
  <c r="F58" i="7"/>
  <c r="F61" i="7" s="1"/>
  <c r="F59" i="7"/>
  <c r="F60" i="7"/>
  <c r="E58" i="7"/>
  <c r="E59" i="7"/>
  <c r="E60" i="7"/>
  <c r="E61" i="7"/>
  <c r="K57" i="7"/>
  <c r="J57" i="7"/>
  <c r="I57" i="7"/>
  <c r="H57" i="7"/>
  <c r="G57" i="7"/>
  <c r="F57" i="7"/>
  <c r="E57" i="7"/>
  <c r="I54" i="7"/>
  <c r="G54" i="7"/>
  <c r="F54" i="7"/>
  <c r="J53" i="7"/>
  <c r="I53" i="7"/>
  <c r="H53" i="7"/>
  <c r="K16" i="7"/>
  <c r="J16" i="7"/>
  <c r="I16" i="7"/>
  <c r="H16" i="7"/>
  <c r="G16" i="7"/>
  <c r="F16" i="7"/>
  <c r="E16" i="7"/>
  <c r="D84" i="7"/>
  <c r="D94" i="7"/>
  <c r="D101" i="7"/>
  <c r="D113" i="7" s="1"/>
  <c r="D182" i="7"/>
  <c r="D211" i="7"/>
  <c r="D204" i="7"/>
  <c r="D201" i="7"/>
  <c r="D109" i="7"/>
  <c r="D183" i="7"/>
  <c r="D85" i="7"/>
  <c r="D86" i="7"/>
  <c r="D95" i="7"/>
  <c r="D96" i="7"/>
  <c r="D115" i="7" s="1"/>
  <c r="D33" i="7"/>
  <c r="D34" i="7"/>
  <c r="D37" i="7"/>
  <c r="D87" i="7"/>
  <c r="D136" i="7"/>
  <c r="D91" i="7"/>
  <c r="D64" i="7"/>
  <c r="D58" i="7"/>
  <c r="D61" i="7" s="1"/>
  <c r="D59" i="7"/>
  <c r="D60" i="7"/>
  <c r="D57" i="7"/>
  <c r="F211" i="5"/>
  <c r="D106" i="5"/>
  <c r="D181" i="5"/>
  <c r="D7" i="5"/>
  <c r="D84" i="5" s="1"/>
  <c r="D82" i="5"/>
  <c r="E82" i="5" s="1"/>
  <c r="G82" i="5" s="1"/>
  <c r="D83" i="5"/>
  <c r="E83" i="5" s="1"/>
  <c r="G83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/>
  <c r="AO70" i="5"/>
  <c r="AL63" i="5"/>
  <c r="AL59" i="5"/>
  <c r="AL52" i="5"/>
  <c r="AL55" i="5" s="1"/>
  <c r="F219" i="5"/>
  <c r="D209" i="5"/>
  <c r="E209" i="5"/>
  <c r="G209" i="5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D153" i="1"/>
  <c r="D135" i="1"/>
  <c r="I58" i="1"/>
  <c r="R164" i="1"/>
  <c r="Q163" i="1"/>
  <c r="R163" i="1"/>
  <c r="L179" i="3"/>
  <c r="L180" i="3"/>
  <c r="L177" i="3"/>
  <c r="F177" i="3"/>
  <c r="S175" i="3"/>
  <c r="J170" i="3"/>
  <c r="K170" i="3"/>
  <c r="I170" i="3"/>
  <c r="E170" i="3"/>
  <c r="G170" i="3"/>
  <c r="D170" i="3"/>
  <c r="S169" i="3"/>
  <c r="I163" i="3"/>
  <c r="D163" i="3"/>
  <c r="J162" i="3"/>
  <c r="J163" i="3"/>
  <c r="G162" i="3"/>
  <c r="J160" i="3"/>
  <c r="K160" i="3"/>
  <c r="M160" i="3"/>
  <c r="I160" i="3"/>
  <c r="D160" i="3"/>
  <c r="E160" i="3"/>
  <c r="G160" i="3"/>
  <c r="J157" i="3"/>
  <c r="K157" i="3"/>
  <c r="M157" i="3"/>
  <c r="J149" i="3"/>
  <c r="K149" i="3"/>
  <c r="M149" i="3"/>
  <c r="L148" i="3"/>
  <c r="M148" i="3"/>
  <c r="P146" i="3"/>
  <c r="L146" i="3"/>
  <c r="P145" i="3"/>
  <c r="P147" i="3"/>
  <c r="P148" i="3"/>
  <c r="P144" i="3"/>
  <c r="P143" i="3"/>
  <c r="K112" i="3"/>
  <c r="M112" i="3"/>
  <c r="J112" i="3"/>
  <c r="I112" i="3"/>
  <c r="G112" i="3"/>
  <c r="E112" i="3"/>
  <c r="D112" i="3"/>
  <c r="F110" i="3"/>
  <c r="L109" i="3"/>
  <c r="L108" i="3"/>
  <c r="F109" i="3"/>
  <c r="F108" i="3"/>
  <c r="D107" i="3"/>
  <c r="E106" i="3"/>
  <c r="G106" i="3"/>
  <c r="D106" i="3"/>
  <c r="I87" i="3"/>
  <c r="I88" i="3"/>
  <c r="I93" i="3"/>
  <c r="I94" i="3"/>
  <c r="I100" i="3"/>
  <c r="I101" i="3"/>
  <c r="D85" i="3"/>
  <c r="D86" i="3"/>
  <c r="J82" i="3"/>
  <c r="K82" i="3"/>
  <c r="M82" i="3"/>
  <c r="I82" i="3"/>
  <c r="D82" i="3"/>
  <c r="E82" i="3"/>
  <c r="G82" i="3"/>
  <c r="J81" i="3"/>
  <c r="K81" i="3"/>
  <c r="K80" i="3"/>
  <c r="J80" i="3"/>
  <c r="I80" i="3"/>
  <c r="I81" i="3"/>
  <c r="J79" i="3"/>
  <c r="K79" i="3"/>
  <c r="M79" i="3"/>
  <c r="I79" i="3"/>
  <c r="J78" i="3"/>
  <c r="K78" i="3"/>
  <c r="M78" i="3"/>
  <c r="I78" i="3"/>
  <c r="D77" i="3"/>
  <c r="E77" i="3"/>
  <c r="G77" i="3"/>
  <c r="K76" i="3"/>
  <c r="M76" i="3"/>
  <c r="J76" i="3"/>
  <c r="J77" i="3"/>
  <c r="I76" i="3"/>
  <c r="I77" i="3"/>
  <c r="I85" i="3"/>
  <c r="I86" i="3"/>
  <c r="I91" i="3"/>
  <c r="I92" i="3"/>
  <c r="I98" i="3"/>
  <c r="I99" i="3"/>
  <c r="I111" i="3"/>
  <c r="I122" i="3"/>
  <c r="G76" i="3"/>
  <c r="E76" i="3"/>
  <c r="D76" i="3"/>
  <c r="J68" i="3"/>
  <c r="J106" i="3"/>
  <c r="I68" i="3"/>
  <c r="D68" i="3"/>
  <c r="E68" i="3"/>
  <c r="G68" i="3"/>
  <c r="J60" i="3"/>
  <c r="I60" i="3"/>
  <c r="J58" i="3"/>
  <c r="I58" i="3"/>
  <c r="D56" i="3"/>
  <c r="J55" i="3"/>
  <c r="J57" i="3"/>
  <c r="I55" i="3"/>
  <c r="I57" i="3"/>
  <c r="D55" i="3"/>
  <c r="D57" i="3"/>
  <c r="J51" i="3"/>
  <c r="I51" i="3"/>
  <c r="D51" i="3"/>
  <c r="AJ50" i="3"/>
  <c r="J50" i="3"/>
  <c r="I50" i="3"/>
  <c r="D50" i="3"/>
  <c r="K28" i="3"/>
  <c r="K29" i="3"/>
  <c r="E28" i="3"/>
  <c r="E29" i="3"/>
  <c r="J27" i="3"/>
  <c r="J25" i="3"/>
  <c r="I27" i="3"/>
  <c r="D27" i="3"/>
  <c r="D25" i="3"/>
  <c r="I25" i="3"/>
  <c r="J16" i="3"/>
  <c r="I16" i="3"/>
  <c r="D16" i="3"/>
  <c r="M11" i="3"/>
  <c r="M10" i="3"/>
  <c r="D7" i="3"/>
  <c r="D78" i="3"/>
  <c r="M10" i="1"/>
  <c r="M11" i="1"/>
  <c r="F130" i="5"/>
  <c r="S164" i="1"/>
  <c r="E86" i="3"/>
  <c r="G86" i="3"/>
  <c r="D91" i="3"/>
  <c r="K77" i="3"/>
  <c r="M77" i="3"/>
  <c r="J85" i="3"/>
  <c r="D79" i="3"/>
  <c r="E78" i="3"/>
  <c r="G78" i="3"/>
  <c r="D80" i="3"/>
  <c r="J107" i="3"/>
  <c r="K106" i="3"/>
  <c r="M106" i="3"/>
  <c r="J87" i="3"/>
  <c r="E107" i="3"/>
  <c r="G107" i="3"/>
  <c r="K68" i="3"/>
  <c r="M68" i="3"/>
  <c r="I95" i="3"/>
  <c r="E85" i="3"/>
  <c r="G85" i="3"/>
  <c r="J158" i="3"/>
  <c r="M162" i="3"/>
  <c r="D60" i="3"/>
  <c r="D64" i="3"/>
  <c r="I106" i="3"/>
  <c r="I107" i="3"/>
  <c r="I102" i="3"/>
  <c r="I169" i="1"/>
  <c r="I162" i="1"/>
  <c r="I159" i="1"/>
  <c r="I112" i="1"/>
  <c r="I82" i="1"/>
  <c r="I78" i="1"/>
  <c r="I80" i="1"/>
  <c r="I81" i="1"/>
  <c r="I76" i="1"/>
  <c r="I77" i="1"/>
  <c r="I85" i="1"/>
  <c r="I86" i="1"/>
  <c r="I91" i="1"/>
  <c r="I92" i="1"/>
  <c r="I98" i="1"/>
  <c r="I60" i="1"/>
  <c r="S175" i="1"/>
  <c r="I55" i="1"/>
  <c r="I57" i="1"/>
  <c r="I50" i="1"/>
  <c r="I16" i="1"/>
  <c r="J156" i="1"/>
  <c r="J58" i="1"/>
  <c r="P144" i="1"/>
  <c r="P145" i="1"/>
  <c r="P143" i="1"/>
  <c r="P142" i="1"/>
  <c r="L109" i="1"/>
  <c r="J55" i="1"/>
  <c r="J57" i="1"/>
  <c r="L145" i="1"/>
  <c r="L147" i="1"/>
  <c r="M147" i="1"/>
  <c r="J169" i="1"/>
  <c r="K169" i="1"/>
  <c r="J162" i="1"/>
  <c r="J159" i="1"/>
  <c r="K159" i="1"/>
  <c r="M159" i="1"/>
  <c r="J112" i="1"/>
  <c r="K112" i="1"/>
  <c r="M112" i="1"/>
  <c r="J82" i="1"/>
  <c r="K82" i="1"/>
  <c r="M82" i="1"/>
  <c r="J78" i="1"/>
  <c r="J76" i="1"/>
  <c r="J77" i="1"/>
  <c r="J51" i="1"/>
  <c r="J50" i="1"/>
  <c r="K28" i="1"/>
  <c r="J27" i="1"/>
  <c r="J25" i="1"/>
  <c r="J16" i="1"/>
  <c r="J60" i="1"/>
  <c r="D27" i="1"/>
  <c r="D25" i="1"/>
  <c r="F179" i="1"/>
  <c r="J88" i="3"/>
  <c r="K87" i="3"/>
  <c r="M87" i="3"/>
  <c r="D81" i="3"/>
  <c r="E81" i="3"/>
  <c r="E80" i="3"/>
  <c r="D87" i="3"/>
  <c r="E79" i="3"/>
  <c r="G79" i="3"/>
  <c r="J86" i="3"/>
  <c r="K85" i="3"/>
  <c r="M85" i="3"/>
  <c r="K158" i="3"/>
  <c r="M158" i="3"/>
  <c r="J167" i="3"/>
  <c r="K107" i="3"/>
  <c r="M107" i="3"/>
  <c r="I109" i="3"/>
  <c r="I110" i="3"/>
  <c r="D92" i="3"/>
  <c r="E91" i="3"/>
  <c r="G91" i="3"/>
  <c r="I79" i="1"/>
  <c r="I87" i="1"/>
  <c r="I88" i="1"/>
  <c r="I93" i="1"/>
  <c r="I94" i="1"/>
  <c r="P146" i="1"/>
  <c r="P147" i="1"/>
  <c r="L108" i="1"/>
  <c r="K77" i="1"/>
  <c r="M77" i="1"/>
  <c r="J85" i="1"/>
  <c r="J80" i="1"/>
  <c r="J79" i="1"/>
  <c r="K78" i="1"/>
  <c r="M78" i="1"/>
  <c r="K76" i="1"/>
  <c r="M76" i="1"/>
  <c r="G161" i="1"/>
  <c r="D162" i="1"/>
  <c r="D55" i="1"/>
  <c r="D56" i="1"/>
  <c r="AJ50" i="1"/>
  <c r="F109" i="1"/>
  <c r="D112" i="1"/>
  <c r="E112" i="1"/>
  <c r="G112" i="1"/>
  <c r="E28" i="1"/>
  <c r="E29" i="1"/>
  <c r="D82" i="1"/>
  <c r="E82" i="1"/>
  <c r="G82" i="1"/>
  <c r="D7" i="1"/>
  <c r="D68" i="1"/>
  <c r="E68" i="1"/>
  <c r="G68" i="1"/>
  <c r="D16" i="1"/>
  <c r="E92" i="3"/>
  <c r="G92" i="3"/>
  <c r="D98" i="3"/>
  <c r="I118" i="3"/>
  <c r="I119" i="3"/>
  <c r="I120" i="3"/>
  <c r="I123" i="3"/>
  <c r="I124" i="3"/>
  <c r="I134" i="3"/>
  <c r="I108" i="3"/>
  <c r="I69" i="3"/>
  <c r="J168" i="3"/>
  <c r="K167" i="3"/>
  <c r="M167" i="3"/>
  <c r="J91" i="3"/>
  <c r="K86" i="3"/>
  <c r="M86" i="3"/>
  <c r="E87" i="3"/>
  <c r="G87" i="3"/>
  <c r="D88" i="3"/>
  <c r="J93" i="3"/>
  <c r="K88" i="3"/>
  <c r="M88" i="3"/>
  <c r="I100" i="1"/>
  <c r="K79" i="1"/>
  <c r="M79" i="1"/>
  <c r="J87" i="1"/>
  <c r="J81" i="1"/>
  <c r="K81" i="1"/>
  <c r="K80" i="1"/>
  <c r="J86" i="1"/>
  <c r="K85" i="1"/>
  <c r="M85" i="1"/>
  <c r="D57" i="1"/>
  <c r="F108" i="1"/>
  <c r="D169" i="1"/>
  <c r="E169" i="1"/>
  <c r="G169" i="1"/>
  <c r="D64" i="1"/>
  <c r="I113" i="3"/>
  <c r="K93" i="3"/>
  <c r="M93" i="3"/>
  <c r="D93" i="3"/>
  <c r="E88" i="3"/>
  <c r="G88" i="3"/>
  <c r="J169" i="3"/>
  <c r="K169" i="3"/>
  <c r="K168" i="3"/>
  <c r="S170" i="3"/>
  <c r="I114" i="3"/>
  <c r="I127" i="3"/>
  <c r="I131" i="3"/>
  <c r="I141" i="3"/>
  <c r="I126" i="3"/>
  <c r="E98" i="3"/>
  <c r="G98" i="3"/>
  <c r="D99" i="3"/>
  <c r="K91" i="3"/>
  <c r="M91" i="3"/>
  <c r="J92" i="3"/>
  <c r="J91" i="1"/>
  <c r="K86" i="1"/>
  <c r="M86" i="1"/>
  <c r="J88" i="1"/>
  <c r="K87" i="1"/>
  <c r="M87" i="1"/>
  <c r="D76" i="1"/>
  <c r="J98" i="3"/>
  <c r="K92" i="3"/>
  <c r="M92" i="3"/>
  <c r="E99" i="3"/>
  <c r="G99" i="3"/>
  <c r="D111" i="3"/>
  <c r="I153" i="3"/>
  <c r="I121" i="3"/>
  <c r="I132" i="3"/>
  <c r="I72" i="3"/>
  <c r="D94" i="3"/>
  <c r="E93" i="3"/>
  <c r="G93" i="3"/>
  <c r="J94" i="3"/>
  <c r="K88" i="1"/>
  <c r="M88" i="1"/>
  <c r="J93" i="1"/>
  <c r="J92" i="1"/>
  <c r="K91" i="1"/>
  <c r="M91" i="1"/>
  <c r="D77" i="1"/>
  <c r="D85" i="1"/>
  <c r="E76" i="1"/>
  <c r="G76" i="1"/>
  <c r="D95" i="3"/>
  <c r="D100" i="3"/>
  <c r="E94" i="3"/>
  <c r="G94" i="3"/>
  <c r="K94" i="3"/>
  <c r="M94" i="3"/>
  <c r="J100" i="3"/>
  <c r="J95" i="3"/>
  <c r="I133" i="3"/>
  <c r="D122" i="3"/>
  <c r="E111" i="3"/>
  <c r="G111" i="3"/>
  <c r="J99" i="3"/>
  <c r="K98" i="3"/>
  <c r="M98" i="3"/>
  <c r="K92" i="1"/>
  <c r="M92" i="1"/>
  <c r="J98" i="1"/>
  <c r="J94" i="1"/>
  <c r="K93" i="1"/>
  <c r="M93" i="1"/>
  <c r="E77" i="1"/>
  <c r="G77" i="1"/>
  <c r="J111" i="3"/>
  <c r="K99" i="3"/>
  <c r="M99" i="3"/>
  <c r="I142" i="3"/>
  <c r="I135" i="3"/>
  <c r="I144" i="3"/>
  <c r="E122" i="3"/>
  <c r="G122" i="3"/>
  <c r="I136" i="3"/>
  <c r="J101" i="3"/>
  <c r="K100" i="3"/>
  <c r="M100" i="3"/>
  <c r="D101" i="3"/>
  <c r="E100" i="3"/>
  <c r="G100" i="3"/>
  <c r="J100" i="1"/>
  <c r="K94" i="1"/>
  <c r="M94" i="1"/>
  <c r="K98" i="1"/>
  <c r="M98" i="1"/>
  <c r="J99" i="1"/>
  <c r="E85" i="1"/>
  <c r="G85" i="1"/>
  <c r="D102" i="3"/>
  <c r="E101" i="3"/>
  <c r="G101" i="3"/>
  <c r="D109" i="3"/>
  <c r="S172" i="3"/>
  <c r="I145" i="3"/>
  <c r="K101" i="3"/>
  <c r="M101" i="3"/>
  <c r="J102" i="3"/>
  <c r="J109" i="3"/>
  <c r="I137" i="3"/>
  <c r="S171" i="3"/>
  <c r="I143" i="3"/>
  <c r="K111" i="3"/>
  <c r="M111" i="3"/>
  <c r="J122" i="3"/>
  <c r="J101" i="1"/>
  <c r="K100" i="1"/>
  <c r="M100" i="1"/>
  <c r="J111" i="1"/>
  <c r="K99" i="1"/>
  <c r="M99" i="1"/>
  <c r="D159" i="1"/>
  <c r="E159" i="1"/>
  <c r="G159" i="1"/>
  <c r="K122" i="3"/>
  <c r="M122" i="3"/>
  <c r="I149" i="3"/>
  <c r="I157" i="3"/>
  <c r="J108" i="3"/>
  <c r="J69" i="3"/>
  <c r="K109" i="3"/>
  <c r="M109" i="3"/>
  <c r="J110" i="3"/>
  <c r="I150" i="3"/>
  <c r="I155" i="3"/>
  <c r="I156" i="3"/>
  <c r="E109" i="3"/>
  <c r="G109" i="3"/>
  <c r="D69" i="3"/>
  <c r="D108" i="3"/>
  <c r="D110" i="3"/>
  <c r="K101" i="1"/>
  <c r="M101" i="1"/>
  <c r="K111" i="1"/>
  <c r="M111" i="1"/>
  <c r="J122" i="1"/>
  <c r="E26" i="2"/>
  <c r="E27" i="2"/>
  <c r="E28" i="2"/>
  <c r="G108" i="3"/>
  <c r="E69" i="3"/>
  <c r="G69" i="3"/>
  <c r="K69" i="3"/>
  <c r="M69" i="3"/>
  <c r="D118" i="3"/>
  <c r="E110" i="3"/>
  <c r="G110" i="3"/>
  <c r="J118" i="3"/>
  <c r="K110" i="3"/>
  <c r="M110" i="3"/>
  <c r="I166" i="3"/>
  <c r="I159" i="3"/>
  <c r="I161" i="3"/>
  <c r="I165" i="3"/>
  <c r="M108" i="3"/>
  <c r="J148" i="3"/>
  <c r="I158" i="3"/>
  <c r="I167" i="3"/>
  <c r="I168" i="3"/>
  <c r="I169" i="3"/>
  <c r="I148" i="3"/>
  <c r="I146" i="3"/>
  <c r="K122" i="1"/>
  <c r="M122" i="1"/>
  <c r="E135" i="2"/>
  <c r="D135" i="2"/>
  <c r="E134" i="2"/>
  <c r="D134" i="2"/>
  <c r="E105" i="2"/>
  <c r="D105" i="2"/>
  <c r="E97" i="2"/>
  <c r="H84" i="2"/>
  <c r="H85" i="2"/>
  <c r="E70" i="2"/>
  <c r="D70" i="2"/>
  <c r="E56" i="2"/>
  <c r="E58" i="2"/>
  <c r="D56" i="2"/>
  <c r="D58" i="2"/>
  <c r="D81" i="2"/>
  <c r="D83" i="2"/>
  <c r="D88" i="2"/>
  <c r="D48" i="2"/>
  <c r="G45" i="2"/>
  <c r="E39" i="2"/>
  <c r="D39" i="2"/>
  <c r="E37" i="2"/>
  <c r="D37" i="2"/>
  <c r="E35" i="2"/>
  <c r="E34" i="2"/>
  <c r="E33" i="2"/>
  <c r="E32" i="2"/>
  <c r="E31" i="2"/>
  <c r="D25" i="2"/>
  <c r="H24" i="2"/>
  <c r="E22" i="2"/>
  <c r="D22" i="2"/>
  <c r="J14" i="2"/>
  <c r="E7" i="2"/>
  <c r="J15" i="2"/>
  <c r="D7" i="2"/>
  <c r="I13" i="2"/>
  <c r="I147" i="3"/>
  <c r="I154" i="3"/>
  <c r="D131" i="3"/>
  <c r="E118" i="3"/>
  <c r="G118" i="3"/>
  <c r="D119" i="3"/>
  <c r="J131" i="3"/>
  <c r="K118" i="3"/>
  <c r="M118" i="3"/>
  <c r="I171" i="3"/>
  <c r="J119" i="3"/>
  <c r="D90" i="2"/>
  <c r="D99" i="2"/>
  <c r="D107" i="2"/>
  <c r="E38" i="2"/>
  <c r="E81" i="2"/>
  <c r="E83" i="2"/>
  <c r="E88" i="2"/>
  <c r="E90" i="2"/>
  <c r="E99" i="2"/>
  <c r="E107" i="2"/>
  <c r="E63" i="2"/>
  <c r="E67" i="2"/>
  <c r="J16" i="2"/>
  <c r="J17" i="2"/>
  <c r="D53" i="2"/>
  <c r="D63" i="2"/>
  <c r="D67" i="2"/>
  <c r="E21" i="2"/>
  <c r="D41" i="2"/>
  <c r="I15" i="2"/>
  <c r="I16" i="2"/>
  <c r="I17" i="2"/>
  <c r="D38" i="2"/>
  <c r="D49" i="2"/>
  <c r="D96" i="2"/>
  <c r="E53" i="2"/>
  <c r="I14" i="2"/>
  <c r="K119" i="3"/>
  <c r="M119" i="3"/>
  <c r="J120" i="3"/>
  <c r="J113" i="3"/>
  <c r="J114" i="3"/>
  <c r="E119" i="3"/>
  <c r="G119" i="3"/>
  <c r="D120" i="3"/>
  <c r="D113" i="3"/>
  <c r="D114" i="3"/>
  <c r="D141" i="3"/>
  <c r="E131" i="3"/>
  <c r="G131" i="3"/>
  <c r="D72" i="3"/>
  <c r="E72" i="3"/>
  <c r="G72" i="3"/>
  <c r="J126" i="3"/>
  <c r="J141" i="3"/>
  <c r="K131" i="3"/>
  <c r="M131" i="3"/>
  <c r="J72" i="3"/>
  <c r="K72" i="3"/>
  <c r="M72" i="3"/>
  <c r="D126" i="3"/>
  <c r="I172" i="3"/>
  <c r="I164" i="3"/>
  <c r="E54" i="2"/>
  <c r="E55" i="2"/>
  <c r="E59" i="2"/>
  <c r="E57" i="2"/>
  <c r="L73" i="2"/>
  <c r="D69" i="2"/>
  <c r="D54" i="2"/>
  <c r="D55" i="2"/>
  <c r="D57" i="2"/>
  <c r="D59" i="2"/>
  <c r="D50" i="2"/>
  <c r="E69" i="2"/>
  <c r="M73" i="2"/>
  <c r="I175" i="3"/>
  <c r="J153" i="3"/>
  <c r="K141" i="3"/>
  <c r="M141" i="3"/>
  <c r="D153" i="3"/>
  <c r="E153" i="3"/>
  <c r="G153" i="3"/>
  <c r="E141" i="3"/>
  <c r="G141" i="3"/>
  <c r="E120" i="3"/>
  <c r="G120" i="3"/>
  <c r="D123" i="3"/>
  <c r="D127" i="3"/>
  <c r="D121" i="3"/>
  <c r="K120" i="3"/>
  <c r="M120" i="3"/>
  <c r="J123" i="3"/>
  <c r="J127" i="3"/>
  <c r="J121" i="3"/>
  <c r="E71" i="2"/>
  <c r="E64" i="2"/>
  <c r="E68" i="2"/>
  <c r="E72" i="2"/>
  <c r="E73" i="2"/>
  <c r="E82" i="2"/>
  <c r="E84" i="2"/>
  <c r="E89" i="2"/>
  <c r="E91" i="2"/>
  <c r="E95" i="2"/>
  <c r="D71" i="2"/>
  <c r="D82" i="2"/>
  <c r="D84" i="2"/>
  <c r="D64" i="2"/>
  <c r="J132" i="3"/>
  <c r="K121" i="3"/>
  <c r="M121" i="3"/>
  <c r="J124" i="3"/>
  <c r="K123" i="3"/>
  <c r="M123" i="3"/>
  <c r="D132" i="3"/>
  <c r="E121" i="3"/>
  <c r="G121" i="3"/>
  <c r="D124" i="3"/>
  <c r="E123" i="3"/>
  <c r="G123" i="3"/>
  <c r="K153" i="3"/>
  <c r="M153" i="3"/>
  <c r="J146" i="3"/>
  <c r="S176" i="3"/>
  <c r="I176" i="3"/>
  <c r="K176" i="3"/>
  <c r="I177" i="3"/>
  <c r="E74" i="2"/>
  <c r="E78" i="2"/>
  <c r="D89" i="2"/>
  <c r="D91" i="2"/>
  <c r="D85" i="2"/>
  <c r="D68" i="2"/>
  <c r="D72" i="2"/>
  <c r="D62" i="2"/>
  <c r="E76" i="2"/>
  <c r="D50" i="1"/>
  <c r="K146" i="3"/>
  <c r="J147" i="3"/>
  <c r="J154" i="3"/>
  <c r="K154" i="3"/>
  <c r="M154" i="3"/>
  <c r="K132" i="3"/>
  <c r="M132" i="3"/>
  <c r="J133" i="3"/>
  <c r="J136" i="3"/>
  <c r="E124" i="3"/>
  <c r="G124" i="3"/>
  <c r="D134" i="3"/>
  <c r="E132" i="3"/>
  <c r="G132" i="3"/>
  <c r="D133" i="3"/>
  <c r="D136" i="3"/>
  <c r="K124" i="3"/>
  <c r="M124" i="3"/>
  <c r="J134" i="3"/>
  <c r="D73" i="2"/>
  <c r="D74" i="2"/>
  <c r="D76" i="2"/>
  <c r="D95" i="2"/>
  <c r="D97" i="2"/>
  <c r="D92" i="2"/>
  <c r="D142" i="3"/>
  <c r="E133" i="3"/>
  <c r="G133" i="3"/>
  <c r="D135" i="3"/>
  <c r="E134" i="3"/>
  <c r="G134" i="3"/>
  <c r="J135" i="3"/>
  <c r="K134" i="3"/>
  <c r="M134" i="3"/>
  <c r="J142" i="3"/>
  <c r="K133" i="3"/>
  <c r="M133" i="3"/>
  <c r="J137" i="3"/>
  <c r="K147" i="3"/>
  <c r="M147" i="3"/>
  <c r="M146" i="3"/>
  <c r="O163" i="3"/>
  <c r="D98" i="2"/>
  <c r="D77" i="2"/>
  <c r="H41" i="2"/>
  <c r="D78" i="2"/>
  <c r="D148" i="2"/>
  <c r="K142" i="3"/>
  <c r="M142" i="3"/>
  <c r="J143" i="3"/>
  <c r="K143" i="3"/>
  <c r="M143" i="3"/>
  <c r="K135" i="3"/>
  <c r="M135" i="3"/>
  <c r="J144" i="3"/>
  <c r="E135" i="3"/>
  <c r="G135" i="3"/>
  <c r="D144" i="3"/>
  <c r="D137" i="3"/>
  <c r="E142" i="3"/>
  <c r="G142" i="3"/>
  <c r="D143" i="3"/>
  <c r="D102" i="2"/>
  <c r="D101" i="2"/>
  <c r="D106" i="2"/>
  <c r="D109" i="2"/>
  <c r="D145" i="3"/>
  <c r="E144" i="3"/>
  <c r="G144" i="3"/>
  <c r="D157" i="3"/>
  <c r="E143" i="3"/>
  <c r="G143" i="3"/>
  <c r="D148" i="3"/>
  <c r="D146" i="3"/>
  <c r="K144" i="3"/>
  <c r="M144" i="3"/>
  <c r="J145" i="3"/>
  <c r="D113" i="2"/>
  <c r="D108" i="2"/>
  <c r="E96" i="2"/>
  <c r="J150" i="3"/>
  <c r="K150" i="3"/>
  <c r="M150" i="3"/>
  <c r="J155" i="3"/>
  <c r="K145" i="3"/>
  <c r="M145" i="3"/>
  <c r="D158" i="3"/>
  <c r="E157" i="3"/>
  <c r="G157" i="3"/>
  <c r="E146" i="3"/>
  <c r="D147" i="3"/>
  <c r="E145" i="3"/>
  <c r="G145" i="3"/>
  <c r="D155" i="3"/>
  <c r="D115" i="2"/>
  <c r="D110" i="2"/>
  <c r="E98" i="2"/>
  <c r="E48" i="2"/>
  <c r="D114" i="2"/>
  <c r="D117" i="2"/>
  <c r="D106" i="1"/>
  <c r="D107" i="1"/>
  <c r="E147" i="3"/>
  <c r="D167" i="3"/>
  <c r="E158" i="3"/>
  <c r="G158" i="3"/>
  <c r="E155" i="3"/>
  <c r="G155" i="3"/>
  <c r="D156" i="3"/>
  <c r="K155" i="3"/>
  <c r="M155" i="3"/>
  <c r="J156" i="3"/>
  <c r="J157" i="1"/>
  <c r="K156" i="1"/>
  <c r="M156" i="1"/>
  <c r="E106" i="1"/>
  <c r="G106" i="1"/>
  <c r="E107" i="1"/>
  <c r="G107" i="1"/>
  <c r="D116" i="2"/>
  <c r="D123" i="2"/>
  <c r="E101" i="2"/>
  <c r="E102" i="2"/>
  <c r="E103" i="2"/>
  <c r="H43" i="2"/>
  <c r="D121" i="2"/>
  <c r="E85" i="2"/>
  <c r="E49" i="2"/>
  <c r="E50" i="2"/>
  <c r="E44" i="2"/>
  <c r="E92" i="2"/>
  <c r="E106" i="2"/>
  <c r="G43" i="2"/>
  <c r="D51" i="1"/>
  <c r="D86" i="1"/>
  <c r="J166" i="3"/>
  <c r="J159" i="3"/>
  <c r="K156" i="3"/>
  <c r="J165" i="3"/>
  <c r="M165" i="3"/>
  <c r="D166" i="3"/>
  <c r="D159" i="3"/>
  <c r="E156" i="3"/>
  <c r="D165" i="3"/>
  <c r="G165" i="3"/>
  <c r="E167" i="3"/>
  <c r="G167" i="3"/>
  <c r="D168" i="3"/>
  <c r="K157" i="1"/>
  <c r="M157" i="1"/>
  <c r="E86" i="1"/>
  <c r="G86" i="1"/>
  <c r="D118" i="2"/>
  <c r="D122" i="2"/>
  <c r="D125" i="2"/>
  <c r="E113" i="2"/>
  <c r="E108" i="2"/>
  <c r="E109" i="2"/>
  <c r="E77" i="2"/>
  <c r="H40" i="2"/>
  <c r="E62" i="2"/>
  <c r="D169" i="3"/>
  <c r="E168" i="3"/>
  <c r="E159" i="3"/>
  <c r="G159" i="3"/>
  <c r="D161" i="3"/>
  <c r="E166" i="3"/>
  <c r="G166" i="3"/>
  <c r="D171" i="3"/>
  <c r="K159" i="3"/>
  <c r="M159" i="3"/>
  <c r="J161" i="3"/>
  <c r="G156" i="3"/>
  <c r="E165" i="3"/>
  <c r="M156" i="3"/>
  <c r="K165" i="3"/>
  <c r="K166" i="3"/>
  <c r="J171" i="3"/>
  <c r="E148" i="2"/>
  <c r="E115" i="2"/>
  <c r="E110" i="2"/>
  <c r="E111" i="2"/>
  <c r="E114" i="2"/>
  <c r="D131" i="2"/>
  <c r="D124" i="2"/>
  <c r="D129" i="2"/>
  <c r="D91" i="1"/>
  <c r="K171" i="3"/>
  <c r="J172" i="3"/>
  <c r="E171" i="3"/>
  <c r="G171" i="3"/>
  <c r="D172" i="3"/>
  <c r="E169" i="3"/>
  <c r="G169" i="3"/>
  <c r="D175" i="3"/>
  <c r="D92" i="1"/>
  <c r="E91" i="1"/>
  <c r="G91" i="1"/>
  <c r="E117" i="2"/>
  <c r="E116" i="2"/>
  <c r="E123" i="2"/>
  <c r="D137" i="2"/>
  <c r="D136" i="2"/>
  <c r="D130" i="2"/>
  <c r="D126" i="2"/>
  <c r="D132" i="2"/>
  <c r="D138" i="2"/>
  <c r="D139" i="2"/>
  <c r="D140" i="2"/>
  <c r="E121" i="2"/>
  <c r="E175" i="3"/>
  <c r="G175" i="3"/>
  <c r="D176" i="3"/>
  <c r="D177" i="3"/>
  <c r="E172" i="3"/>
  <c r="G172" i="3"/>
  <c r="D164" i="3"/>
  <c r="E164" i="3"/>
  <c r="G164" i="3"/>
  <c r="K172" i="3"/>
  <c r="J164" i="3"/>
  <c r="K164" i="3"/>
  <c r="M164" i="3"/>
  <c r="J175" i="3"/>
  <c r="E92" i="1"/>
  <c r="G92" i="1"/>
  <c r="D98" i="1"/>
  <c r="D60" i="1"/>
  <c r="E118" i="2"/>
  <c r="E119" i="2"/>
  <c r="D142" i="2"/>
  <c r="D143" i="2"/>
  <c r="I41" i="2"/>
  <c r="E122" i="2"/>
  <c r="E125" i="2"/>
  <c r="D78" i="1"/>
  <c r="S177" i="3"/>
  <c r="J176" i="3"/>
  <c r="K175" i="3"/>
  <c r="J177" i="3"/>
  <c r="E78" i="1"/>
  <c r="G78" i="1"/>
  <c r="D79" i="1"/>
  <c r="D99" i="1"/>
  <c r="E98" i="1"/>
  <c r="G98" i="1"/>
  <c r="D80" i="1"/>
  <c r="D147" i="2"/>
  <c r="D150" i="2"/>
  <c r="D152" i="2"/>
  <c r="D151" i="2"/>
  <c r="D144" i="2"/>
  <c r="D154" i="2"/>
  <c r="H35" i="2"/>
  <c r="E156" i="2"/>
  <c r="E131" i="2"/>
  <c r="E124" i="2"/>
  <c r="E129" i="2"/>
  <c r="M175" i="3"/>
  <c r="K179" i="3"/>
  <c r="K180" i="3"/>
  <c r="D111" i="1"/>
  <c r="E99" i="1"/>
  <c r="G99" i="1"/>
  <c r="D87" i="1"/>
  <c r="E79" i="1"/>
  <c r="G79" i="1"/>
  <c r="D81" i="1"/>
  <c r="E80" i="1"/>
  <c r="E138" i="2"/>
  <c r="E139" i="2"/>
  <c r="E140" i="2"/>
  <c r="E132" i="2"/>
  <c r="E136" i="2"/>
  <c r="E130" i="2"/>
  <c r="E137" i="2"/>
  <c r="E126" i="2"/>
  <c r="E127" i="2"/>
  <c r="D122" i="1"/>
  <c r="E122" i="1"/>
  <c r="G122" i="1"/>
  <c r="E111" i="1"/>
  <c r="G111" i="1"/>
  <c r="E81" i="1"/>
  <c r="D88" i="1"/>
  <c r="E87" i="1"/>
  <c r="G87" i="1"/>
  <c r="E142" i="2"/>
  <c r="E143" i="2"/>
  <c r="E88" i="1"/>
  <c r="G88" i="1"/>
  <c r="D93" i="1"/>
  <c r="I40" i="2"/>
  <c r="E144" i="2"/>
  <c r="E147" i="2"/>
  <c r="E150" i="2"/>
  <c r="E151" i="2"/>
  <c r="D94" i="1"/>
  <c r="E93" i="1"/>
  <c r="G93" i="1"/>
  <c r="E154" i="2"/>
  <c r="H38" i="2"/>
  <c r="E94" i="1"/>
  <c r="G94" i="1"/>
  <c r="D95" i="1"/>
  <c r="D100" i="1"/>
  <c r="E100" i="1"/>
  <c r="G100" i="1"/>
  <c r="D101" i="1"/>
  <c r="D109" i="1"/>
  <c r="D102" i="1"/>
  <c r="E101" i="1"/>
  <c r="G101" i="1"/>
  <c r="F110" i="1"/>
  <c r="E109" i="1"/>
  <c r="G109" i="1"/>
  <c r="D69" i="1"/>
  <c r="E69" i="1"/>
  <c r="G69" i="1"/>
  <c r="D108" i="1"/>
  <c r="D110" i="1"/>
  <c r="D114" i="1"/>
  <c r="G108" i="1"/>
  <c r="D118" i="1"/>
  <c r="E110" i="1"/>
  <c r="G110" i="1"/>
  <c r="D130" i="1"/>
  <c r="E130" i="1"/>
  <c r="G130" i="1"/>
  <c r="D119" i="1"/>
  <c r="E119" i="1"/>
  <c r="G119" i="1"/>
  <c r="E118" i="1"/>
  <c r="G118" i="1"/>
  <c r="D140" i="1"/>
  <c r="E140" i="1"/>
  <c r="G140" i="1"/>
  <c r="D72" i="1"/>
  <c r="E72" i="1"/>
  <c r="G72" i="1"/>
  <c r="D120" i="1"/>
  <c r="D113" i="1"/>
  <c r="D125" i="1"/>
  <c r="D152" i="1"/>
  <c r="E152" i="1"/>
  <c r="G152" i="1"/>
  <c r="E120" i="1"/>
  <c r="G120" i="1"/>
  <c r="D121" i="1"/>
  <c r="E121" i="1"/>
  <c r="G121" i="1"/>
  <c r="D123" i="1"/>
  <c r="D124" i="1"/>
  <c r="D133" i="1"/>
  <c r="D126" i="1"/>
  <c r="E123" i="1"/>
  <c r="G123" i="1"/>
  <c r="D131" i="1"/>
  <c r="E124" i="1"/>
  <c r="G124" i="1"/>
  <c r="E133" i="1"/>
  <c r="G133" i="1"/>
  <c r="E131" i="1"/>
  <c r="G131" i="1"/>
  <c r="D132" i="1"/>
  <c r="D134" i="1"/>
  <c r="E134" i="1"/>
  <c r="G134" i="1"/>
  <c r="D141" i="1"/>
  <c r="D142" i="1"/>
  <c r="E132" i="1"/>
  <c r="G132" i="1"/>
  <c r="D143" i="1"/>
  <c r="E143" i="1"/>
  <c r="G143" i="1"/>
  <c r="D136" i="1"/>
  <c r="D147" i="1"/>
  <c r="D145" i="1"/>
  <c r="D146" i="1"/>
  <c r="D156" i="1"/>
  <c r="D157" i="1"/>
  <c r="D166" i="1"/>
  <c r="D167" i="1"/>
  <c r="E141" i="1"/>
  <c r="G141" i="1"/>
  <c r="E142" i="1"/>
  <c r="G142" i="1"/>
  <c r="D144" i="1"/>
  <c r="D154" i="1"/>
  <c r="E154" i="1"/>
  <c r="G154" i="1"/>
  <c r="E145" i="1"/>
  <c r="E156" i="1"/>
  <c r="G156" i="1"/>
  <c r="D155" i="1"/>
  <c r="D164" i="1"/>
  <c r="E144" i="1"/>
  <c r="G144" i="1"/>
  <c r="E157" i="1"/>
  <c r="G157" i="1"/>
  <c r="E146" i="1"/>
  <c r="D158" i="1"/>
  <c r="E158" i="1"/>
  <c r="G158" i="1"/>
  <c r="E155" i="1"/>
  <c r="G155" i="1"/>
  <c r="D165" i="1"/>
  <c r="E165" i="1"/>
  <c r="G165" i="1"/>
  <c r="G164" i="1"/>
  <c r="E166" i="1"/>
  <c r="G166" i="1"/>
  <c r="D170" i="1"/>
  <c r="E170" i="1"/>
  <c r="G170" i="1"/>
  <c r="D160" i="1"/>
  <c r="E164" i="1"/>
  <c r="E167" i="1"/>
  <c r="D168" i="1"/>
  <c r="D171" i="1"/>
  <c r="D175" i="1"/>
  <c r="E168" i="1"/>
  <c r="G168" i="1"/>
  <c r="D163" i="1"/>
  <c r="E171" i="1"/>
  <c r="G171" i="1"/>
  <c r="E163" i="1"/>
  <c r="G163" i="1"/>
  <c r="D178" i="1"/>
  <c r="D177" i="1"/>
  <c r="E175" i="1"/>
  <c r="E177" i="1"/>
  <c r="I27" i="1"/>
  <c r="I25" i="1"/>
  <c r="I51" i="1"/>
  <c r="I99" i="1"/>
  <c r="I101" i="1"/>
  <c r="I111" i="1"/>
  <c r="I122" i="1"/>
  <c r="N93" i="5" l="1"/>
  <c r="J166" i="1"/>
  <c r="N113" i="5"/>
  <c r="N100" i="5"/>
  <c r="N101" i="5" s="1"/>
  <c r="N102" i="5" s="1"/>
  <c r="N178" i="5" s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61" i="5"/>
  <c r="D92" i="5"/>
  <c r="D93" i="5" s="1"/>
  <c r="E93" i="5" s="1"/>
  <c r="G93" i="5" s="1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E117" i="7"/>
  <c r="E106" i="7"/>
  <c r="I88" i="7"/>
  <c r="I97" i="7" s="1"/>
  <c r="I98" i="7" s="1"/>
  <c r="I89" i="7"/>
  <c r="I90" i="7" s="1"/>
  <c r="G106" i="7"/>
  <c r="G117" i="7"/>
  <c r="G118" i="7"/>
  <c r="G125" i="7" s="1"/>
  <c r="F106" i="7"/>
  <c r="F117" i="7"/>
  <c r="E103" i="7"/>
  <c r="E104" i="7" s="1"/>
  <c r="E107" i="7" s="1"/>
  <c r="E108" i="7" s="1"/>
  <c r="E175" i="7" s="1"/>
  <c r="E174" i="7" s="1"/>
  <c r="E115" i="7"/>
  <c r="K106" i="7"/>
  <c r="K107" i="7" s="1"/>
  <c r="K108" i="7" s="1"/>
  <c r="K175" i="7" s="1"/>
  <c r="K174" i="7" s="1"/>
  <c r="K117" i="7"/>
  <c r="K118" i="7" s="1"/>
  <c r="K125" i="7" s="1"/>
  <c r="K126" i="7" s="1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D88" i="7"/>
  <c r="D97" i="7" s="1"/>
  <c r="D98" i="7" s="1"/>
  <c r="D89" i="7"/>
  <c r="D90" i="7" s="1"/>
  <c r="G107" i="7"/>
  <c r="G108" i="7" s="1"/>
  <c r="G175" i="7" s="1"/>
  <c r="G174" i="7" s="1"/>
  <c r="G105" i="7"/>
  <c r="G180" i="7" s="1"/>
  <c r="F89" i="7"/>
  <c r="F90" i="7" s="1"/>
  <c r="J115" i="7"/>
  <c r="D103" i="7"/>
  <c r="D104" i="7" s="1"/>
  <c r="H87" i="7"/>
  <c r="H103" i="7"/>
  <c r="H104" i="7" s="1"/>
  <c r="D116" i="7"/>
  <c r="K116" i="7"/>
  <c r="K123" i="7" s="1"/>
  <c r="K124" i="7" s="1"/>
  <c r="K135" i="7" s="1"/>
  <c r="K147" i="7" s="1"/>
  <c r="J116" i="7"/>
  <c r="G123" i="7"/>
  <c r="G124" i="7" s="1"/>
  <c r="G135" i="7" s="1"/>
  <c r="G147" i="7" s="1"/>
  <c r="E116" i="7"/>
  <c r="D123" i="7"/>
  <c r="D124" i="7" s="1"/>
  <c r="D135" i="7" s="1"/>
  <c r="D147" i="7" s="1"/>
  <c r="I123" i="7"/>
  <c r="I124" i="7" s="1"/>
  <c r="I135" i="7" s="1"/>
  <c r="I147" i="7" s="1"/>
  <c r="G126" i="7"/>
  <c r="H123" i="7"/>
  <c r="H124" i="7" s="1"/>
  <c r="H135" i="7" s="1"/>
  <c r="H147" i="7" s="1"/>
  <c r="J123" i="7"/>
  <c r="J124" i="7" s="1"/>
  <c r="J135" i="7" s="1"/>
  <c r="J147" i="7" s="1"/>
  <c r="J118" i="7"/>
  <c r="J125" i="7" s="1"/>
  <c r="J105" i="7"/>
  <c r="J180" i="7" s="1"/>
  <c r="J107" i="7"/>
  <c r="J108" i="7" s="1"/>
  <c r="J175" i="7" s="1"/>
  <c r="J174" i="7" s="1"/>
  <c r="H105" i="7"/>
  <c r="H180" i="7" s="1"/>
  <c r="E105" i="7"/>
  <c r="E180" i="7" s="1"/>
  <c r="F53" i="7"/>
  <c r="D105" i="7"/>
  <c r="D180" i="7" s="1"/>
  <c r="K166" i="1" l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94" i="5"/>
  <c r="D113" i="5"/>
  <c r="D100" i="5"/>
  <c r="D101" i="5" s="1"/>
  <c r="E92" i="5"/>
  <c r="G92" i="5" s="1"/>
  <c r="I113" i="5"/>
  <c r="J93" i="5"/>
  <c r="L93" i="5" s="1"/>
  <c r="I87" i="5"/>
  <c r="J87" i="5" s="1"/>
  <c r="J86" i="5"/>
  <c r="D114" i="5"/>
  <c r="E113" i="5"/>
  <c r="G113" i="5" s="1"/>
  <c r="E100" i="5"/>
  <c r="G100" i="5" s="1"/>
  <c r="I100" i="5"/>
  <c r="F118" i="7"/>
  <c r="F125" i="7" s="1"/>
  <c r="F126" i="7" s="1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J126" i="7"/>
  <c r="E118" i="7"/>
  <c r="E125" i="7" s="1"/>
  <c r="E123" i="7"/>
  <c r="E124" i="7" s="1"/>
  <c r="E135" i="7" s="1"/>
  <c r="E147" i="7" s="1"/>
  <c r="J168" i="1" l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D95" i="5"/>
  <c r="J100" i="5"/>
  <c r="L100" i="5" s="1"/>
  <c r="J113" i="5"/>
  <c r="L113" i="5" s="1"/>
  <c r="D102" i="5"/>
  <c r="E101" i="5"/>
  <c r="G101" i="5" s="1"/>
  <c r="D121" i="5"/>
  <c r="E114" i="5"/>
  <c r="G114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E95" i="5" l="1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E103" i="5" l="1"/>
  <c r="G103" i="5" s="1"/>
  <c r="D104" i="5"/>
  <c r="E115" i="5"/>
  <c r="G115" i="5" s="1"/>
  <c r="D116" i="5"/>
  <c r="E122" i="5"/>
  <c r="G122" i="5" s="1"/>
  <c r="D133" i="5"/>
  <c r="D105" i="5" l="1"/>
  <c r="E104" i="5"/>
  <c r="G104" i="5" s="1"/>
  <c r="E116" i="5"/>
  <c r="G116" i="5" s="1"/>
  <c r="D123" i="5"/>
  <c r="D145" i="5"/>
  <c r="E133" i="5"/>
  <c r="G133" i="5" s="1"/>
  <c r="E123" i="5" l="1"/>
  <c r="G123" i="5" s="1"/>
  <c r="D124" i="5"/>
  <c r="E124" i="5" s="1"/>
  <c r="G124" i="5" s="1"/>
  <c r="E105" i="5"/>
  <c r="G105" i="5" s="1"/>
  <c r="D173" i="5"/>
  <c r="E145" i="5"/>
  <c r="G145" i="5" s="1"/>
  <c r="E173" i="5" l="1"/>
  <c r="G173" i="5" s="1"/>
  <c r="D172" i="5"/>
  <c r="L201" i="5" l="1"/>
  <c r="I202" i="5"/>
  <c r="I27" i="5"/>
  <c r="I25" i="5" s="1"/>
  <c r="I29" i="5"/>
  <c r="N29" i="5" s="1"/>
  <c r="I50" i="5"/>
  <c r="I101" i="5"/>
  <c r="I104" i="5" s="1"/>
  <c r="J101" i="5"/>
  <c r="L101" i="5" s="1"/>
  <c r="I102" i="5"/>
  <c r="I178" i="5" s="1"/>
  <c r="J178" i="5" s="1"/>
  <c r="L178" i="5" s="1"/>
  <c r="J102" i="5"/>
  <c r="L102" i="5" s="1"/>
  <c r="I114" i="5"/>
  <c r="J114" i="5" s="1"/>
  <c r="L114" i="5" s="1"/>
  <c r="N50" i="5" l="1"/>
  <c r="N114" i="5"/>
  <c r="I105" i="5"/>
  <c r="J104" i="5"/>
  <c r="L104" i="5" s="1"/>
  <c r="I116" i="5"/>
  <c r="I121" i="5"/>
  <c r="N121" i="5" l="1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I124" i="5" l="1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I145" i="5" l="1"/>
  <c r="J133" i="5"/>
  <c r="L133" i="5" s="1"/>
  <c r="J145" i="5" l="1"/>
  <c r="L145" i="5" s="1"/>
  <c r="D219" i="5"/>
  <c r="D220" i="5"/>
  <c r="E157" i="7"/>
  <c r="E151" i="7"/>
  <c r="L195" i="5"/>
  <c r="J204" i="5"/>
  <c r="F150" i="7"/>
  <c r="F146" i="7"/>
  <c r="N183" i="5"/>
  <c r="L144" i="5"/>
  <c r="E202" i="7"/>
  <c r="K146" i="7"/>
  <c r="K150" i="7"/>
  <c r="I206" i="7"/>
  <c r="N164" i="5"/>
  <c r="E138" i="7"/>
  <c r="E137" i="7"/>
  <c r="I152" i="1"/>
  <c r="I153" i="1"/>
  <c r="N219" i="5"/>
  <c r="N130" i="5"/>
  <c r="N74" i="5"/>
  <c r="N220" i="5"/>
  <c r="D218" i="5"/>
  <c r="D217" i="5"/>
  <c r="J179" i="1"/>
  <c r="J180" i="1"/>
  <c r="J171" i="7"/>
  <c r="J173" i="7"/>
  <c r="I205" i="7"/>
  <c r="I80" i="7"/>
  <c r="I69" i="7"/>
  <c r="I75" i="7"/>
  <c r="G184" i="7"/>
  <c r="J125" i="1"/>
  <c r="D204" i="8"/>
  <c r="I108" i="5"/>
  <c r="I107" i="5"/>
  <c r="D148" i="8"/>
  <c r="D144" i="8"/>
  <c r="E150" i="7"/>
  <c r="E146" i="7"/>
  <c r="K138" i="7"/>
  <c r="K137" i="7"/>
  <c r="N66" i="5"/>
  <c r="L208" i="5"/>
  <c r="G75" i="7"/>
  <c r="G69" i="7"/>
  <c r="G80" i="7"/>
  <c r="F75" i="7"/>
  <c r="F80" i="7"/>
  <c r="F69" i="7"/>
  <c r="I168" i="1"/>
  <c r="H185" i="7"/>
  <c r="K206" i="7"/>
  <c r="G206" i="7"/>
  <c r="D178" i="7"/>
  <c r="D110" i="7"/>
  <c r="G200" i="7"/>
  <c r="G202" i="7"/>
  <c r="K119" i="7"/>
  <c r="S170" i="1"/>
  <c r="I157" i="7"/>
  <c r="I151" i="7"/>
  <c r="D149" i="5"/>
  <c r="E178" i="7"/>
  <c r="I200" i="5"/>
  <c r="L204" i="5"/>
  <c r="G173" i="7"/>
  <c r="G171" i="7"/>
  <c r="I217" i="5"/>
  <c r="I218" i="5"/>
  <c r="J63" i="5"/>
  <c r="G208" i="5"/>
  <c r="G210" i="7"/>
  <c r="G220" i="7"/>
  <c r="G219" i="7"/>
  <c r="N157" i="5"/>
  <c r="H137" i="7"/>
  <c r="H138" i="7"/>
  <c r="D185" i="7"/>
  <c r="D183" i="8"/>
  <c r="I137" i="7"/>
  <c r="I138" i="7"/>
  <c r="G177" i="5"/>
  <c r="K205" i="7"/>
  <c r="G167" i="5"/>
  <c r="K63" i="5"/>
  <c r="D198" i="8"/>
  <c r="D200" i="8"/>
  <c r="L142" i="5"/>
  <c r="N204" i="5"/>
  <c r="D66" i="5"/>
  <c r="E73" i="5"/>
  <c r="J160" i="1"/>
  <c r="J174" i="5"/>
  <c r="L174" i="5"/>
  <c r="I125" i="1"/>
  <c r="F151" i="7"/>
  <c r="F157" i="7"/>
  <c r="K190" i="7"/>
  <c r="K184" i="7"/>
  <c r="H163" i="7"/>
  <c r="G110" i="7"/>
  <c r="J219" i="7"/>
  <c r="J220" i="7"/>
  <c r="D169" i="8"/>
  <c r="D171" i="8"/>
  <c r="N144" i="5"/>
  <c r="N148" i="5"/>
  <c r="J126" i="1"/>
  <c r="J127" i="1"/>
  <c r="H190" i="7"/>
  <c r="H184" i="7"/>
  <c r="E147" i="5"/>
  <c r="G147" i="5"/>
  <c r="E209" i="7"/>
  <c r="E210" i="7"/>
  <c r="D221" i="7"/>
  <c r="D77" i="7"/>
  <c r="D132" i="7"/>
  <c r="I179" i="1"/>
  <c r="I69" i="1"/>
  <c r="I180" i="1"/>
  <c r="J185" i="7"/>
  <c r="J159" i="7"/>
  <c r="K207" i="7"/>
  <c r="K212" i="7"/>
  <c r="N175" i="5"/>
  <c r="N177" i="5"/>
  <c r="N176" i="5"/>
  <c r="J217" i="7"/>
  <c r="M145" i="1"/>
  <c r="O162" i="1"/>
  <c r="J206" i="7"/>
  <c r="N135" i="5"/>
  <c r="N136" i="5"/>
  <c r="E141" i="5"/>
  <c r="G141" i="5"/>
  <c r="J175" i="5"/>
  <c r="L175" i="5"/>
  <c r="F220" i="7"/>
  <c r="F217" i="7"/>
  <c r="F219" i="7"/>
  <c r="J198" i="5"/>
  <c r="L198" i="5"/>
  <c r="E163" i="7"/>
  <c r="K179" i="7"/>
  <c r="K178" i="7"/>
  <c r="J113" i="1"/>
  <c r="J135" i="1"/>
  <c r="G217" i="7"/>
  <c r="L155" i="5"/>
  <c r="J102" i="1"/>
  <c r="J95" i="1"/>
  <c r="D151" i="7"/>
  <c r="D157" i="7"/>
  <c r="J159" i="5"/>
  <c r="J155" i="5"/>
  <c r="I159" i="5"/>
  <c r="D127" i="7"/>
  <c r="D72" i="5"/>
  <c r="E72" i="5"/>
  <c r="J137" i="7"/>
  <c r="J138" i="7"/>
  <c r="G163" i="7"/>
  <c r="F185" i="7"/>
  <c r="I219" i="5"/>
  <c r="I220" i="5"/>
  <c r="J69" i="1"/>
  <c r="K69" i="1"/>
  <c r="M69" i="1"/>
  <c r="J158" i="7"/>
  <c r="J172" i="7"/>
  <c r="J162" i="7"/>
  <c r="J172" i="1"/>
  <c r="I183" i="5"/>
  <c r="D220" i="7"/>
  <c r="D217" i="7"/>
  <c r="D219" i="7"/>
  <c r="K114" i="7"/>
  <c r="K122" i="7"/>
  <c r="K127" i="7"/>
  <c r="D136" i="8"/>
  <c r="D135" i="8"/>
  <c r="J114" i="1"/>
  <c r="J115" i="1"/>
  <c r="I148" i="5"/>
  <c r="J142" i="5"/>
  <c r="J28" i="5"/>
  <c r="I164" i="5"/>
  <c r="D156" i="8"/>
  <c r="D170" i="8"/>
  <c r="J195" i="7"/>
  <c r="J213" i="7"/>
  <c r="J205" i="7"/>
  <c r="J192" i="5"/>
  <c r="L192" i="5"/>
  <c r="J200" i="7"/>
  <c r="J202" i="7"/>
  <c r="E131" i="5"/>
  <c r="G131" i="5"/>
  <c r="I148" i="1"/>
  <c r="H159" i="7"/>
  <c r="I146" i="7"/>
  <c r="I150" i="7"/>
  <c r="J165" i="5"/>
  <c r="L165" i="5"/>
  <c r="J111" i="5"/>
  <c r="L111" i="5"/>
  <c r="E185" i="7"/>
  <c r="F163" i="7"/>
  <c r="E159" i="7"/>
  <c r="I95" i="1"/>
  <c r="I102" i="1"/>
  <c r="I72" i="1"/>
  <c r="S176" i="1"/>
  <c r="I177" i="1"/>
  <c r="I178" i="1"/>
  <c r="N217" i="5"/>
  <c r="N218" i="5"/>
  <c r="J178" i="1"/>
  <c r="J177" i="1"/>
  <c r="S177" i="1"/>
  <c r="K109" i="1"/>
  <c r="M109" i="1"/>
  <c r="H171" i="7"/>
  <c r="H173" i="7"/>
  <c r="K141" i="1"/>
  <c r="M141" i="1"/>
  <c r="J194" i="5"/>
  <c r="L194" i="5"/>
  <c r="L77" i="5"/>
  <c r="D206" i="7"/>
  <c r="I164" i="1"/>
  <c r="K29" i="1"/>
  <c r="I135" i="1"/>
  <c r="I113" i="1"/>
  <c r="J169" i="5"/>
  <c r="J166" i="5"/>
  <c r="L166" i="5"/>
  <c r="K221" i="7"/>
  <c r="K77" i="7"/>
  <c r="K132" i="7"/>
  <c r="E197" i="5"/>
  <c r="G197" i="5"/>
  <c r="G155" i="5"/>
  <c r="D155" i="5"/>
  <c r="E155" i="5"/>
  <c r="E165" i="5"/>
  <c r="G165" i="5"/>
  <c r="N215" i="5"/>
  <c r="D160" i="5"/>
  <c r="M108" i="1"/>
  <c r="H210" i="7"/>
  <c r="K165" i="1"/>
  <c r="J211" i="5"/>
  <c r="L211" i="5"/>
  <c r="K107" i="1"/>
  <c r="M107" i="1"/>
  <c r="K110" i="7"/>
  <c r="I185" i="7"/>
  <c r="H69" i="7"/>
  <c r="H75" i="7"/>
  <c r="H80" i="7"/>
  <c r="K175" i="1"/>
  <c r="K177" i="1"/>
  <c r="J137" i="1"/>
  <c r="I186" i="7"/>
  <c r="I189" i="7"/>
  <c r="N125" i="5"/>
  <c r="N107" i="5"/>
  <c r="N108" i="5"/>
  <c r="K159" i="7"/>
  <c r="G112" i="5"/>
  <c r="I136" i="1"/>
  <c r="I137" i="1"/>
  <c r="J131" i="5"/>
  <c r="L131" i="5"/>
  <c r="L177" i="5"/>
  <c r="D79" i="8"/>
  <c r="D68" i="8"/>
  <c r="D74" i="8"/>
  <c r="G192" i="5"/>
  <c r="G146" i="5"/>
  <c r="I155" i="5"/>
  <c r="G203" i="5"/>
  <c r="G157" i="5"/>
  <c r="D125" i="5"/>
  <c r="F162" i="7"/>
  <c r="D76" i="8"/>
  <c r="D130" i="8"/>
  <c r="D219" i="8"/>
  <c r="J75" i="7"/>
  <c r="J80" i="7"/>
  <c r="J69" i="7"/>
  <c r="G190" i="7"/>
  <c r="J98" i="5"/>
  <c r="L98" i="5"/>
  <c r="H221" i="7"/>
  <c r="H132" i="7"/>
  <c r="H133" i="7"/>
  <c r="H77" i="7"/>
  <c r="J81" i="5"/>
  <c r="L81" i="5"/>
  <c r="I163" i="7"/>
  <c r="G185" i="7"/>
  <c r="K173" i="7"/>
  <c r="K171" i="7"/>
  <c r="J179" i="5"/>
  <c r="L179" i="5"/>
  <c r="K133" i="7"/>
  <c r="F206" i="7"/>
  <c r="I200" i="7"/>
  <c r="I202" i="7"/>
  <c r="D182" i="5"/>
  <c r="E158" i="5"/>
  <c r="G158" i="5"/>
  <c r="J215" i="5"/>
  <c r="J217" i="5"/>
  <c r="I175" i="1"/>
  <c r="I215" i="5"/>
  <c r="M119" i="1"/>
  <c r="G179" i="5"/>
  <c r="J136" i="1"/>
  <c r="H127" i="7"/>
  <c r="F137" i="7"/>
  <c r="F138" i="7"/>
  <c r="I160" i="5"/>
  <c r="E179" i="5"/>
  <c r="D184" i="7"/>
  <c r="K162" i="7"/>
  <c r="D187" i="5"/>
  <c r="N77" i="5"/>
  <c r="N72" i="5"/>
  <c r="D182" i="8"/>
  <c r="D160" i="8"/>
  <c r="I66" i="5"/>
  <c r="J71" i="5"/>
  <c r="I125" i="5"/>
  <c r="G154" i="5"/>
  <c r="I158" i="1"/>
  <c r="I160" i="1"/>
  <c r="I117" i="5"/>
  <c r="N149" i="5"/>
  <c r="D200" i="7"/>
  <c r="D202" i="7"/>
  <c r="G194" i="5"/>
  <c r="I74" i="5"/>
  <c r="J74" i="5"/>
  <c r="D148" i="5"/>
  <c r="G99" i="5"/>
  <c r="E221" i="7"/>
  <c r="E132" i="7"/>
  <c r="E77" i="7"/>
  <c r="D135" i="5"/>
  <c r="I181" i="7"/>
  <c r="I196" i="7"/>
  <c r="I197" i="7"/>
  <c r="I207" i="7"/>
  <c r="I212" i="7"/>
  <c r="G204" i="5"/>
  <c r="M106" i="1"/>
  <c r="I132" i="7"/>
  <c r="I221" i="7"/>
  <c r="I77" i="7"/>
  <c r="E153" i="5"/>
  <c r="G153" i="5"/>
  <c r="H157" i="7"/>
  <c r="H151" i="7"/>
  <c r="K133" i="1"/>
  <c r="M133" i="1"/>
  <c r="D205" i="8"/>
  <c r="D210" i="8"/>
  <c r="M155" i="1"/>
  <c r="K164" i="1"/>
  <c r="H110" i="7"/>
  <c r="I219" i="7"/>
  <c r="I220" i="7"/>
  <c r="G209" i="7"/>
  <c r="D125" i="8"/>
  <c r="J194" i="7"/>
  <c r="J207" i="5"/>
  <c r="J171" i="5"/>
  <c r="L171" i="5"/>
  <c r="I210" i="7"/>
  <c r="M124" i="1"/>
  <c r="D208" i="8"/>
  <c r="F159" i="7"/>
  <c r="D183" i="5"/>
  <c r="D184" i="5"/>
  <c r="G137" i="7"/>
  <c r="G138" i="7"/>
  <c r="I172" i="1"/>
  <c r="M72" i="1"/>
  <c r="G162" i="7"/>
  <c r="H162" i="7"/>
  <c r="I120" i="5"/>
  <c r="J120" i="5"/>
  <c r="L120" i="5"/>
  <c r="J157" i="7"/>
  <c r="J151" i="7"/>
  <c r="K163" i="7"/>
  <c r="E211" i="5"/>
  <c r="G211" i="5"/>
  <c r="N117" i="5"/>
  <c r="N120" i="5"/>
  <c r="M146" i="1"/>
  <c r="J177" i="5"/>
  <c r="F221" i="7"/>
  <c r="F132" i="7"/>
  <c r="F77" i="7"/>
  <c r="N169" i="5"/>
  <c r="N171" i="5"/>
  <c r="F119" i="7"/>
  <c r="G132" i="7"/>
  <c r="G221" i="7"/>
  <c r="G133" i="7"/>
  <c r="G77" i="7"/>
  <c r="J210" i="7"/>
  <c r="K130" i="1"/>
  <c r="M130" i="1"/>
  <c r="J150" i="7"/>
  <c r="J146" i="7"/>
  <c r="E75" i="7"/>
  <c r="E80" i="7"/>
  <c r="E69" i="7"/>
  <c r="D157" i="5"/>
  <c r="E157" i="5"/>
  <c r="E146" i="5"/>
  <c r="E162" i="7"/>
  <c r="I198" i="5"/>
  <c r="I204" i="5"/>
  <c r="J195" i="5"/>
  <c r="G127" i="7"/>
  <c r="D130" i="5"/>
  <c r="G130" i="5"/>
  <c r="J73" i="5"/>
  <c r="K158" i="1"/>
  <c r="M158" i="1"/>
  <c r="K220" i="7"/>
  <c r="K219" i="7"/>
  <c r="E142" i="5"/>
  <c r="G142" i="5"/>
  <c r="D159" i="7"/>
  <c r="F110" i="7"/>
  <c r="G196" i="5"/>
  <c r="K151" i="7"/>
  <c r="K157" i="7"/>
  <c r="I135" i="5"/>
  <c r="H150" i="7"/>
  <c r="H146" i="7"/>
  <c r="D146" i="7"/>
  <c r="D150" i="7"/>
  <c r="K136" i="5"/>
  <c r="J153" i="1"/>
  <c r="K153" i="1"/>
  <c r="M153" i="1"/>
  <c r="E154" i="5"/>
  <c r="D161" i="5"/>
  <c r="D162" i="7"/>
  <c r="D163" i="7"/>
  <c r="D122" i="7"/>
  <c r="D114" i="7"/>
  <c r="D119" i="7"/>
  <c r="J190" i="7"/>
  <c r="J184" i="7"/>
  <c r="D131" i="8"/>
  <c r="E207" i="5"/>
  <c r="E128" i="5"/>
  <c r="G128" i="5"/>
  <c r="D117" i="5"/>
  <c r="E112" i="5"/>
  <c r="S169" i="1"/>
  <c r="S168" i="1"/>
  <c r="J147" i="5"/>
  <c r="L147" i="5"/>
  <c r="I173" i="7"/>
  <c r="I158" i="7"/>
  <c r="I172" i="7"/>
  <c r="I171" i="7"/>
  <c r="E143" i="5"/>
  <c r="G143" i="5"/>
  <c r="K200" i="7"/>
  <c r="K202" i="7"/>
  <c r="F133" i="7"/>
  <c r="F122" i="7"/>
  <c r="F127" i="7"/>
  <c r="E206" i="7"/>
  <c r="E200" i="7"/>
  <c r="D207" i="7"/>
  <c r="D212" i="7"/>
  <c r="K163" i="1"/>
  <c r="M163" i="1"/>
  <c r="E132" i="5"/>
  <c r="G132" i="5"/>
  <c r="I115" i="1"/>
  <c r="G146" i="7"/>
  <c r="G150" i="7"/>
  <c r="K181" i="7"/>
  <c r="K196" i="7"/>
  <c r="K197" i="7"/>
  <c r="F207" i="7"/>
  <c r="F212" i="7"/>
  <c r="I77" i="5"/>
  <c r="J77" i="5"/>
  <c r="J196" i="5"/>
  <c r="L196" i="5"/>
  <c r="K217" i="7"/>
  <c r="K213" i="7"/>
  <c r="I208" i="7"/>
  <c r="I209" i="7"/>
  <c r="N184" i="5"/>
  <c r="N187" i="5"/>
  <c r="E119" i="7"/>
  <c r="K177" i="7"/>
  <c r="D206" i="8"/>
  <c r="D207" i="8"/>
  <c r="D200" i="5"/>
  <c r="K118" i="1"/>
  <c r="M118" i="1"/>
  <c r="J158" i="1"/>
  <c r="K155" i="1"/>
  <c r="I188" i="7"/>
  <c r="I190" i="7"/>
  <c r="I184" i="7"/>
  <c r="F114" i="7"/>
  <c r="K80" i="7"/>
  <c r="K75" i="7"/>
  <c r="K69" i="7"/>
  <c r="N182" i="5"/>
  <c r="H206" i="7"/>
  <c r="G151" i="7"/>
  <c r="G157" i="7"/>
  <c r="J119" i="7"/>
  <c r="J91" i="5"/>
  <c r="L91" i="5"/>
  <c r="J132" i="5"/>
  <c r="L132" i="5"/>
  <c r="D218" i="8"/>
  <c r="D217" i="8"/>
  <c r="L157" i="5"/>
  <c r="I108" i="1"/>
  <c r="I147" i="1"/>
  <c r="I145" i="1"/>
  <c r="I210" i="5"/>
  <c r="J210" i="5"/>
  <c r="L210" i="5"/>
  <c r="F186" i="7"/>
  <c r="F189" i="7"/>
  <c r="I131" i="5"/>
  <c r="I130" i="5"/>
  <c r="L130" i="5"/>
  <c r="J167" i="5"/>
  <c r="L167" i="5"/>
  <c r="E197" i="7"/>
  <c r="E207" i="7"/>
  <c r="E212" i="7"/>
  <c r="D117" i="8"/>
  <c r="D112" i="8"/>
  <c r="D120" i="8"/>
  <c r="D108" i="8"/>
  <c r="J114" i="7"/>
  <c r="J122" i="7"/>
  <c r="J127" i="7"/>
  <c r="E176" i="7"/>
  <c r="E198" i="7"/>
  <c r="E199" i="7"/>
  <c r="E208" i="7"/>
  <c r="K110" i="1"/>
  <c r="M110" i="1"/>
  <c r="E114" i="7"/>
  <c r="E122" i="7"/>
  <c r="E127" i="7"/>
  <c r="H122" i="7"/>
  <c r="H114" i="7"/>
  <c r="H119" i="7"/>
  <c r="D195" i="7"/>
  <c r="D213" i="7"/>
  <c r="D205" i="7"/>
  <c r="D190" i="7"/>
  <c r="D197" i="8"/>
  <c r="I133" i="7"/>
  <c r="I162" i="7"/>
  <c r="D69" i="7"/>
  <c r="D75" i="7"/>
  <c r="D80" i="7"/>
  <c r="D155" i="8"/>
  <c r="D149" i="8"/>
  <c r="K124" i="1"/>
  <c r="G177" i="7"/>
  <c r="G179" i="7"/>
  <c r="G178" i="7"/>
  <c r="D112" i="5"/>
  <c r="D120" i="5"/>
  <c r="E120" i="5"/>
  <c r="G120" i="5"/>
  <c r="E194" i="5"/>
  <c r="N65" i="5"/>
  <c r="K185" i="7"/>
  <c r="E206" i="5"/>
  <c r="G206" i="5"/>
  <c r="D138" i="7"/>
  <c r="D137" i="7"/>
  <c r="G186" i="7"/>
  <c r="G189" i="7"/>
  <c r="K106" i="1"/>
  <c r="I109" i="1"/>
  <c r="N192" i="5"/>
  <c r="N193" i="5"/>
  <c r="N211" i="5"/>
  <c r="N203" i="5"/>
  <c r="D181" i="7"/>
  <c r="D196" i="7"/>
  <c r="D197" i="7"/>
  <c r="I217" i="7"/>
  <c r="I213" i="7"/>
  <c r="K123" i="1"/>
  <c r="M123" i="1"/>
  <c r="F200" i="7"/>
  <c r="F202" i="7"/>
  <c r="D176" i="7"/>
  <c r="D198" i="7"/>
  <c r="D199" i="7"/>
  <c r="D208" i="7"/>
  <c r="D209" i="7"/>
  <c r="D210" i="7"/>
  <c r="I211" i="5"/>
  <c r="I203" i="5"/>
  <c r="J203" i="5"/>
  <c r="L203" i="5"/>
  <c r="K132" i="1"/>
  <c r="M132" i="1"/>
  <c r="D210" i="5"/>
  <c r="E210" i="5"/>
  <c r="G210" i="5"/>
  <c r="N99" i="5"/>
  <c r="N167" i="5"/>
  <c r="N168" i="5"/>
  <c r="I179" i="5"/>
  <c r="I194" i="5"/>
  <c r="I195" i="5"/>
  <c r="I205" i="5"/>
  <c r="J205" i="5"/>
  <c r="L205" i="5"/>
  <c r="N188" i="5"/>
  <c r="D108" i="5"/>
  <c r="E99" i="5"/>
  <c r="D107" i="5"/>
  <c r="K68" i="1"/>
  <c r="M68" i="1"/>
  <c r="F168" i="7"/>
  <c r="F176" i="7"/>
  <c r="F198" i="7"/>
  <c r="F199" i="7"/>
  <c r="F208" i="7"/>
  <c r="F209" i="7"/>
  <c r="F210" i="7"/>
  <c r="K187" i="7"/>
  <c r="K188" i="7"/>
  <c r="D188" i="8"/>
  <c r="J165" i="1"/>
  <c r="J170" i="1"/>
  <c r="K170" i="1"/>
  <c r="N161" i="5"/>
  <c r="E110" i="7"/>
  <c r="L128" i="5"/>
  <c r="G208" i="7"/>
  <c r="N81" i="5"/>
  <c r="N91" i="5"/>
  <c r="N98" i="5"/>
  <c r="N111" i="5"/>
  <c r="N112" i="5"/>
  <c r="D195" i="8"/>
  <c r="I149" i="1"/>
  <c r="D131" i="5"/>
  <c r="D74" i="5"/>
  <c r="E74" i="5"/>
  <c r="J110" i="7"/>
  <c r="J197" i="7"/>
  <c r="J207" i="7"/>
  <c r="J212" i="7"/>
  <c r="E168" i="5"/>
  <c r="G168" i="5"/>
  <c r="F195" i="7"/>
  <c r="F213" i="7"/>
  <c r="F205" i="7"/>
  <c r="G159" i="7"/>
  <c r="N205" i="5"/>
  <c r="N210" i="5"/>
  <c r="I111" i="5"/>
  <c r="I112" i="5"/>
  <c r="J112" i="5"/>
  <c r="L112" i="5"/>
  <c r="F194" i="7"/>
  <c r="J128" i="5"/>
  <c r="G168" i="7"/>
  <c r="G176" i="7"/>
  <c r="G198" i="7"/>
  <c r="G199" i="7"/>
  <c r="H186" i="7"/>
  <c r="H189" i="7"/>
  <c r="E181" i="7"/>
  <c r="E196" i="7"/>
  <c r="J152" i="1"/>
  <c r="K152" i="1"/>
  <c r="M152" i="1"/>
  <c r="F171" i="7"/>
  <c r="F158" i="7"/>
  <c r="F172" i="7"/>
  <c r="F173" i="7"/>
  <c r="E167" i="5"/>
  <c r="D188" i="5"/>
  <c r="D179" i="8"/>
  <c r="D194" i="8"/>
  <c r="I187" i="7"/>
  <c r="N131" i="5"/>
  <c r="I169" i="5"/>
  <c r="I171" i="5"/>
  <c r="D169" i="5"/>
  <c r="I144" i="5"/>
  <c r="J144" i="5"/>
  <c r="F190" i="7"/>
  <c r="F184" i="7"/>
  <c r="J168" i="5"/>
  <c r="L168" i="5"/>
  <c r="I65" i="5"/>
  <c r="J65" i="5"/>
  <c r="H219" i="7"/>
  <c r="H217" i="7"/>
  <c r="H220" i="7"/>
  <c r="H207" i="7"/>
  <c r="H212" i="7"/>
  <c r="F160" i="7"/>
  <c r="F177" i="7"/>
  <c r="F179" i="7"/>
  <c r="F178" i="7"/>
  <c r="S171" i="1"/>
  <c r="D77" i="5"/>
  <c r="E77" i="5"/>
  <c r="G77" i="5"/>
  <c r="I166" i="1"/>
  <c r="I167" i="1"/>
  <c r="H197" i="7"/>
  <c r="H200" i="7"/>
  <c r="H202" i="7"/>
  <c r="N206" i="5"/>
  <c r="N207" i="5"/>
  <c r="N208" i="5"/>
  <c r="E192" i="5"/>
  <c r="D157" i="8"/>
  <c r="J109" i="1"/>
  <c r="J108" i="1"/>
  <c r="J147" i="1"/>
  <c r="J145" i="1"/>
  <c r="K145" i="1"/>
  <c r="J141" i="5"/>
  <c r="L141" i="5"/>
  <c r="J132" i="7"/>
  <c r="J221" i="7"/>
  <c r="J133" i="7"/>
  <c r="J77" i="7"/>
  <c r="D176" i="5"/>
  <c r="E177" i="5"/>
  <c r="H158" i="7"/>
  <c r="H172" i="7"/>
  <c r="I165" i="1"/>
  <c r="I170" i="1"/>
  <c r="K154" i="1"/>
  <c r="M154" i="1"/>
  <c r="M149" i="1"/>
  <c r="G187" i="7"/>
  <c r="G188" i="7"/>
  <c r="G181" i="7"/>
  <c r="G196" i="7"/>
  <c r="G197" i="7"/>
  <c r="G207" i="7"/>
  <c r="G212" i="7"/>
  <c r="E133" i="7"/>
  <c r="H144" i="7"/>
  <c r="H145" i="7"/>
  <c r="H148" i="7"/>
  <c r="H149" i="7"/>
  <c r="H160" i="7"/>
  <c r="H177" i="7"/>
  <c r="H179" i="7"/>
  <c r="H178" i="7"/>
  <c r="E198" i="5"/>
  <c r="G198" i="5"/>
  <c r="K146" i="1"/>
  <c r="E171" i="7"/>
  <c r="E158" i="7"/>
  <c r="E172" i="7"/>
  <c r="E173" i="7"/>
  <c r="D215" i="5"/>
  <c r="E215" i="5"/>
  <c r="E217" i="5"/>
  <c r="D171" i="7"/>
  <c r="D158" i="7"/>
  <c r="D172" i="7"/>
  <c r="D173" i="7"/>
  <c r="N155" i="5"/>
  <c r="N159" i="5"/>
  <c r="H102" i="7"/>
  <c r="H169" i="7"/>
  <c r="H170" i="7"/>
  <c r="H194" i="7"/>
  <c r="H195" i="7"/>
  <c r="H213" i="7"/>
  <c r="H205" i="7"/>
  <c r="G119" i="7"/>
  <c r="G114" i="7"/>
  <c r="G122" i="7"/>
  <c r="I119" i="7"/>
  <c r="I159" i="7"/>
  <c r="E187" i="7"/>
  <c r="E188" i="7"/>
  <c r="E190" i="7"/>
  <c r="E184" i="7"/>
  <c r="G195" i="5"/>
  <c r="E204" i="5"/>
  <c r="I110" i="7"/>
  <c r="J144" i="7"/>
  <c r="J145" i="7"/>
  <c r="J148" i="7"/>
  <c r="J149" i="7"/>
  <c r="J160" i="7"/>
  <c r="J177" i="7"/>
  <c r="J179" i="7"/>
  <c r="J178" i="7"/>
  <c r="E166" i="5"/>
  <c r="G166" i="5"/>
  <c r="J30" i="5"/>
  <c r="K121" i="1"/>
  <c r="M121" i="1"/>
  <c r="E220" i="7"/>
  <c r="E219" i="7"/>
  <c r="M148" i="1"/>
  <c r="L197" i="5"/>
  <c r="K120" i="1"/>
  <c r="M120" i="1"/>
  <c r="I188" i="5"/>
  <c r="I182" i="5"/>
  <c r="I175" i="5"/>
  <c r="I177" i="5"/>
  <c r="I176" i="5"/>
  <c r="J176" i="5"/>
  <c r="D211" i="5"/>
  <c r="D203" i="5"/>
  <c r="E203" i="5"/>
  <c r="J158" i="5"/>
  <c r="L158" i="5"/>
  <c r="E217" i="7"/>
  <c r="K160" i="7"/>
  <c r="K158" i="7"/>
  <c r="K172" i="7"/>
  <c r="D204" i="5"/>
  <c r="D198" i="5"/>
  <c r="E195" i="5"/>
  <c r="J153" i="5"/>
  <c r="L153" i="5"/>
  <c r="D174" i="8"/>
  <c r="D196" i="8"/>
  <c r="D185" i="8"/>
  <c r="D186" i="8"/>
  <c r="K143" i="1"/>
  <c r="M143" i="1"/>
  <c r="J143" i="5"/>
  <c r="L143" i="5"/>
  <c r="J102" i="7"/>
  <c r="J169" i="7"/>
  <c r="J170" i="7"/>
  <c r="I72" i="5"/>
  <c r="J72" i="5"/>
  <c r="I168" i="7"/>
  <c r="I176" i="7"/>
  <c r="I198" i="7"/>
  <c r="I199" i="7"/>
  <c r="D185" i="5"/>
  <c r="D186" i="5"/>
  <c r="D179" i="5"/>
  <c r="D194" i="5"/>
  <c r="D195" i="5"/>
  <c r="D205" i="5"/>
  <c r="E205" i="5"/>
  <c r="G205" i="5"/>
  <c r="E196" i="5"/>
  <c r="I167" i="5"/>
  <c r="I168" i="5"/>
  <c r="I192" i="5"/>
  <c r="I193" i="5"/>
  <c r="J193" i="5"/>
  <c r="L193" i="5"/>
  <c r="J146" i="5"/>
  <c r="L146" i="5"/>
  <c r="I184" i="5"/>
  <c r="I187" i="5"/>
  <c r="E168" i="7"/>
  <c r="E186" i="7"/>
  <c r="E189" i="7"/>
  <c r="D196" i="5"/>
  <c r="D197" i="5"/>
  <c r="D206" i="5"/>
  <c r="D207" i="5"/>
  <c r="D208" i="5"/>
  <c r="E208" i="5"/>
  <c r="K144" i="1"/>
  <c r="M144" i="1"/>
  <c r="J187" i="7"/>
  <c r="J188" i="7"/>
  <c r="J181" i="7"/>
  <c r="J196" i="7"/>
  <c r="J129" i="5"/>
  <c r="L129" i="5"/>
  <c r="J206" i="5"/>
  <c r="L206" i="5"/>
  <c r="I149" i="5"/>
  <c r="K149" i="5"/>
  <c r="J148" i="1"/>
  <c r="K148" i="1"/>
  <c r="I120" i="1"/>
  <c r="I123" i="1"/>
  <c r="I124" i="1"/>
  <c r="I133" i="1"/>
  <c r="I134" i="1"/>
  <c r="I143" i="1"/>
  <c r="I144" i="1"/>
  <c r="I154" i="1"/>
  <c r="I155" i="1"/>
  <c r="J149" i="1"/>
  <c r="K149" i="1"/>
  <c r="K119" i="1"/>
  <c r="K171" i="1"/>
  <c r="J171" i="1"/>
  <c r="J163" i="1"/>
  <c r="K209" i="7"/>
  <c r="K210" i="7"/>
  <c r="G144" i="7"/>
  <c r="G145" i="7"/>
  <c r="G148" i="7"/>
  <c r="G149" i="7"/>
  <c r="G160" i="7"/>
  <c r="G158" i="7"/>
  <c r="G172" i="7"/>
  <c r="F102" i="7"/>
  <c r="F169" i="7"/>
  <c r="F170" i="7"/>
  <c r="D144" i="7"/>
  <c r="D145" i="7"/>
  <c r="D148" i="7"/>
  <c r="D149" i="7"/>
  <c r="D160" i="7"/>
  <c r="D177" i="7"/>
  <c r="D179" i="7"/>
  <c r="I142" i="1"/>
  <c r="I156" i="1"/>
  <c r="I157" i="1"/>
  <c r="I207" i="5"/>
  <c r="I208" i="5"/>
  <c r="J208" i="5"/>
  <c r="K149" i="7"/>
  <c r="K186" i="7"/>
  <c r="K189" i="7"/>
  <c r="N197" i="5"/>
  <c r="D133" i="7"/>
  <c r="J146" i="1"/>
  <c r="J175" i="1"/>
  <c r="L175" i="1"/>
  <c r="L177" i="1"/>
  <c r="J156" i="5"/>
  <c r="L156" i="5"/>
  <c r="I114" i="7"/>
  <c r="I122" i="7"/>
  <c r="I127" i="7"/>
  <c r="I144" i="7"/>
  <c r="I145" i="7"/>
  <c r="I148" i="7"/>
  <c r="I149" i="7"/>
  <c r="I160" i="7"/>
  <c r="I177" i="7"/>
  <c r="I179" i="7"/>
  <c r="I178" i="7"/>
  <c r="J130" i="1"/>
  <c r="J140" i="1"/>
  <c r="K140" i="1"/>
  <c r="M140" i="1"/>
  <c r="D215" i="8"/>
  <c r="N160" i="5"/>
  <c r="J140" i="5"/>
  <c r="L140" i="5"/>
  <c r="I81" i="5"/>
  <c r="I91" i="5"/>
  <c r="I98" i="5"/>
  <c r="I99" i="5"/>
  <c r="J99" i="5"/>
  <c r="L99" i="5"/>
  <c r="J132" i="1"/>
  <c r="J141" i="1"/>
  <c r="J142" i="1"/>
  <c r="K142" i="1"/>
  <c r="M142" i="1"/>
  <c r="K168" i="7"/>
  <c r="K176" i="7"/>
  <c r="K198" i="7"/>
  <c r="K199" i="7"/>
  <c r="K208" i="7"/>
  <c r="D99" i="5"/>
  <c r="D167" i="5"/>
  <c r="D168" i="5"/>
  <c r="D192" i="5"/>
  <c r="D193" i="5"/>
  <c r="E193" i="5"/>
  <c r="G193" i="5"/>
  <c r="E129" i="5"/>
  <c r="G129" i="5"/>
  <c r="D100" i="8"/>
  <c r="D167" i="8"/>
  <c r="D168" i="8"/>
  <c r="D192" i="8"/>
  <c r="D193" i="8"/>
  <c r="D211" i="8"/>
  <c r="D203" i="8"/>
  <c r="I161" i="5"/>
  <c r="K161" i="5"/>
  <c r="J29" i="5"/>
  <c r="E156" i="5"/>
  <c r="G156" i="5"/>
  <c r="I206" i="5"/>
  <c r="I166" i="5"/>
  <c r="I174" i="5"/>
  <c r="I196" i="5"/>
  <c r="I197" i="5"/>
  <c r="J197" i="5"/>
  <c r="J163" i="7"/>
  <c r="J118" i="1"/>
  <c r="J121" i="1"/>
  <c r="J131" i="1"/>
  <c r="K131" i="1"/>
  <c r="M131" i="1"/>
  <c r="D177" i="5"/>
  <c r="K144" i="7"/>
  <c r="K145" i="7"/>
  <c r="K148" i="7"/>
  <c r="N166" i="5"/>
  <c r="N174" i="5"/>
  <c r="N196" i="5"/>
  <c r="D142" i="8"/>
  <c r="D143" i="8"/>
  <c r="D146" i="8"/>
  <c r="D147" i="8"/>
  <c r="D158" i="8"/>
  <c r="D175" i="8"/>
  <c r="D177" i="8"/>
  <c r="D176" i="8"/>
  <c r="F148" i="7"/>
  <c r="F149" i="7"/>
  <c r="J143" i="1"/>
  <c r="J144" i="1"/>
  <c r="J154" i="1"/>
  <c r="J155" i="1"/>
  <c r="J164" i="1"/>
  <c r="M164" i="1"/>
  <c r="F144" i="7"/>
  <c r="F145" i="7"/>
  <c r="I121" i="1"/>
  <c r="I131" i="1"/>
  <c r="I132" i="1"/>
  <c r="I141" i="1"/>
  <c r="J106" i="1"/>
  <c r="J107" i="1"/>
  <c r="J110" i="1"/>
  <c r="J119" i="1"/>
  <c r="J120" i="1"/>
  <c r="J123" i="1"/>
  <c r="J124" i="1"/>
  <c r="J133" i="1"/>
  <c r="J134" i="1"/>
  <c r="K134" i="1"/>
  <c r="M134" i="1"/>
  <c r="D161" i="8"/>
  <c r="I158" i="5"/>
  <c r="I156" i="5"/>
  <c r="I170" i="5"/>
  <c r="J170" i="5"/>
  <c r="L170" i="5"/>
  <c r="K195" i="7"/>
  <c r="D187" i="7"/>
  <c r="D188" i="7"/>
  <c r="E170" i="5"/>
  <c r="G170" i="5"/>
  <c r="I114" i="1"/>
  <c r="J64" i="1"/>
  <c r="J68" i="1"/>
  <c r="J72" i="1"/>
  <c r="K72" i="1"/>
  <c r="N179" i="5"/>
  <c r="N194" i="5"/>
  <c r="N195" i="5"/>
  <c r="N198" i="5"/>
  <c r="N200" i="5"/>
  <c r="D175" i="5"/>
  <c r="E175" i="5"/>
  <c r="G175" i="5"/>
  <c r="F181" i="7"/>
  <c r="F196" i="7"/>
  <c r="F197" i="7"/>
  <c r="N140" i="5"/>
  <c r="N141" i="5"/>
  <c r="N153" i="5"/>
  <c r="N154" i="5"/>
  <c r="N165" i="5"/>
  <c r="N185" i="5"/>
  <c r="N186" i="5"/>
  <c r="I142" i="5"/>
  <c r="I143" i="5"/>
  <c r="I146" i="5"/>
  <c r="I147" i="5"/>
  <c r="I157" i="5"/>
  <c r="J157" i="5"/>
  <c r="E102" i="7"/>
  <c r="E169" i="7"/>
  <c r="E170" i="7"/>
  <c r="E194" i="7"/>
  <c r="E195" i="7"/>
  <c r="E213" i="7"/>
  <c r="E205" i="7"/>
  <c r="H187" i="7"/>
  <c r="H188" i="7"/>
  <c r="H181" i="7"/>
  <c r="H196" i="7"/>
  <c r="I130" i="1"/>
  <c r="I140" i="1"/>
  <c r="I146" i="1"/>
  <c r="I171" i="1"/>
  <c r="I163" i="1"/>
  <c r="H167" i="7"/>
  <c r="H68" i="7"/>
  <c r="H76" i="7"/>
  <c r="H130" i="7"/>
  <c r="H131" i="7"/>
  <c r="H134" i="7"/>
  <c r="H142" i="7"/>
  <c r="H143" i="7"/>
  <c r="H155" i="7"/>
  <c r="H156" i="7"/>
  <c r="H168" i="7"/>
  <c r="H176" i="7"/>
  <c r="H198" i="7"/>
  <c r="H199" i="7"/>
  <c r="H208" i="7"/>
  <c r="H209" i="7"/>
  <c r="G130" i="7"/>
  <c r="G131" i="7"/>
  <c r="G134" i="7"/>
  <c r="G142" i="7"/>
  <c r="G143" i="7"/>
  <c r="G155" i="7"/>
  <c r="G156" i="7"/>
  <c r="G167" i="7"/>
  <c r="G68" i="7"/>
  <c r="G76" i="7"/>
  <c r="G102" i="7"/>
  <c r="G169" i="7"/>
  <c r="G170" i="7"/>
  <c r="G194" i="7"/>
  <c r="G195" i="7"/>
  <c r="G213" i="7"/>
  <c r="G205" i="7"/>
  <c r="E140" i="5"/>
  <c r="G140" i="5"/>
  <c r="D142" i="5"/>
  <c r="D143" i="5"/>
  <c r="D146" i="5"/>
  <c r="D147" i="5"/>
  <c r="D158" i="5"/>
  <c r="D156" i="5"/>
  <c r="D170" i="5"/>
  <c r="D171" i="5"/>
  <c r="E171" i="5"/>
  <c r="G171" i="5"/>
  <c r="I119" i="1"/>
  <c r="I64" i="1"/>
  <c r="I68" i="1"/>
  <c r="I106" i="1"/>
  <c r="I107" i="1"/>
  <c r="I110" i="1"/>
  <c r="I118" i="1"/>
  <c r="I126" i="1"/>
  <c r="I127" i="1"/>
  <c r="I165" i="5"/>
  <c r="I185" i="5"/>
  <c r="I186" i="5"/>
  <c r="I136" i="5"/>
  <c r="N71" i="5"/>
  <c r="N73" i="5"/>
  <c r="N128" i="5"/>
  <c r="N129" i="5"/>
  <c r="N132" i="5"/>
  <c r="N142" i="5"/>
  <c r="N143" i="5"/>
  <c r="N146" i="5"/>
  <c r="N147" i="5"/>
  <c r="N158" i="5"/>
  <c r="N156" i="5"/>
  <c r="N170" i="5"/>
  <c r="D165" i="8"/>
  <c r="D67" i="8"/>
  <c r="D75" i="8"/>
  <c r="D128" i="8"/>
  <c r="D129" i="8"/>
  <c r="D132" i="8"/>
  <c r="D140" i="8"/>
  <c r="D141" i="8"/>
  <c r="D153" i="8"/>
  <c r="D154" i="8"/>
  <c r="D166" i="8"/>
  <c r="D184" i="8"/>
  <c r="D187" i="8"/>
  <c r="D144" i="5"/>
  <c r="E144" i="5"/>
  <c r="G144" i="5"/>
  <c r="D166" i="5"/>
  <c r="D174" i="5"/>
  <c r="E174" i="5"/>
  <c r="G174" i="5"/>
  <c r="D140" i="5"/>
  <c r="D141" i="5"/>
  <c r="D153" i="5"/>
  <c r="D154" i="5"/>
  <c r="D165" i="5"/>
  <c r="D65" i="5"/>
  <c r="D73" i="5"/>
  <c r="D128" i="5"/>
  <c r="D129" i="5"/>
  <c r="D132" i="5"/>
  <c r="D136" i="5"/>
  <c r="I71" i="5"/>
  <c r="I73" i="5"/>
  <c r="I128" i="5"/>
  <c r="I129" i="5"/>
  <c r="I132" i="5"/>
  <c r="I140" i="5"/>
  <c r="I141" i="5"/>
  <c r="I153" i="5"/>
  <c r="I154" i="5"/>
  <c r="J154" i="5"/>
  <c r="L154" i="5"/>
  <c r="J186" i="7"/>
  <c r="J189" i="7"/>
  <c r="D168" i="7"/>
  <c r="D186" i="7"/>
  <c r="D189" i="7"/>
  <c r="I130" i="7"/>
  <c r="I131" i="7"/>
  <c r="I134" i="7"/>
  <c r="I142" i="7"/>
  <c r="I143" i="7"/>
  <c r="I155" i="7"/>
  <c r="I156" i="7"/>
  <c r="I167" i="7"/>
  <c r="I68" i="7"/>
  <c r="I76" i="7"/>
  <c r="I102" i="7"/>
  <c r="I169" i="7"/>
  <c r="I170" i="7"/>
  <c r="I194" i="7"/>
  <c r="I195" i="7"/>
  <c r="F68" i="7"/>
  <c r="F76" i="7"/>
  <c r="F130" i="7"/>
  <c r="F131" i="7"/>
  <c r="F134" i="7"/>
  <c r="F142" i="7"/>
  <c r="F143" i="7"/>
  <c r="F155" i="7"/>
  <c r="F156" i="7"/>
  <c r="F167" i="7"/>
  <c r="F187" i="7"/>
  <c r="F188" i="7"/>
  <c r="E142" i="7"/>
  <c r="E143" i="7"/>
  <c r="E155" i="7"/>
  <c r="E156" i="7"/>
  <c r="E167" i="7"/>
  <c r="E68" i="7"/>
  <c r="E76" i="7"/>
  <c r="E130" i="7"/>
  <c r="E131" i="7"/>
  <c r="E134" i="7"/>
  <c r="E144" i="7"/>
  <c r="E145" i="7"/>
  <c r="E148" i="7"/>
  <c r="E149" i="7"/>
  <c r="E160" i="7"/>
  <c r="E177" i="7"/>
  <c r="E179" i="7"/>
  <c r="D130" i="7"/>
  <c r="D131" i="7"/>
  <c r="D134" i="7"/>
  <c r="D142" i="7"/>
  <c r="D143" i="7"/>
  <c r="D155" i="7"/>
  <c r="D156" i="7"/>
  <c r="D167" i="7"/>
  <c r="D68" i="7"/>
  <c r="D76" i="7"/>
  <c r="D102" i="7"/>
  <c r="D169" i="7"/>
  <c r="D170" i="7"/>
  <c r="D194" i="7"/>
  <c r="K130" i="7"/>
  <c r="K131" i="7"/>
  <c r="K134" i="7"/>
  <c r="K142" i="7"/>
  <c r="K143" i="7"/>
  <c r="K155" i="7"/>
  <c r="K156" i="7"/>
  <c r="K167" i="7"/>
  <c r="K68" i="7"/>
  <c r="K76" i="7"/>
  <c r="K102" i="7"/>
  <c r="K169" i="7"/>
  <c r="K170" i="7"/>
  <c r="K194" i="7"/>
  <c r="J167" i="7"/>
  <c r="J68" i="7"/>
  <c r="J76" i="7"/>
  <c r="J130" i="7"/>
  <c r="J131" i="7"/>
  <c r="J134" i="7"/>
  <c r="J142" i="7"/>
  <c r="J143" i="7"/>
  <c r="J155" i="7"/>
  <c r="J156" i="7"/>
  <c r="J168" i="7"/>
  <c r="J176" i="7"/>
  <c r="J198" i="7"/>
  <c r="J199" i="7"/>
  <c r="J208" i="7"/>
  <c r="J209" i="7"/>
</calcChain>
</file>

<file path=xl/comments1.xml><?xml version="1.0" encoding="utf-8"?>
<comments xmlns="http://schemas.openxmlformats.org/spreadsheetml/2006/main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E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F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G8" authorId="3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H8" authorId="4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5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6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K8" authorId="7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2.xml><?xml version="1.0" encoding="utf-8"?>
<comments xmlns="http://schemas.openxmlformats.org/spreadsheetml/2006/main">
  <authors>
    <author>tc={FB6871B8-997B-45CD-A8A2-AC89D58771FD}</author>
    <author>tc={7A674FD6-57DE-4A8D-ABF0-006461971C46}</author>
    <author>tc={EA66D4C8-7F0E-464F-82D6-05383DD852CA}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N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3.xml><?xml version="1.0" encoding="utf-8"?>
<comments xmlns="http://schemas.openxmlformats.org/spreadsheetml/2006/main">
  <authors>
    <author>tc={9108078F-753B-40B9-B8E4-74413475BC49}</author>
    <author>tc={D93C357F-5EE5-4A63-A382-598686203E47}</author>
    <author>tc={90CAC85D-C872-4FF8-86FA-4AF8C4B1EA56}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4.xml><?xml version="1.0" encoding="utf-8"?>
<comments xmlns="http://schemas.openxmlformats.org/spreadsheetml/2006/main">
  <authors>
    <author>tc={CBCD0C09-5022-4CFA-80E8-B67A01C69D09}</author>
    <author>tc={1F5C75D3-B195-45BD-9365-E8BCA0F1EFE1}</author>
    <author>tc={D1663CBD-0D61-45BC-B5A6-B6C091A63E13}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5.xml><?xml version="1.0" encoding="utf-8"?>
<comments xmlns="http://schemas.openxmlformats.org/spreadsheetml/2006/main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  </r>
      </text>
    </comment>
    <comment ref="G73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????????</t>
        </r>
      </text>
    </comment>
    <comment ref="D78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  </r>
      </text>
    </comment>
    <comment ref="E96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  </r>
      </text>
    </comment>
  </commentList>
</comments>
</file>

<file path=xl/sharedStrings.xml><?xml version="1.0" encoding="utf-8"?>
<sst xmlns="http://schemas.openxmlformats.org/spreadsheetml/2006/main" count="1815" uniqueCount="285">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</sst>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  <numFmt numFmtId="174" formatCode="0.000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105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0" fillId="0" borderId="0" xfId="0" applyFont="1"/>
    <xf numFmtId="0" fontId="11" fillId="19" borderId="0" xfId="0" applyFont="1" applyFill="1" applyAlignment="1">
      <alignment wrapText="1"/>
    </xf>
    <xf numFmtId="0" fontId="11" fillId="20" borderId="0" xfId="0" applyFont="1" applyFill="1"/>
    <xf numFmtId="0" fontId="11" fillId="19" borderId="0" xfId="0" applyFont="1" applyFill="1"/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0" fillId="9" borderId="0" xfId="0" applyFont="1" applyFill="1"/>
    <xf numFmtId="2" fontId="11" fillId="0" borderId="0" xfId="0" applyNumberFormat="1" applyFont="1"/>
    <xf numFmtId="165" fontId="10" fillId="0" borderId="0" xfId="0" applyNumberFormat="1" applyFont="1"/>
    <xf numFmtId="2" fontId="10" fillId="0" borderId="0" xfId="0" applyNumberFormat="1" applyFont="1"/>
    <xf numFmtId="0" fontId="11" fillId="0" borderId="0" xfId="0" applyFont="1"/>
    <xf numFmtId="0" fontId="11" fillId="9" borderId="0" xfId="0" applyFont="1" applyFill="1"/>
    <xf numFmtId="0" fontId="11" fillId="9" borderId="0" xfId="0" applyFont="1" applyFill="1" applyAlignment="1">
      <alignment horizontal="center" vertical="center"/>
    </xf>
    <xf numFmtId="0" fontId="10" fillId="10" borderId="0" xfId="0" applyFont="1" applyFill="1"/>
    <xf numFmtId="167" fontId="10" fillId="0" borderId="0" xfId="0" applyNumberFormat="1" applyFont="1"/>
    <xf numFmtId="167" fontId="10" fillId="0" borderId="0" xfId="2" applyNumberFormat="1" applyFont="1"/>
    <xf numFmtId="0" fontId="10" fillId="17" borderId="0" xfId="0" applyFont="1" applyFill="1"/>
    <xf numFmtId="169" fontId="10" fillId="0" borderId="0" xfId="2" applyNumberFormat="1" applyFont="1"/>
    <xf numFmtId="174" fontId="10" fillId="0" borderId="0" xfId="2" applyNumberFormat="1" applyFont="1"/>
    <xf numFmtId="0" fontId="10" fillId="11" borderId="0" xfId="0" applyFont="1" applyFill="1"/>
    <xf numFmtId="0" fontId="11" fillId="21" borderId="0" xfId="0" applyFont="1" applyFill="1"/>
    <xf numFmtId="0" fontId="10" fillId="6" borderId="0" xfId="0" applyFont="1" applyFill="1"/>
    <xf numFmtId="170" fontId="10" fillId="0" borderId="0" xfId="0" applyNumberFormat="1" applyFont="1"/>
    <xf numFmtId="165" fontId="12" fillId="0" borderId="0" xfId="0" applyNumberFormat="1" applyFont="1"/>
    <xf numFmtId="0" fontId="13" fillId="5" borderId="0" xfId="5" applyFont="1" applyFill="1"/>
    <xf numFmtId="167" fontId="13" fillId="5" borderId="0" xfId="5" applyNumberFormat="1" applyFont="1" applyFill="1"/>
    <xf numFmtId="165" fontId="13" fillId="5" borderId="0" xfId="5" applyNumberFormat="1" applyFont="1" applyFill="1"/>
    <xf numFmtId="165" fontId="10" fillId="11" borderId="0" xfId="0" applyNumberFormat="1" applyFont="1" applyFill="1"/>
    <xf numFmtId="1" fontId="10" fillId="0" borderId="0" xfId="0" applyNumberFormat="1" applyFont="1"/>
    <xf numFmtId="168" fontId="10" fillId="0" borderId="0" xfId="0" applyNumberFormat="1" applyFont="1"/>
    <xf numFmtId="167" fontId="14" fillId="16" borderId="2" xfId="4" applyNumberFormat="1" applyFont="1"/>
    <xf numFmtId="165" fontId="10" fillId="12" borderId="0" xfId="0" applyNumberFormat="1" applyFont="1" applyFill="1"/>
    <xf numFmtId="165" fontId="11" fillId="12" borderId="0" xfId="0" applyNumberFormat="1" applyFont="1" applyFill="1"/>
    <xf numFmtId="1" fontId="10" fillId="7" borderId="0" xfId="0" applyNumberFormat="1" applyFont="1" applyFill="1"/>
    <xf numFmtId="11" fontId="10" fillId="0" borderId="0" xfId="0" applyNumberFormat="1" applyFont="1"/>
    <xf numFmtId="0" fontId="11" fillId="10" borderId="0" xfId="0" applyFont="1" applyFill="1"/>
    <xf numFmtId="0" fontId="11" fillId="10" borderId="0" xfId="0" applyFont="1" applyFill="1" applyAlignment="1">
      <alignment horizontal="center" vertical="center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emf"/><Relationship Id="rId7" Type="http://schemas.openxmlformats.org/officeDocument/2006/relationships/image" Target="../media/image1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emf"/><Relationship Id="rId7" Type="http://schemas.openxmlformats.org/officeDocument/2006/relationships/image" Target="../media/image1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89354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520566</xdr:colOff>
      <xdr:row>47</xdr:row>
      <xdr:rowOff>14734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xmlns="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272031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xmlns="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392518</xdr:colOff>
      <xdr:row>23</xdr:row>
      <xdr:rowOff>8331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628896" y="197643"/>
          <a:ext cx="4181085" cy="4154088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220"/>
  <sheetViews>
    <sheetView tabSelected="1" topLeftCell="A85" workbookViewId="0">
      <selection activeCell="D88" sqref="D88"/>
    </sheetView>
  </sheetViews>
  <sheetFormatPr defaultRowHeight="12.75" x14ac:dyDescent="0.2"/>
  <cols>
    <col min="1" max="1" width="4.28515625" style="61" customWidth="1"/>
    <col min="2" max="2" width="23" style="61" bestFit="1" customWidth="1"/>
    <col min="3" max="3" width="7.5703125" style="70" customWidth="1"/>
    <col min="4" max="6" width="12.5703125" style="70" customWidth="1"/>
    <col min="7" max="16384" width="9.140625" style="70"/>
  </cols>
  <sheetData>
    <row r="2" spans="1:5" s="69" customFormat="1" ht="25.5" x14ac:dyDescent="0.2">
      <c r="A2" s="64"/>
      <c r="B2" s="62" t="s">
        <v>272</v>
      </c>
      <c r="C2" s="68" t="s">
        <v>278</v>
      </c>
      <c r="D2" s="69" t="s">
        <v>211</v>
      </c>
    </row>
    <row r="3" spans="1:5" x14ac:dyDescent="0.2">
      <c r="B3" s="61" t="s">
        <v>273</v>
      </c>
      <c r="C3" s="70" t="s">
        <v>279</v>
      </c>
    </row>
    <row r="4" spans="1:5" x14ac:dyDescent="0.2">
      <c r="B4" s="61" t="s">
        <v>274</v>
      </c>
      <c r="C4" s="70" t="s">
        <v>7</v>
      </c>
    </row>
    <row r="5" spans="1:5" x14ac:dyDescent="0.2">
      <c r="B5" s="61" t="s">
        <v>275</v>
      </c>
      <c r="C5" s="70" t="s">
        <v>204</v>
      </c>
    </row>
    <row r="6" spans="1:5" x14ac:dyDescent="0.2">
      <c r="B6" s="61" t="s">
        <v>276</v>
      </c>
      <c r="C6" s="70" t="s">
        <v>10</v>
      </c>
    </row>
    <row r="7" spans="1:5" x14ac:dyDescent="0.2">
      <c r="B7" s="61" t="s">
        <v>9</v>
      </c>
      <c r="C7" s="70" t="s">
        <v>280</v>
      </c>
    </row>
    <row r="8" spans="1:5" x14ac:dyDescent="0.2">
      <c r="B8" s="70" t="s">
        <v>282</v>
      </c>
      <c r="C8" s="70" t="s">
        <v>84</v>
      </c>
    </row>
    <row r="9" spans="1:5" x14ac:dyDescent="0.2">
      <c r="B9" s="61" t="s">
        <v>281</v>
      </c>
      <c r="C9" s="70" t="s">
        <v>11</v>
      </c>
    </row>
    <row r="12" spans="1:5" s="71" customFormat="1" x14ac:dyDescent="0.2">
      <c r="A12" s="63"/>
      <c r="B12" s="63" t="s">
        <v>277</v>
      </c>
    </row>
    <row r="13" spans="1:5" x14ac:dyDescent="0.2">
      <c r="B13" s="61" t="s">
        <v>13</v>
      </c>
      <c r="C13" s="70" t="s">
        <v>283</v>
      </c>
      <c r="D13" s="72">
        <v>1.0055000000000001</v>
      </c>
    </row>
    <row r="14" spans="1:5" x14ac:dyDescent="0.2">
      <c r="B14" s="61" t="s">
        <v>15</v>
      </c>
      <c r="C14" s="70" t="s">
        <v>30</v>
      </c>
      <c r="D14" s="72">
        <v>1.4</v>
      </c>
    </row>
    <row r="15" spans="1:5" x14ac:dyDescent="0.2">
      <c r="B15" s="61" t="s">
        <v>16</v>
      </c>
      <c r="C15" s="70" t="s">
        <v>283</v>
      </c>
      <c r="D15" s="72">
        <v>1.1695404045015168</v>
      </c>
      <c r="E15" s="73"/>
    </row>
    <row r="16" spans="1:5" x14ac:dyDescent="0.2">
      <c r="B16" s="61" t="s">
        <v>18</v>
      </c>
      <c r="C16" s="70" t="s">
        <v>30</v>
      </c>
      <c r="D16" s="72">
        <v>1.33</v>
      </c>
    </row>
    <row r="17" spans="1:5" x14ac:dyDescent="0.2">
      <c r="B17" s="61" t="s">
        <v>19</v>
      </c>
      <c r="C17" s="70" t="s">
        <v>283</v>
      </c>
      <c r="D17" s="72">
        <v>1.2351000000000001</v>
      </c>
      <c r="E17" s="72"/>
    </row>
    <row r="18" spans="1:5" x14ac:dyDescent="0.2">
      <c r="B18" s="61" t="s">
        <v>20</v>
      </c>
      <c r="C18" s="70" t="s">
        <v>30</v>
      </c>
      <c r="D18" s="72">
        <v>1.3</v>
      </c>
    </row>
    <row r="19" spans="1:5" x14ac:dyDescent="0.2">
      <c r="B19" s="61" t="s">
        <v>21</v>
      </c>
      <c r="C19" s="70" t="s">
        <v>22</v>
      </c>
      <c r="D19" s="72">
        <v>43152.88</v>
      </c>
    </row>
    <row r="21" spans="1:5" s="80" customFormat="1" x14ac:dyDescent="0.2">
      <c r="A21" s="79"/>
      <c r="B21" s="79" t="s">
        <v>284</v>
      </c>
    </row>
    <row r="22" spans="1:5" x14ac:dyDescent="0.2">
      <c r="B22" s="70"/>
    </row>
    <row r="23" spans="1:5" x14ac:dyDescent="0.2">
      <c r="B23" s="74" t="s">
        <v>24</v>
      </c>
      <c r="C23" s="61"/>
      <c r="D23" s="61"/>
    </row>
    <row r="24" spans="1:5" x14ac:dyDescent="0.2">
      <c r="B24" s="61" t="s">
        <v>25</v>
      </c>
      <c r="C24" s="61" t="s">
        <v>26</v>
      </c>
      <c r="D24" s="61">
        <v>8382</v>
      </c>
    </row>
    <row r="25" spans="1:5" x14ac:dyDescent="0.2">
      <c r="B25" s="61" t="s">
        <v>27</v>
      </c>
      <c r="C25" s="61" t="s">
        <v>26</v>
      </c>
      <c r="D25" s="61">
        <v>5819</v>
      </c>
    </row>
    <row r="26" spans="1:5" x14ac:dyDescent="0.2">
      <c r="C26" s="61"/>
      <c r="D26" s="61"/>
    </row>
    <row r="27" spans="1:5" x14ac:dyDescent="0.2">
      <c r="B27" s="74" t="s">
        <v>28</v>
      </c>
      <c r="C27" s="61"/>
      <c r="D27" s="75">
        <f>D28*D29</f>
        <v>16.226028937708243</v>
      </c>
    </row>
    <row r="28" spans="1:5" x14ac:dyDescent="0.2">
      <c r="B28" s="61" t="s">
        <v>29</v>
      </c>
      <c r="C28" s="61" t="s">
        <v>30</v>
      </c>
      <c r="D28" s="76">
        <v>0.93700000000000006</v>
      </c>
    </row>
    <row r="29" spans="1:5" x14ac:dyDescent="0.2">
      <c r="B29" s="61" t="s">
        <v>31</v>
      </c>
      <c r="C29" s="61" t="s">
        <v>30</v>
      </c>
      <c r="D29" s="77">
        <v>17.316999933520002</v>
      </c>
    </row>
    <row r="30" spans="1:5" x14ac:dyDescent="0.2">
      <c r="B30" s="61" t="s">
        <v>32</v>
      </c>
      <c r="C30" s="61"/>
      <c r="D30" s="76">
        <v>1.2</v>
      </c>
    </row>
    <row r="31" spans="1:5" x14ac:dyDescent="0.2">
      <c r="B31" s="74" t="s">
        <v>33</v>
      </c>
      <c r="C31" s="61" t="s">
        <v>30</v>
      </c>
      <c r="D31" s="76">
        <f>D30/1.1035343035343</f>
        <v>1.0874152223059568</v>
      </c>
    </row>
    <row r="32" spans="1:5" x14ac:dyDescent="0.2">
      <c r="B32" s="74" t="s">
        <v>34</v>
      </c>
      <c r="C32" s="61" t="s">
        <v>30</v>
      </c>
      <c r="D32" s="76">
        <f>D29/D30</f>
        <v>14.430833277933335</v>
      </c>
    </row>
    <row r="33" spans="2:4" x14ac:dyDescent="0.2">
      <c r="B33" s="61" t="s">
        <v>35</v>
      </c>
      <c r="C33" s="61" t="s">
        <v>30</v>
      </c>
      <c r="D33" s="77">
        <v>0.96</v>
      </c>
    </row>
    <row r="34" spans="2:4" x14ac:dyDescent="0.2">
      <c r="B34" s="61" t="s">
        <v>36</v>
      </c>
      <c r="C34" s="61" t="s">
        <v>30</v>
      </c>
      <c r="D34" s="77">
        <v>0.99</v>
      </c>
    </row>
    <row r="35" spans="2:4" x14ac:dyDescent="0.2">
      <c r="B35" s="61" t="s">
        <v>37</v>
      </c>
      <c r="C35" s="61" t="s">
        <v>30</v>
      </c>
      <c r="D35" s="77">
        <f>18.392/18.578</f>
        <v>0.98998815803638718</v>
      </c>
    </row>
    <row r="36" spans="2:4" x14ac:dyDescent="0.2">
      <c r="B36" s="61" t="s">
        <v>38</v>
      </c>
      <c r="C36" s="61" t="s">
        <v>30</v>
      </c>
      <c r="D36" s="77">
        <f>16.824/16.994</f>
        <v>0.98999646934212082</v>
      </c>
    </row>
    <row r="37" spans="2:4" x14ac:dyDescent="0.2">
      <c r="B37" s="61" t="s">
        <v>39</v>
      </c>
      <c r="C37" s="61" t="s">
        <v>30</v>
      </c>
      <c r="D37" s="77">
        <v>0.99</v>
      </c>
    </row>
    <row r="38" spans="2:4" x14ac:dyDescent="0.2">
      <c r="B38" s="61" t="s">
        <v>40</v>
      </c>
      <c r="C38" s="61" t="s">
        <v>30</v>
      </c>
      <c r="D38" s="77">
        <v>0.99</v>
      </c>
    </row>
    <row r="39" spans="2:4" x14ac:dyDescent="0.2">
      <c r="B39" s="61" t="s">
        <v>41</v>
      </c>
      <c r="C39" s="61" t="s">
        <v>30</v>
      </c>
      <c r="D39" s="77">
        <f>38.362/38.75</f>
        <v>0.98998709677419361</v>
      </c>
    </row>
    <row r="41" spans="2:4" x14ac:dyDescent="0.2">
      <c r="B41" s="81" t="s">
        <v>42</v>
      </c>
      <c r="C41" s="61"/>
      <c r="D41" s="61"/>
    </row>
    <row r="42" spans="2:4" x14ac:dyDescent="0.2">
      <c r="B42" s="61" t="s">
        <v>43</v>
      </c>
      <c r="C42" s="61"/>
      <c r="D42" s="82">
        <v>0.91785332807875319</v>
      </c>
    </row>
    <row r="43" spans="2:4" x14ac:dyDescent="0.2">
      <c r="B43" s="61" t="s">
        <v>44</v>
      </c>
      <c r="C43" s="61" t="s">
        <v>30</v>
      </c>
      <c r="D43" s="83">
        <v>0.91095454640180418</v>
      </c>
    </row>
    <row r="44" spans="2:4" x14ac:dyDescent="0.2">
      <c r="B44" s="61" t="s">
        <v>45</v>
      </c>
      <c r="C44" s="61" t="s">
        <v>30</v>
      </c>
      <c r="D44" s="83">
        <v>0.91</v>
      </c>
    </row>
    <row r="45" spans="2:4" x14ac:dyDescent="0.2">
      <c r="B45" s="61" t="s">
        <v>35</v>
      </c>
      <c r="C45" s="61" t="s">
        <v>30</v>
      </c>
      <c r="D45" s="83">
        <v>0.99950000000000006</v>
      </c>
    </row>
    <row r="46" spans="2:4" x14ac:dyDescent="0.2">
      <c r="B46" s="61" t="s">
        <v>36</v>
      </c>
      <c r="C46" s="61" t="s">
        <v>30</v>
      </c>
      <c r="D46" s="83">
        <v>0.99</v>
      </c>
    </row>
    <row r="47" spans="2:4" x14ac:dyDescent="0.2">
      <c r="B47" s="61" t="s">
        <v>46</v>
      </c>
      <c r="C47" s="61" t="s">
        <v>30</v>
      </c>
      <c r="D47" s="83">
        <v>0.84889995776661953</v>
      </c>
    </row>
    <row r="48" spans="2:4" x14ac:dyDescent="0.2">
      <c r="B48" s="61" t="s">
        <v>47</v>
      </c>
      <c r="C48" s="61" t="s">
        <v>30</v>
      </c>
      <c r="D48" s="83">
        <v>0.9479859899773776</v>
      </c>
    </row>
    <row r="49" spans="2:4" x14ac:dyDescent="0.2">
      <c r="B49" s="61" t="s">
        <v>48</v>
      </c>
      <c r="C49" s="61" t="s">
        <v>30</v>
      </c>
      <c r="D49" s="83">
        <v>0.99</v>
      </c>
    </row>
    <row r="50" spans="2:4" x14ac:dyDescent="0.2">
      <c r="B50" s="61" t="s">
        <v>49</v>
      </c>
      <c r="C50" s="61" t="s">
        <v>30</v>
      </c>
      <c r="D50" s="83">
        <v>0.99</v>
      </c>
    </row>
    <row r="51" spans="2:4" x14ac:dyDescent="0.2">
      <c r="C51" s="61"/>
      <c r="D51" s="83"/>
    </row>
    <row r="52" spans="2:4" x14ac:dyDescent="0.2">
      <c r="B52" s="61" t="s">
        <v>50</v>
      </c>
      <c r="C52" s="61" t="s">
        <v>30</v>
      </c>
      <c r="D52" s="76" t="e">
        <f>(D28^((D12-1)/D12)-1)/(D28^((D12-1)/(D12*D43))-1)</f>
        <v>#DIV/0!</v>
      </c>
    </row>
    <row r="53" spans="2:4" x14ac:dyDescent="0.2">
      <c r="B53" s="61" t="s">
        <v>51</v>
      </c>
      <c r="C53" s="61" t="s">
        <v>30</v>
      </c>
      <c r="D53" s="76" t="e">
        <f>(D29^((D12-1)/D12)-1)/(D29^((D12-1)/(D12*D43))-1)</f>
        <v>#DIV/0!</v>
      </c>
    </row>
    <row r="55" spans="2:4" x14ac:dyDescent="0.2">
      <c r="B55" s="84" t="s">
        <v>52</v>
      </c>
      <c r="C55" s="61"/>
      <c r="D55" s="76"/>
    </row>
    <row r="56" spans="2:4" x14ac:dyDescent="0.2">
      <c r="B56" s="61" t="s">
        <v>53</v>
      </c>
      <c r="C56" s="61" t="s">
        <v>54</v>
      </c>
      <c r="D56" s="86">
        <f>(165.211-164.291)/165.211</f>
        <v>5.5686364709372615E-3</v>
      </c>
    </row>
    <row r="57" spans="2:4" x14ac:dyDescent="0.2">
      <c r="B57" s="61" t="s">
        <v>55</v>
      </c>
      <c r="C57" s="61" t="s">
        <v>54</v>
      </c>
      <c r="D57" s="86">
        <f>(164.29-153.9)/164.29</f>
        <v>6.3241828474039724E-2</v>
      </c>
    </row>
    <row r="58" spans="2:4" x14ac:dyDescent="0.2">
      <c r="B58" s="61" t="s">
        <v>56</v>
      </c>
      <c r="C58" s="61" t="s">
        <v>54</v>
      </c>
      <c r="D58" s="86">
        <f>(163.638-156.758)/164.291</f>
        <v>4.1876913525390892E-2</v>
      </c>
    </row>
    <row r="59" spans="2:4" x14ac:dyDescent="0.2">
      <c r="B59" s="61" t="s">
        <v>57</v>
      </c>
      <c r="C59" s="61" t="s">
        <v>54</v>
      </c>
      <c r="D59" s="86">
        <f>(165.667-163.638)/164.291</f>
        <v>1.2350037433578202E-2</v>
      </c>
    </row>
    <row r="60" spans="2:4" x14ac:dyDescent="0.2">
      <c r="B60" s="61" t="s">
        <v>58</v>
      </c>
      <c r="C60" s="61" t="s">
        <v>54</v>
      </c>
      <c r="D60" s="86">
        <f>D57-D58-D59</f>
        <v>9.0148775150706295E-3</v>
      </c>
    </row>
    <row r="61" spans="2:4" x14ac:dyDescent="0.2">
      <c r="B61" s="61" t="s">
        <v>59</v>
      </c>
      <c r="C61" s="61" t="s">
        <v>54</v>
      </c>
      <c r="D61" s="86">
        <v>0</v>
      </c>
    </row>
    <row r="62" spans="2:4" x14ac:dyDescent="0.2">
      <c r="C62" s="61"/>
      <c r="D62" s="61"/>
    </row>
    <row r="63" spans="2:4" x14ac:dyDescent="0.2">
      <c r="C63" s="61"/>
      <c r="D63" s="76" t="e">
        <f>(D65*D13)/(D6*D11)</f>
        <v>#DIV/0!</v>
      </c>
    </row>
    <row r="64" spans="2:4" x14ac:dyDescent="0.2">
      <c r="B64" s="88" t="s">
        <v>60</v>
      </c>
      <c r="C64" s="61"/>
      <c r="D64" s="61"/>
    </row>
    <row r="65" spans="2:4" x14ac:dyDescent="0.2">
      <c r="B65" s="61" t="s">
        <v>61</v>
      </c>
      <c r="C65" s="61" t="s">
        <v>8</v>
      </c>
      <c r="D65" s="70">
        <v>1524.8555555555554</v>
      </c>
    </row>
    <row r="66" spans="2:4" x14ac:dyDescent="0.2">
      <c r="B66" s="61" t="s">
        <v>62</v>
      </c>
      <c r="C66" s="61"/>
    </row>
    <row r="67" spans="2:4" x14ac:dyDescent="0.2">
      <c r="B67" s="61" t="s">
        <v>63</v>
      </c>
      <c r="C67" s="61"/>
      <c r="D67" s="70">
        <f ca="1">D165</f>
        <v>0</v>
      </c>
    </row>
    <row r="68" spans="2:4" x14ac:dyDescent="0.2">
      <c r="B68" s="61" t="s">
        <v>64</v>
      </c>
      <c r="C68" s="61" t="s">
        <v>65</v>
      </c>
      <c r="D68" s="76">
        <f t="shared" ref="D68" ca="1" si="0">D75</f>
        <v>192</v>
      </c>
    </row>
    <row r="69" spans="2:4" x14ac:dyDescent="0.2">
      <c r="B69" s="61" t="s">
        <v>66</v>
      </c>
      <c r="C69" s="61"/>
      <c r="D69" s="76">
        <v>0.439</v>
      </c>
    </row>
    <row r="70" spans="2:4" x14ac:dyDescent="0.2">
      <c r="B70" s="61" t="s">
        <v>67</v>
      </c>
      <c r="C70" s="61"/>
      <c r="D70" s="61">
        <v>1.8</v>
      </c>
    </row>
    <row r="71" spans="2:4" x14ac:dyDescent="0.2">
      <c r="C71" s="61"/>
      <c r="D71" s="61"/>
    </row>
    <row r="72" spans="2:4" x14ac:dyDescent="0.2">
      <c r="B72" s="61" t="s">
        <v>68</v>
      </c>
      <c r="C72" s="61"/>
      <c r="D72" s="61"/>
    </row>
    <row r="73" spans="2:4" x14ac:dyDescent="0.2">
      <c r="B73" s="61" t="s">
        <v>69</v>
      </c>
      <c r="C73" s="61"/>
      <c r="D73" s="77">
        <v>192</v>
      </c>
    </row>
    <row r="74" spans="2:4" x14ac:dyDescent="0.2">
      <c r="B74" s="61" t="s">
        <v>70</v>
      </c>
      <c r="C74" s="61"/>
      <c r="D74" s="77">
        <f ca="1">D75*D67</f>
        <v>0</v>
      </c>
    </row>
    <row r="75" spans="2:4" x14ac:dyDescent="0.2">
      <c r="B75" s="61" t="s">
        <v>71</v>
      </c>
      <c r="C75" s="61" t="s">
        <v>65</v>
      </c>
      <c r="D75" s="77">
        <f ca="1">D73/(1+D67)</f>
        <v>192</v>
      </c>
    </row>
    <row r="76" spans="2:4" x14ac:dyDescent="0.2">
      <c r="B76" s="61" t="s">
        <v>72</v>
      </c>
      <c r="C76" s="61" t="s">
        <v>65</v>
      </c>
      <c r="D76" s="77">
        <f ca="1">D131</f>
        <v>0</v>
      </c>
    </row>
    <row r="77" spans="2:4" x14ac:dyDescent="0.2">
      <c r="B77" s="61" t="s">
        <v>73</v>
      </c>
      <c r="C77" s="61" t="s">
        <v>65</v>
      </c>
      <c r="D77" s="76"/>
    </row>
    <row r="78" spans="2:4" x14ac:dyDescent="0.2">
      <c r="B78" s="61" t="s">
        <v>74</v>
      </c>
      <c r="C78" s="61" t="s">
        <v>65</v>
      </c>
      <c r="D78" s="61"/>
    </row>
    <row r="79" spans="2:4" x14ac:dyDescent="0.2">
      <c r="B79" s="61" t="s">
        <v>75</v>
      </c>
      <c r="C79" s="61" t="s">
        <v>65</v>
      </c>
      <c r="D79" s="76">
        <f ca="1">D75+D76-D153</f>
        <v>192</v>
      </c>
    </row>
    <row r="81" spans="1:4" s="104" customFormat="1" x14ac:dyDescent="0.2">
      <c r="A81" s="103"/>
      <c r="B81" s="103" t="s">
        <v>76</v>
      </c>
      <c r="C81" s="103"/>
      <c r="D81" s="103"/>
    </row>
    <row r="82" spans="1:4" x14ac:dyDescent="0.2">
      <c r="B82" s="61" t="s">
        <v>78</v>
      </c>
      <c r="C82" s="61"/>
      <c r="D82" s="77">
        <f>D73</f>
        <v>192</v>
      </c>
    </row>
    <row r="83" spans="1:4" x14ac:dyDescent="0.2">
      <c r="B83" s="61" t="s">
        <v>79</v>
      </c>
      <c r="C83" s="61" t="s">
        <v>10</v>
      </c>
      <c r="D83" s="82">
        <f>D7</f>
        <v>0</v>
      </c>
    </row>
    <row r="84" spans="1:4" x14ac:dyDescent="0.2">
      <c r="B84" s="61" t="s">
        <v>80</v>
      </c>
      <c r="C84" s="61" t="s">
        <v>10</v>
      </c>
      <c r="D84" s="82">
        <f>((((D8^2)*((D12-1)/2))+1)^(D12/(D12-1)))*D83</f>
        <v>0</v>
      </c>
    </row>
    <row r="85" spans="1:4" x14ac:dyDescent="0.2">
      <c r="B85" s="61" t="s">
        <v>81</v>
      </c>
      <c r="C85" s="61" t="s">
        <v>8</v>
      </c>
      <c r="D85" s="76">
        <f>D6</f>
        <v>0</v>
      </c>
    </row>
    <row r="86" spans="1:4" x14ac:dyDescent="0.2">
      <c r="B86" s="61" t="s">
        <v>82</v>
      </c>
      <c r="C86" s="61" t="s">
        <v>8</v>
      </c>
      <c r="D86" s="76">
        <f>((((D8^2)*((D12-1)/2))+1))*D85</f>
        <v>0</v>
      </c>
    </row>
    <row r="87" spans="1:4" x14ac:dyDescent="0.2">
      <c r="B87" s="61" t="s">
        <v>83</v>
      </c>
      <c r="C87" s="61" t="s">
        <v>84</v>
      </c>
      <c r="D87" s="76">
        <f>SQRT((D12-1)*D11*D85)</f>
        <v>0</v>
      </c>
    </row>
    <row r="88" spans="1:4" x14ac:dyDescent="0.2">
      <c r="B88" s="61" t="s">
        <v>85</v>
      </c>
      <c r="C88" s="61" t="s">
        <v>84</v>
      </c>
      <c r="D88" s="76">
        <f>D8*D87</f>
        <v>0</v>
      </c>
    </row>
    <row r="89" spans="1:4" x14ac:dyDescent="0.2">
      <c r="B89" s="61" t="s">
        <v>86</v>
      </c>
      <c r="C89" s="61" t="s">
        <v>87</v>
      </c>
      <c r="D89" s="76" t="e">
        <f>((D12-1)/D12)*D11/1000</f>
        <v>#DIV/0!</v>
      </c>
    </row>
    <row r="90" spans="1:4" x14ac:dyDescent="0.2">
      <c r="C90" s="61"/>
      <c r="D90" s="76"/>
    </row>
    <row r="91" spans="1:4" x14ac:dyDescent="0.2">
      <c r="B91" s="61" t="s">
        <v>88</v>
      </c>
      <c r="C91" s="61"/>
      <c r="D91" s="76"/>
    </row>
    <row r="92" spans="1:4" x14ac:dyDescent="0.2">
      <c r="B92" s="61" t="s">
        <v>89</v>
      </c>
      <c r="C92" s="61"/>
      <c r="D92" s="76">
        <f>D82</f>
        <v>192</v>
      </c>
    </row>
    <row r="93" spans="1:4" x14ac:dyDescent="0.2">
      <c r="B93" s="61" t="s">
        <v>90</v>
      </c>
      <c r="C93" s="61" t="s">
        <v>10</v>
      </c>
      <c r="D93" s="76">
        <f>D84</f>
        <v>0</v>
      </c>
    </row>
    <row r="94" spans="1:4" x14ac:dyDescent="0.2">
      <c r="B94" s="61" t="s">
        <v>91</v>
      </c>
      <c r="C94" s="61" t="s">
        <v>10</v>
      </c>
      <c r="D94" s="76">
        <f>D93*D25</f>
        <v>0</v>
      </c>
    </row>
    <row r="95" spans="1:4" x14ac:dyDescent="0.2">
      <c r="B95" s="61" t="s">
        <v>92</v>
      </c>
      <c r="C95" s="61" t="s">
        <v>8</v>
      </c>
      <c r="D95" s="76">
        <f>D86</f>
        <v>0</v>
      </c>
    </row>
    <row r="96" spans="1:4" x14ac:dyDescent="0.2">
      <c r="B96" s="61" t="s">
        <v>93</v>
      </c>
      <c r="C96" s="61" t="s">
        <v>8</v>
      </c>
      <c r="D96" s="76">
        <f>D95</f>
        <v>0</v>
      </c>
    </row>
    <row r="97" spans="2:4" x14ac:dyDescent="0.2">
      <c r="C97" s="61"/>
      <c r="D97" s="76"/>
    </row>
    <row r="98" spans="2:4" x14ac:dyDescent="0.2">
      <c r="B98" s="61" t="s">
        <v>94</v>
      </c>
      <c r="C98" s="61"/>
      <c r="D98" s="61"/>
    </row>
    <row r="99" spans="2:4" x14ac:dyDescent="0.2">
      <c r="B99" s="61" t="s">
        <v>95</v>
      </c>
      <c r="C99" s="61" t="s">
        <v>65</v>
      </c>
      <c r="D99" s="77">
        <f>D92</f>
        <v>192</v>
      </c>
    </row>
    <row r="100" spans="2:4" x14ac:dyDescent="0.2">
      <c r="B100" s="61" t="s">
        <v>96</v>
      </c>
      <c r="C100" s="61" t="s">
        <v>65</v>
      </c>
      <c r="D100" s="77">
        <f ca="1">D99-D75</f>
        <v>170.73557371291906</v>
      </c>
    </row>
    <row r="101" spans="2:4" x14ac:dyDescent="0.2">
      <c r="B101" s="61" t="s">
        <v>91</v>
      </c>
      <c r="C101" s="61" t="s">
        <v>10</v>
      </c>
      <c r="D101" s="76">
        <f>D94</f>
        <v>0</v>
      </c>
    </row>
    <row r="102" spans="2:4" x14ac:dyDescent="0.2">
      <c r="B102" s="61" t="s">
        <v>97</v>
      </c>
      <c r="C102" s="61" t="s">
        <v>10</v>
      </c>
      <c r="D102" s="76">
        <f>D101*D27</f>
        <v>0</v>
      </c>
    </row>
    <row r="103" spans="2:4" x14ac:dyDescent="0.2">
      <c r="B103" s="61" t="s">
        <v>98</v>
      </c>
      <c r="C103" s="61" t="s">
        <v>10</v>
      </c>
      <c r="D103" s="76">
        <f>D102*D32</f>
        <v>0</v>
      </c>
    </row>
    <row r="104" spans="2:4" x14ac:dyDescent="0.2">
      <c r="B104" s="61" t="s">
        <v>99</v>
      </c>
      <c r="C104" s="61" t="s">
        <v>8</v>
      </c>
      <c r="D104" s="76">
        <f>D96</f>
        <v>0</v>
      </c>
    </row>
    <row r="105" spans="2:4" x14ac:dyDescent="0.2">
      <c r="B105" s="61" t="s">
        <v>100</v>
      </c>
      <c r="C105" s="61" t="s">
        <v>8</v>
      </c>
      <c r="D105" s="76" t="e">
        <f>D104*(D102/D101)^((D12-1)/(D12*D42))</f>
        <v>#DIV/0!</v>
      </c>
    </row>
    <row r="106" spans="2:4" x14ac:dyDescent="0.2">
      <c r="B106" s="61" t="s">
        <v>101</v>
      </c>
      <c r="C106" s="61" t="s">
        <v>8</v>
      </c>
      <c r="D106" s="76" t="e">
        <f>D105</f>
        <v>#DIV/0!</v>
      </c>
    </row>
    <row r="107" spans="2:4" x14ac:dyDescent="0.2">
      <c r="B107" s="61" t="s">
        <v>102</v>
      </c>
      <c r="C107" s="61"/>
      <c r="D107" s="76" t="e">
        <f>SQRT((2/(D12-1))*(((1+((D14-1)/2)*(D69^2))^(D14/(D14-1))^((D12-1)/D12))-1))</f>
        <v>#DIV/0!</v>
      </c>
    </row>
    <row r="108" spans="2:4" x14ac:dyDescent="0.2">
      <c r="B108" s="61" t="s">
        <v>103</v>
      </c>
      <c r="C108" s="61"/>
      <c r="D108" s="76">
        <f ca="1">(D100*D11*(D105-D104))/1000000</f>
        <v>3.9984951873091283</v>
      </c>
    </row>
    <row r="109" spans="2:4" x14ac:dyDescent="0.2">
      <c r="C109" s="61"/>
      <c r="D109" s="61"/>
    </row>
    <row r="110" spans="2:4" x14ac:dyDescent="0.2">
      <c r="B110" s="61" t="s">
        <v>53</v>
      </c>
      <c r="C110" s="61"/>
      <c r="D110" s="76"/>
    </row>
    <row r="111" spans="2:4" x14ac:dyDescent="0.2">
      <c r="B111" s="61" t="s">
        <v>95</v>
      </c>
      <c r="C111" s="61" t="s">
        <v>65</v>
      </c>
      <c r="D111" s="76">
        <f>D99</f>
        <v>192</v>
      </c>
    </row>
    <row r="112" spans="2:4" x14ac:dyDescent="0.2">
      <c r="B112" s="61" t="s">
        <v>104</v>
      </c>
      <c r="C112" s="61" t="s">
        <v>65</v>
      </c>
      <c r="D112" s="76">
        <f ca="1">D111/(1+D67)</f>
        <v>21.26442628708093</v>
      </c>
    </row>
    <row r="113" spans="2:4" x14ac:dyDescent="0.2">
      <c r="B113" s="61" t="s">
        <v>91</v>
      </c>
      <c r="C113" s="61" t="s">
        <v>10</v>
      </c>
      <c r="D113" s="76">
        <f>D94</f>
        <v>0</v>
      </c>
    </row>
    <row r="114" spans="2:4" x14ac:dyDescent="0.2">
      <c r="B114" s="61" t="s">
        <v>105</v>
      </c>
      <c r="C114" s="61" t="s">
        <v>10</v>
      </c>
      <c r="D114" s="76">
        <f>D113*D28</f>
        <v>0</v>
      </c>
    </row>
    <row r="115" spans="2:4" x14ac:dyDescent="0.2">
      <c r="B115" s="61" t="s">
        <v>93</v>
      </c>
      <c r="C115" s="61" t="s">
        <v>8</v>
      </c>
      <c r="D115" s="76">
        <f>D96</f>
        <v>0</v>
      </c>
    </row>
    <row r="116" spans="2:4" x14ac:dyDescent="0.2">
      <c r="B116" s="61" t="s">
        <v>106</v>
      </c>
      <c r="C116" s="61" t="s">
        <v>8</v>
      </c>
      <c r="D116" s="76" t="e">
        <f>D115*(D114/D113)^((D12-1)/(D12*D43))</f>
        <v>#DIV/0!</v>
      </c>
    </row>
    <row r="117" spans="2:4" x14ac:dyDescent="0.2">
      <c r="B117" s="61" t="s">
        <v>103</v>
      </c>
      <c r="C117" s="89" t="s">
        <v>107</v>
      </c>
      <c r="D117" s="76">
        <f ca="1">(D112*D11*(D116-D115))/1000000</f>
        <v>0.22712497163347239</v>
      </c>
    </row>
    <row r="118" spans="2:4" x14ac:dyDescent="0.2">
      <c r="C118" s="61"/>
      <c r="D118" s="76"/>
    </row>
    <row r="119" spans="2:4" x14ac:dyDescent="0.2">
      <c r="B119" s="61" t="s">
        <v>108</v>
      </c>
      <c r="C119" s="61"/>
      <c r="D119" s="76"/>
    </row>
    <row r="120" spans="2:4" x14ac:dyDescent="0.2">
      <c r="B120" s="61" t="s">
        <v>109</v>
      </c>
      <c r="C120" s="61" t="s">
        <v>65</v>
      </c>
      <c r="D120" s="76">
        <f ca="1">D112</f>
        <v>21.26442628708093</v>
      </c>
    </row>
    <row r="121" spans="2:4" x14ac:dyDescent="0.2">
      <c r="B121" s="61" t="s">
        <v>110</v>
      </c>
      <c r="C121" s="61" t="s">
        <v>10</v>
      </c>
      <c r="D121" s="76">
        <f>D114*D35</f>
        <v>0</v>
      </c>
    </row>
    <row r="122" spans="2:4" x14ac:dyDescent="0.2">
      <c r="B122" s="61" t="s">
        <v>111</v>
      </c>
      <c r="C122" s="61" t="s">
        <v>10</v>
      </c>
      <c r="D122" s="76">
        <f>D121*D29</f>
        <v>0</v>
      </c>
    </row>
    <row r="123" spans="2:4" x14ac:dyDescent="0.2">
      <c r="B123" s="61" t="s">
        <v>112</v>
      </c>
      <c r="C123" s="61" t="s">
        <v>8</v>
      </c>
      <c r="D123" s="76" t="e">
        <f>D116</f>
        <v>#DIV/0!</v>
      </c>
    </row>
    <row r="124" spans="2:4" x14ac:dyDescent="0.2">
      <c r="B124" s="61" t="s">
        <v>113</v>
      </c>
      <c r="C124" s="61" t="s">
        <v>8</v>
      </c>
      <c r="D124" s="76" t="e">
        <f>D123*(D122/D121)^((D12-1)/(D12*D44))</f>
        <v>#DIV/0!</v>
      </c>
    </row>
    <row r="125" spans="2:4" x14ac:dyDescent="0.2">
      <c r="B125" s="61" t="s">
        <v>114</v>
      </c>
      <c r="C125" s="89" t="s">
        <v>107</v>
      </c>
      <c r="D125" s="76">
        <f ca="1">(D120*D11*(D124-D123))/1000000</f>
        <v>11.486582278592484</v>
      </c>
    </row>
    <row r="126" spans="2:4" x14ac:dyDescent="0.2">
      <c r="C126" s="61"/>
      <c r="D126" s="76"/>
    </row>
    <row r="127" spans="2:4" x14ac:dyDescent="0.2">
      <c r="B127" s="61" t="s">
        <v>35</v>
      </c>
      <c r="C127" s="61"/>
      <c r="D127" s="76"/>
    </row>
    <row r="128" spans="2:4" x14ac:dyDescent="0.2">
      <c r="B128" s="61" t="s">
        <v>115</v>
      </c>
      <c r="C128" s="61" t="s">
        <v>65</v>
      </c>
      <c r="D128" s="76">
        <f ca="1">D75*(1-D56)</f>
        <v>21.146012427325132</v>
      </c>
    </row>
    <row r="129" spans="2:4" x14ac:dyDescent="0.2">
      <c r="B129" s="61" t="s">
        <v>116</v>
      </c>
      <c r="C129" s="61" t="s">
        <v>65</v>
      </c>
      <c r="D129" s="76">
        <f ca="1">D128*(1-D57)</f>
        <v>19.808699936486324</v>
      </c>
    </row>
    <row r="130" spans="2:4" x14ac:dyDescent="0.2">
      <c r="B130" s="61" t="s">
        <v>117</v>
      </c>
      <c r="C130" s="61" t="s">
        <v>30</v>
      </c>
      <c r="D130" s="90">
        <f ca="1">D131/D129</f>
        <v>2.0109242304092129E-2</v>
      </c>
    </row>
    <row r="131" spans="2:4" x14ac:dyDescent="0.2">
      <c r="B131" s="61" t="s">
        <v>118</v>
      </c>
      <c r="C131" s="61" t="s">
        <v>65</v>
      </c>
      <c r="D131" s="91">
        <f ca="1">((D129*(D13*D134-D11*D124))/((D45*D17*1000)-(D13*D134)))</f>
        <v>0.39833794675185807</v>
      </c>
    </row>
    <row r="132" spans="2:4" x14ac:dyDescent="0.2">
      <c r="B132" s="61" t="s">
        <v>119</v>
      </c>
      <c r="C132" s="61" t="s">
        <v>65</v>
      </c>
      <c r="D132" s="76">
        <f ca="1">D129+D131</f>
        <v>20.207037883238183</v>
      </c>
    </row>
    <row r="133" spans="2:4" x14ac:dyDescent="0.2">
      <c r="B133" s="61" t="s">
        <v>120</v>
      </c>
      <c r="C133" s="61" t="s">
        <v>10</v>
      </c>
      <c r="D133" s="76">
        <f>D122*D30</f>
        <v>0</v>
      </c>
    </row>
    <row r="134" spans="2:4" x14ac:dyDescent="0.2">
      <c r="B134" s="61" t="s">
        <v>121</v>
      </c>
      <c r="C134" s="61"/>
      <c r="D134" s="76">
        <f>D65</f>
        <v>1524.8555555555554</v>
      </c>
    </row>
    <row r="135" spans="2:4" x14ac:dyDescent="0.2">
      <c r="B135" s="61" t="s">
        <v>122</v>
      </c>
      <c r="C135" s="61" t="s">
        <v>107</v>
      </c>
      <c r="D135" s="76">
        <f ca="1">(D132*D142*D13-D128*D124*D11)/1000000</f>
        <v>15.272975975232523</v>
      </c>
    </row>
    <row r="136" spans="2:4" x14ac:dyDescent="0.2">
      <c r="B136" s="92" t="s">
        <v>123</v>
      </c>
      <c r="C136" s="92"/>
      <c r="D136" s="93">
        <f ca="1">D132*(SQRT(D134)/D133)</f>
        <v>0.71973198188626497</v>
      </c>
    </row>
    <row r="137" spans="2:4" x14ac:dyDescent="0.2">
      <c r="B137" s="78" t="s">
        <v>124</v>
      </c>
      <c r="C137" s="61" t="s">
        <v>54</v>
      </c>
      <c r="D137" s="76"/>
    </row>
    <row r="138" spans="2:4" x14ac:dyDescent="0.2">
      <c r="B138" s="78"/>
      <c r="C138" s="61"/>
      <c r="D138" s="76"/>
    </row>
    <row r="139" spans="2:4" x14ac:dyDescent="0.2">
      <c r="B139" s="61" t="s">
        <v>125</v>
      </c>
      <c r="C139" s="61"/>
      <c r="D139" s="76"/>
    </row>
    <row r="140" spans="2:4" x14ac:dyDescent="0.2">
      <c r="B140" s="78" t="s">
        <v>126</v>
      </c>
      <c r="C140" s="61" t="s">
        <v>65</v>
      </c>
      <c r="D140" s="76">
        <f ca="1">D132*(1+D58)</f>
        <v>21.053246261278847</v>
      </c>
    </row>
    <row r="141" spans="2:4" x14ac:dyDescent="0.2">
      <c r="B141" s="78" t="s">
        <v>127</v>
      </c>
      <c r="C141" s="61" t="s">
        <v>65</v>
      </c>
      <c r="D141" s="76">
        <f ca="1">D140*(1+D59)</f>
        <v>21.313254640703978</v>
      </c>
    </row>
    <row r="142" spans="2:4" x14ac:dyDescent="0.2">
      <c r="B142" s="61" t="s">
        <v>128</v>
      </c>
      <c r="C142" s="61" t="s">
        <v>8</v>
      </c>
      <c r="D142" s="76">
        <f ca="1">((D132*D13*D134)+((D68*D58)*D11*D124))/(D140*D13)</f>
        <v>1497.9920088640392</v>
      </c>
    </row>
    <row r="143" spans="2:4" x14ac:dyDescent="0.2">
      <c r="B143" s="61" t="s">
        <v>129</v>
      </c>
      <c r="C143" s="61" t="s">
        <v>8</v>
      </c>
      <c r="D143" s="76">
        <f ca="1">D142-((D125*1000000)/(D49*D140*D13))</f>
        <v>1026.7745937469413</v>
      </c>
    </row>
    <row r="144" spans="2:4" x14ac:dyDescent="0.2">
      <c r="B144" s="61" t="s">
        <v>130</v>
      </c>
      <c r="C144" s="61" t="s">
        <v>8</v>
      </c>
      <c r="D144" s="76">
        <f ca="1">((D140*D13*D143)+((D68*D59)*D11*D124))/(D141*D13)</f>
        <v>1024.2774197891054</v>
      </c>
    </row>
    <row r="145" spans="2:4" x14ac:dyDescent="0.2">
      <c r="B145" s="61" t="s">
        <v>131</v>
      </c>
      <c r="C145" s="61" t="s">
        <v>10</v>
      </c>
      <c r="D145" s="76">
        <f>D133</f>
        <v>0</v>
      </c>
    </row>
    <row r="146" spans="2:4" x14ac:dyDescent="0.2">
      <c r="B146" s="61" t="s">
        <v>132</v>
      </c>
      <c r="C146" s="61" t="s">
        <v>10</v>
      </c>
      <c r="D146" s="76">
        <f ca="1">D145*((D143/D142)^(D14/((D14-1)*D47)))</f>
        <v>182.45841536320506</v>
      </c>
    </row>
    <row r="147" spans="2:4" x14ac:dyDescent="0.2">
      <c r="B147" s="61" t="s">
        <v>133</v>
      </c>
      <c r="C147" s="61" t="s">
        <v>10</v>
      </c>
      <c r="D147" s="76">
        <f ca="1">D146</f>
        <v>182.45841536320506</v>
      </c>
    </row>
    <row r="148" spans="2:4" x14ac:dyDescent="0.2">
      <c r="B148" s="61" t="s">
        <v>134</v>
      </c>
      <c r="C148" s="89" t="s">
        <v>107</v>
      </c>
      <c r="D148" s="76">
        <f ca="1">(D140*D13*(D142-D143))/1000000</f>
        <v>11.602608362214628</v>
      </c>
    </row>
    <row r="149" spans="2:4" x14ac:dyDescent="0.2">
      <c r="B149" s="92" t="s">
        <v>135</v>
      </c>
      <c r="C149" s="92"/>
      <c r="D149" s="94">
        <f ca="1">D141*(SQRT(D143)/D147)</f>
        <v>3.7430310692682154</v>
      </c>
    </row>
    <row r="150" spans="2:4" x14ac:dyDescent="0.2">
      <c r="B150" s="78" t="s">
        <v>124</v>
      </c>
      <c r="C150" s="61" t="s">
        <v>54</v>
      </c>
      <c r="D150" s="76"/>
    </row>
    <row r="151" spans="2:4" x14ac:dyDescent="0.2">
      <c r="B151" s="78"/>
      <c r="C151" s="61"/>
      <c r="D151" s="76"/>
    </row>
    <row r="152" spans="2:4" x14ac:dyDescent="0.2">
      <c r="B152" s="61" t="s">
        <v>58</v>
      </c>
      <c r="C152" s="61"/>
      <c r="D152" s="76"/>
    </row>
    <row r="153" spans="2:4" x14ac:dyDescent="0.2">
      <c r="B153" s="78" t="s">
        <v>136</v>
      </c>
      <c r="C153" s="61" t="s">
        <v>65</v>
      </c>
      <c r="D153" s="76">
        <f ca="1">D141*(1+D60)</f>
        <v>21.505391020737434</v>
      </c>
    </row>
    <row r="154" spans="2:4" x14ac:dyDescent="0.2">
      <c r="B154" s="78" t="s">
        <v>137</v>
      </c>
      <c r="C154" s="61" t="s">
        <v>65</v>
      </c>
      <c r="D154" s="76">
        <f ca="1">D153*(1+D56)</f>
        <v>21.625146725497281</v>
      </c>
    </row>
    <row r="155" spans="2:4" x14ac:dyDescent="0.2">
      <c r="B155" s="61" t="s">
        <v>138</v>
      </c>
      <c r="C155" s="61" t="s">
        <v>8</v>
      </c>
      <c r="D155" s="76">
        <f ca="1">((D141*D13*D144)+((D68*D60)*D11*D124))/(D153*D13)</f>
        <v>1022.3812987797047</v>
      </c>
    </row>
    <row r="156" spans="2:4" x14ac:dyDescent="0.2">
      <c r="B156" s="61" t="s">
        <v>139</v>
      </c>
      <c r="C156" s="61" t="s">
        <v>8</v>
      </c>
      <c r="D156" s="76">
        <f ca="1">((D158/D157)^(((D14-1)*D48)/D14)*D155)</f>
        <v>853.61684885092984</v>
      </c>
    </row>
    <row r="157" spans="2:4" x14ac:dyDescent="0.2">
      <c r="B157" s="61" t="s">
        <v>140</v>
      </c>
      <c r="C157" s="61" t="s">
        <v>10</v>
      </c>
      <c r="D157" s="76">
        <f ca="1">D147*D36</f>
        <v>180.63147690743929</v>
      </c>
    </row>
    <row r="158" spans="2:4" x14ac:dyDescent="0.2">
      <c r="B158" s="87" t="s">
        <v>141</v>
      </c>
      <c r="C158" s="87" t="s">
        <v>10</v>
      </c>
      <c r="D158" s="95">
        <f ca="1">((D35*D36*D32*D27)/(D30*D28*D29*(D147/D145)))*D157</f>
        <v>83.886807308389706</v>
      </c>
    </row>
    <row r="159" spans="2:4" x14ac:dyDescent="0.2">
      <c r="C159" s="61"/>
      <c r="D159" s="76"/>
    </row>
    <row r="160" spans="2:4" x14ac:dyDescent="0.2">
      <c r="B160" s="61" t="s">
        <v>134</v>
      </c>
      <c r="C160" s="89" t="s">
        <v>107</v>
      </c>
      <c r="D160" s="76">
        <f ca="1">(D153*D13*(D155-D156))/1000000</f>
        <v>4.2446661879101617</v>
      </c>
    </row>
    <row r="161" spans="2:4" x14ac:dyDescent="0.2">
      <c r="B161" s="92" t="s">
        <v>142</v>
      </c>
      <c r="C161" s="92"/>
      <c r="D161" s="94">
        <f ca="1">D154*SQRT(D156)/D158</f>
        <v>7.5317671752984383</v>
      </c>
    </row>
    <row r="162" spans="2:4" x14ac:dyDescent="0.2">
      <c r="B162" s="78" t="s">
        <v>124</v>
      </c>
      <c r="C162" s="61"/>
      <c r="D162" s="76"/>
    </row>
    <row r="163" spans="2:4" x14ac:dyDescent="0.2">
      <c r="B163" s="78"/>
      <c r="C163" s="61"/>
      <c r="D163" s="76"/>
    </row>
    <row r="164" spans="2:4" x14ac:dyDescent="0.2">
      <c r="B164" s="61" t="s">
        <v>38</v>
      </c>
      <c r="C164" s="61"/>
      <c r="D164" s="76"/>
    </row>
    <row r="165" spans="2:4" x14ac:dyDescent="0.2">
      <c r="B165" s="61" t="s">
        <v>143</v>
      </c>
      <c r="C165" s="61"/>
      <c r="D165" s="76">
        <f ca="1">((D154*D50*D13*(D155-D156))-(D112*D11*(D116-D115)))/(D112*D11*(D105-D104))</f>
        <v>8.0291643615444457</v>
      </c>
    </row>
    <row r="166" spans="2:4" x14ac:dyDescent="0.2">
      <c r="B166" s="61" t="s">
        <v>137</v>
      </c>
      <c r="C166" s="61" t="s">
        <v>65</v>
      </c>
      <c r="D166" s="76">
        <f ca="1">D154</f>
        <v>21.625146725497281</v>
      </c>
    </row>
    <row r="167" spans="2:4" x14ac:dyDescent="0.2">
      <c r="B167" s="61" t="s">
        <v>144</v>
      </c>
      <c r="C167" s="61" t="s">
        <v>65</v>
      </c>
      <c r="D167" s="76">
        <f ca="1">D100</f>
        <v>170.73557371291906</v>
      </c>
    </row>
    <row r="168" spans="2:4" x14ac:dyDescent="0.2">
      <c r="B168" s="61" t="s">
        <v>145</v>
      </c>
      <c r="C168" s="61" t="s">
        <v>65</v>
      </c>
      <c r="D168" s="76">
        <f ca="1">D167+D166</f>
        <v>192.36072043841634</v>
      </c>
    </row>
    <row r="169" spans="2:4" x14ac:dyDescent="0.2">
      <c r="B169" s="61" t="s">
        <v>146</v>
      </c>
      <c r="C169" s="61" t="s">
        <v>8</v>
      </c>
      <c r="D169" s="76">
        <f ca="1">D170/(1+(D14-1)/2*(D180^2))</f>
        <v>827.30927031985357</v>
      </c>
    </row>
    <row r="170" spans="2:4" x14ac:dyDescent="0.2">
      <c r="B170" s="61" t="s">
        <v>139</v>
      </c>
      <c r="C170" s="61" t="s">
        <v>8</v>
      </c>
      <c r="D170" s="76">
        <f ca="1">D156</f>
        <v>853.61684885092984</v>
      </c>
    </row>
    <row r="171" spans="2:4" x14ac:dyDescent="0.2">
      <c r="B171" s="61" t="s">
        <v>147</v>
      </c>
      <c r="C171" s="61" t="s">
        <v>8</v>
      </c>
      <c r="D171" s="76">
        <f ca="1">D170</f>
        <v>853.61684885092984</v>
      </c>
    </row>
    <row r="172" spans="2:4" x14ac:dyDescent="0.2">
      <c r="B172" s="61" t="s">
        <v>148</v>
      </c>
      <c r="C172" s="61" t="s">
        <v>8</v>
      </c>
      <c r="D172" s="76" t="e">
        <f>D173/(1+(D12-1)/2*(D181^2))</f>
        <v>#DIV/0!</v>
      </c>
    </row>
    <row r="173" spans="2:4" x14ac:dyDescent="0.2">
      <c r="B173" s="61" t="s">
        <v>101</v>
      </c>
      <c r="C173" s="61" t="s">
        <v>8</v>
      </c>
      <c r="D173" s="76" t="e">
        <f>D106</f>
        <v>#DIV/0!</v>
      </c>
    </row>
    <row r="174" spans="2:4" x14ac:dyDescent="0.2">
      <c r="B174" s="61" t="s">
        <v>149</v>
      </c>
      <c r="C174" s="61" t="s">
        <v>8</v>
      </c>
      <c r="D174" s="76">
        <f ca="1">((D166*D13*D171)+(D167*D11*D173))/(D168*D183)</f>
        <v>477.52718392990602</v>
      </c>
    </row>
    <row r="175" spans="2:4" x14ac:dyDescent="0.2">
      <c r="B175" s="61" t="s">
        <v>141</v>
      </c>
      <c r="C175" s="61" t="s">
        <v>10</v>
      </c>
      <c r="D175" s="76">
        <f ca="1">D158</f>
        <v>83.886807308389706</v>
      </c>
    </row>
    <row r="176" spans="2:4" x14ac:dyDescent="0.2">
      <c r="B176" s="61" t="s">
        <v>150</v>
      </c>
      <c r="C176" s="61" t="s">
        <v>10</v>
      </c>
      <c r="D176" s="76">
        <f ca="1">D177/(1+(D14-1)/2*(D180^2))^(D14/(D14-1))</f>
        <v>73.204029521458537</v>
      </c>
    </row>
    <row r="177" spans="2:4" x14ac:dyDescent="0.2">
      <c r="B177" s="61" t="s">
        <v>151</v>
      </c>
      <c r="C177" s="61" t="s">
        <v>10</v>
      </c>
      <c r="D177" s="76">
        <f ca="1">D33*D175</f>
        <v>83.047643059688625</v>
      </c>
    </row>
    <row r="178" spans="2:4" x14ac:dyDescent="0.2">
      <c r="B178" s="61" t="s">
        <v>98</v>
      </c>
      <c r="C178" s="61" t="s">
        <v>10</v>
      </c>
      <c r="D178" s="76">
        <f>D103</f>
        <v>0</v>
      </c>
    </row>
    <row r="179" spans="2:4" x14ac:dyDescent="0.2">
      <c r="B179" s="61" t="s">
        <v>152</v>
      </c>
      <c r="C179" s="61" t="s">
        <v>10</v>
      </c>
      <c r="D179" s="76">
        <f ca="1">(D186/(1+D184*D182^2))*D177</f>
        <v>82.217811299674452</v>
      </c>
    </row>
    <row r="180" spans="2:4" x14ac:dyDescent="0.2">
      <c r="B180" s="61" t="s">
        <v>153</v>
      </c>
      <c r="C180" s="61"/>
      <c r="D180" s="76">
        <f>D69</f>
        <v>0.439</v>
      </c>
    </row>
    <row r="181" spans="2:4" x14ac:dyDescent="0.2">
      <c r="B181" s="61" t="s">
        <v>102</v>
      </c>
      <c r="C181" s="61"/>
      <c r="D181" s="76" t="e">
        <f>D107</f>
        <v>#DIV/0!</v>
      </c>
    </row>
    <row r="182" spans="2:4" x14ac:dyDescent="0.2">
      <c r="B182" s="61" t="s">
        <v>154</v>
      </c>
      <c r="C182" s="61"/>
      <c r="D182" s="76">
        <f ca="1">SQRT((D188-2*D184-SQRT(((D188-2*D184)^2)-4*((D184^2)-D188*(D184-1)/2)))/(2*D184^2-D188*(D184-1)))</f>
        <v>0.44024617058002846</v>
      </c>
    </row>
    <row r="183" spans="2:4" x14ac:dyDescent="0.2">
      <c r="B183" s="61" t="s">
        <v>155</v>
      </c>
      <c r="C183" s="61" t="s">
        <v>14</v>
      </c>
      <c r="D183" s="96">
        <f ca="1">(D166*D13+D11*D167)/D168</f>
        <v>1023.9826403719163</v>
      </c>
    </row>
    <row r="184" spans="2:4" x14ac:dyDescent="0.2">
      <c r="B184" s="61" t="s">
        <v>156</v>
      </c>
      <c r="C184" s="61"/>
      <c r="D184" s="77">
        <f ca="1">(D166*D13+D11*D167)/((D166*(D13/D14))+(D167*(D11/D12)))</f>
        <v>1.3906024489666216</v>
      </c>
    </row>
    <row r="185" spans="2:4" x14ac:dyDescent="0.2">
      <c r="B185" s="61" t="s">
        <v>157</v>
      </c>
      <c r="C185" s="61"/>
      <c r="D185" s="76">
        <f ca="1">(D165/(1+D130))*(D14/D12)*(SQRT((D12-1)*D11*D172)/SQRT((D14-1)*D13*D169))*(D180/D181)</f>
        <v>5.487725586226138</v>
      </c>
    </row>
    <row r="186" spans="2:4" x14ac:dyDescent="0.2">
      <c r="B186" s="61" t="s">
        <v>158</v>
      </c>
      <c r="C186" s="61"/>
      <c r="D186" s="82">
        <f ca="1">((1+D14*D180^2)+(D185*(1+D12*D181^2)))/(1+D185)</f>
        <v>1.256836599971789</v>
      </c>
    </row>
    <row r="187" spans="2:4" x14ac:dyDescent="0.2">
      <c r="B187" s="61" t="s">
        <v>159</v>
      </c>
      <c r="C187" s="61"/>
      <c r="D187" s="82">
        <f ca="1">(((D14/D184)*(D180/SQRT((D14-1)*D13*D169)))+((D12/D184)*((D181*D185)/SQRT((D12-1)*D11*D172))))*(SQRT((D184-1)*D183*D174)/(1+D185))</f>
        <v>0.44401948982818756</v>
      </c>
    </row>
    <row r="188" spans="2:4" x14ac:dyDescent="0.2">
      <c r="B188" s="61" t="s">
        <v>160</v>
      </c>
      <c r="C188" s="61"/>
      <c r="D188" s="82">
        <f ca="1">(D186/D187)^2</f>
        <v>8.012233019485322</v>
      </c>
    </row>
    <row r="189" spans="2:4" x14ac:dyDescent="0.2">
      <c r="C189" s="61"/>
      <c r="D189" s="82"/>
    </row>
    <row r="190" spans="2:4" x14ac:dyDescent="0.2">
      <c r="B190" s="61" t="s">
        <v>39</v>
      </c>
      <c r="C190" s="61"/>
      <c r="D190" s="76"/>
    </row>
    <row r="191" spans="2:4" x14ac:dyDescent="0.2">
      <c r="B191" s="61" t="s">
        <v>161</v>
      </c>
      <c r="C191" s="61"/>
      <c r="D191" s="97"/>
    </row>
    <row r="192" spans="2:4" x14ac:dyDescent="0.2">
      <c r="B192" s="61" t="s">
        <v>162</v>
      </c>
      <c r="C192" s="61" t="s">
        <v>65</v>
      </c>
      <c r="D192" s="97">
        <f ca="1">D168</f>
        <v>192.36072043841634</v>
      </c>
    </row>
    <row r="193" spans="2:4" x14ac:dyDescent="0.2">
      <c r="B193" s="61" t="s">
        <v>163</v>
      </c>
      <c r="C193" s="61" t="s">
        <v>65</v>
      </c>
      <c r="D193" s="97">
        <f ca="1">D192</f>
        <v>192.36072043841634</v>
      </c>
    </row>
    <row r="194" spans="2:4" x14ac:dyDescent="0.2">
      <c r="B194" s="61" t="s">
        <v>164</v>
      </c>
      <c r="C194" s="61" t="s">
        <v>10</v>
      </c>
      <c r="D194" s="76">
        <f ca="1">D179</f>
        <v>82.217811299674452</v>
      </c>
    </row>
    <row r="195" spans="2:4" x14ac:dyDescent="0.2">
      <c r="B195" s="61" t="s">
        <v>165</v>
      </c>
      <c r="C195" s="61" t="s">
        <v>10</v>
      </c>
      <c r="D195" s="76">
        <f ca="1">D194*D34</f>
        <v>81.395633186677713</v>
      </c>
    </row>
    <row r="196" spans="2:4" x14ac:dyDescent="0.2">
      <c r="B196" s="61" t="s">
        <v>166</v>
      </c>
      <c r="C196" s="61" t="s">
        <v>8</v>
      </c>
      <c r="D196" s="76">
        <f ca="1">D174</f>
        <v>477.52718392990602</v>
      </c>
    </row>
    <row r="197" spans="2:4" x14ac:dyDescent="0.2">
      <c r="B197" s="61" t="s">
        <v>167</v>
      </c>
      <c r="C197" s="61" t="s">
        <v>8</v>
      </c>
      <c r="D197" s="76">
        <f ca="1">D196</f>
        <v>477.52718392990602</v>
      </c>
    </row>
    <row r="198" spans="2:4" x14ac:dyDescent="0.2">
      <c r="B198" s="61" t="s">
        <v>168</v>
      </c>
      <c r="C198" s="61" t="s">
        <v>10</v>
      </c>
      <c r="D198" s="76">
        <f ca="1">D195/(1+(D14-1)/2)^((D14/(D14-1)))</f>
        <v>43.983271366775185</v>
      </c>
    </row>
    <row r="199" spans="2:4" x14ac:dyDescent="0.2">
      <c r="B199" s="61" t="s">
        <v>168</v>
      </c>
      <c r="C199" s="61" t="s">
        <v>10</v>
      </c>
      <c r="D199" s="76">
        <f>D7</f>
        <v>0</v>
      </c>
    </row>
    <row r="200" spans="2:4" x14ac:dyDescent="0.2">
      <c r="B200" s="61" t="s">
        <v>169</v>
      </c>
      <c r="C200" s="61"/>
      <c r="D200" s="76">
        <f ca="1">IF(D198&lt;D7,SQRT(((((D195/D199)^((D16-1)/D16))-1)*2)/(D16-1)),1)</f>
        <v>1</v>
      </c>
    </row>
    <row r="201" spans="2:4" x14ac:dyDescent="0.2">
      <c r="B201" s="61" t="s">
        <v>170</v>
      </c>
      <c r="C201" s="61"/>
      <c r="D201" s="98">
        <v>1.65</v>
      </c>
    </row>
    <row r="202" spans="2:4" x14ac:dyDescent="0.2">
      <c r="B202" s="61" t="s">
        <v>67</v>
      </c>
      <c r="C202" s="61"/>
      <c r="D202" s="76">
        <f>(((1+((D14-1)/2)*(D201^2))/((D14+1)/2))^((D14+1)/(2*(D14-1))))/D201</f>
        <v>1.2922188012503502</v>
      </c>
    </row>
    <row r="203" spans="2:4" x14ac:dyDescent="0.2">
      <c r="B203" s="61" t="s">
        <v>171</v>
      </c>
      <c r="C203" s="61"/>
      <c r="D203" s="76">
        <f ca="1">D202/D211</f>
        <v>0.76457853605427228</v>
      </c>
    </row>
    <row r="204" spans="2:4" x14ac:dyDescent="0.2">
      <c r="B204" s="61" t="s">
        <v>172</v>
      </c>
      <c r="C204" s="61"/>
      <c r="D204" s="76">
        <f ca="1">D195/D199</f>
        <v>8.1081308368912595</v>
      </c>
    </row>
    <row r="205" spans="2:4" x14ac:dyDescent="0.2">
      <c r="B205" s="61" t="s">
        <v>173</v>
      </c>
      <c r="C205" s="61"/>
      <c r="D205" s="76">
        <f ca="1">D195/((1+((D14-1)*0.5*(D201^2)))^(D14/(D14-1)))</f>
        <v>18.246939436487128</v>
      </c>
    </row>
    <row r="206" spans="2:4" x14ac:dyDescent="0.2">
      <c r="B206" s="61" t="s">
        <v>174</v>
      </c>
      <c r="C206" s="61" t="s">
        <v>8</v>
      </c>
      <c r="D206" s="76">
        <f ca="1">D197/(1+((D14-1)*0.5*(D201^2)))</f>
        <v>329.50804932327452</v>
      </c>
    </row>
    <row r="207" spans="2:4" x14ac:dyDescent="0.2">
      <c r="B207" s="61" t="s">
        <v>175</v>
      </c>
      <c r="C207" s="61" t="s">
        <v>84</v>
      </c>
      <c r="D207" s="76">
        <f ca="1">SQRT((D14-1)*D13*D206)</f>
        <v>356.61335155371842</v>
      </c>
    </row>
    <row r="208" spans="2:4" x14ac:dyDescent="0.2">
      <c r="B208" s="61" t="s">
        <v>176</v>
      </c>
      <c r="C208" s="61" t="s">
        <v>84</v>
      </c>
      <c r="D208" s="76">
        <f ca="1">D207*D201</f>
        <v>588.41203006363537</v>
      </c>
    </row>
    <row r="209" spans="2:4" x14ac:dyDescent="0.2">
      <c r="B209" s="61" t="s">
        <v>177</v>
      </c>
      <c r="C209" s="61" t="s">
        <v>87</v>
      </c>
      <c r="D209" s="97">
        <f>((D14-1)/D14)*D13/1000</f>
        <v>2.8728571428571426E-4</v>
      </c>
    </row>
    <row r="210" spans="2:4" x14ac:dyDescent="0.2">
      <c r="B210" s="61" t="s">
        <v>178</v>
      </c>
      <c r="C210" s="61" t="s">
        <v>179</v>
      </c>
      <c r="D210" s="76">
        <f ca="1">D205/(D209*D206)</f>
        <v>0.19082992227786225</v>
      </c>
    </row>
    <row r="211" spans="2:4" x14ac:dyDescent="0.2">
      <c r="B211" s="61" t="s">
        <v>180</v>
      </c>
      <c r="C211" s="61" t="s">
        <v>95</v>
      </c>
      <c r="D211" s="99">
        <f ca="1">D193/(D210*D208)</f>
        <v>1.7131223388250016</v>
      </c>
    </row>
    <row r="212" spans="2:4" x14ac:dyDescent="0.2">
      <c r="B212" s="100" t="s">
        <v>181</v>
      </c>
      <c r="C212" s="100"/>
      <c r="D212" s="100"/>
    </row>
    <row r="213" spans="2:4" x14ac:dyDescent="0.2">
      <c r="C213" s="61"/>
      <c r="D213" s="61"/>
    </row>
    <row r="214" spans="2:4" x14ac:dyDescent="0.2">
      <c r="C214" s="61"/>
      <c r="D214" s="76"/>
    </row>
    <row r="215" spans="2:4" x14ac:dyDescent="0.2">
      <c r="B215" s="61" t="s">
        <v>183</v>
      </c>
      <c r="C215" s="61" t="s">
        <v>184</v>
      </c>
      <c r="D215" s="101">
        <f ca="1">(D193*(D208-D88)+D211*1000*(D205-D7))</f>
        <v>12421.995312104922</v>
      </c>
    </row>
    <row r="216" spans="2:4" x14ac:dyDescent="0.2">
      <c r="C216" s="61"/>
      <c r="D216" s="101">
        <v>44600</v>
      </c>
    </row>
    <row r="217" spans="2:4" x14ac:dyDescent="0.2">
      <c r="C217" s="61"/>
      <c r="D217" s="85">
        <f ca="1">(D215-D216)/D216</f>
        <v>0</v>
      </c>
    </row>
    <row r="218" spans="2:4" x14ac:dyDescent="0.2">
      <c r="B218" s="61" t="s">
        <v>185</v>
      </c>
      <c r="C218" s="61" t="s">
        <v>186</v>
      </c>
      <c r="D218" s="76">
        <f ca="1">D215/D192</f>
        <v>64.576568874318511</v>
      </c>
    </row>
    <row r="219" spans="2:4" x14ac:dyDescent="0.2">
      <c r="B219" s="61" t="s">
        <v>187</v>
      </c>
      <c r="C219" s="61" t="s">
        <v>188</v>
      </c>
      <c r="D219" s="102">
        <f ca="1">D131/D215</f>
        <v>3.2067146762137941E-5</v>
      </c>
    </row>
    <row r="220" spans="2:4" x14ac:dyDescent="0.2">
      <c r="C220" s="61"/>
      <c r="D220" s="61">
        <v>44582.222222222132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22"/>
  <sheetViews>
    <sheetView zoomScale="70" zoomScaleNormal="70" workbookViewId="0">
      <selection activeCell="D170" sqref="D170"/>
    </sheetView>
  </sheetViews>
  <sheetFormatPr defaultColWidth="9.140625" defaultRowHeight="15" x14ac:dyDescent="0.25"/>
  <cols>
    <col min="2" max="2" width="23.85546875" bestFit="1" customWidth="1"/>
    <col min="4" max="11" width="13.7109375" bestFit="1" customWidth="1"/>
  </cols>
  <sheetData>
    <row r="1" spans="1:11" x14ac:dyDescent="0.25">
      <c r="A1" t="s">
        <v>0</v>
      </c>
    </row>
    <row r="4" spans="1:11" s="26" customFormat="1" ht="30" x14ac:dyDescent="0.25">
      <c r="A4" s="65" t="s">
        <v>1</v>
      </c>
      <c r="B4" s="65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25">
      <c r="A5" t="s">
        <v>3</v>
      </c>
      <c r="B5" t="s">
        <v>4</v>
      </c>
      <c r="C5" t="s">
        <v>5</v>
      </c>
      <c r="D5">
        <v>16130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2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2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25">
      <c r="B8" t="s">
        <v>9</v>
      </c>
      <c r="C8" t="s">
        <v>10</v>
      </c>
      <c r="D8" s="36">
        <v>10.038766618853135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2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25">
      <c r="A11" s="2" t="s">
        <v>12</v>
      </c>
      <c r="B11" s="2"/>
    </row>
    <row r="12" spans="1:11" x14ac:dyDescent="0.2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2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2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2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2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2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2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25">
      <c r="B20" t="s">
        <v>23</v>
      </c>
    </row>
    <row r="21" spans="2:13" x14ac:dyDescent="0.25">
      <c r="B21" t="s">
        <v>24</v>
      </c>
    </row>
    <row r="22" spans="2:13" x14ac:dyDescent="0.2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2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2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2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2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2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2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2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2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2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2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2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2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2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2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25">
      <c r="D38" s="13"/>
      <c r="E38" s="13"/>
      <c r="F38" s="13"/>
      <c r="G38" s="13"/>
      <c r="H38" s="13"/>
      <c r="I38" s="13"/>
      <c r="J38" s="13"/>
      <c r="K38" s="13"/>
    </row>
    <row r="39" spans="2:11" x14ac:dyDescent="0.25">
      <c r="D39" s="13"/>
      <c r="E39" s="13"/>
      <c r="F39" s="13"/>
      <c r="G39" s="13"/>
      <c r="H39" s="13"/>
      <c r="I39" s="13"/>
      <c r="J39" s="13"/>
      <c r="K39" s="13"/>
    </row>
    <row r="40" spans="2:11" x14ac:dyDescent="0.25">
      <c r="D40" s="13"/>
      <c r="E40" s="13"/>
      <c r="F40" s="13"/>
      <c r="G40" s="13"/>
      <c r="H40" s="13"/>
      <c r="I40" s="13"/>
      <c r="J40" s="13"/>
      <c r="K40" s="13"/>
    </row>
    <row r="42" spans="2:11" x14ac:dyDescent="0.25">
      <c r="B42" s="10" t="s">
        <v>42</v>
      </c>
    </row>
    <row r="43" spans="2:11" x14ac:dyDescent="0.2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2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2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2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2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2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2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2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2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25">
      <c r="D52" s="29"/>
      <c r="E52" s="29"/>
      <c r="F52" s="29"/>
      <c r="G52" s="29"/>
      <c r="H52" s="29"/>
      <c r="I52" s="29"/>
      <c r="J52" s="29"/>
      <c r="K52" s="29"/>
    </row>
    <row r="53" spans="2:11" x14ac:dyDescent="0.2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2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25">
      <c r="D55" s="12"/>
      <c r="E55" s="12"/>
      <c r="F55" s="12"/>
      <c r="G55" s="12"/>
      <c r="H55" s="12"/>
      <c r="I55" s="12"/>
      <c r="J55" s="12"/>
      <c r="K55" s="12"/>
    </row>
    <row r="56" spans="2:11" x14ac:dyDescent="0.2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2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2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2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2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2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2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2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25">
      <c r="B65" t="s">
        <v>60</v>
      </c>
    </row>
    <row r="66" spans="2:11" x14ac:dyDescent="0.2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2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2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2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2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2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25">
      <c r="B73" t="s">
        <v>68</v>
      </c>
    </row>
    <row r="74" spans="2:11" x14ac:dyDescent="0.2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2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2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2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2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25">
      <c r="B79" t="s">
        <v>74</v>
      </c>
      <c r="C79" t="s">
        <v>65</v>
      </c>
    </row>
    <row r="80" spans="2:11" x14ac:dyDescent="0.2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25">
      <c r="D81" s="12"/>
      <c r="E81" s="12"/>
      <c r="F81" s="12"/>
      <c r="G81" s="12"/>
      <c r="H81" s="12"/>
      <c r="I81" s="12"/>
      <c r="J81" s="12"/>
      <c r="K81" s="12"/>
    </row>
    <row r="82" spans="2:11" x14ac:dyDescent="0.25">
      <c r="B82" t="s">
        <v>76</v>
      </c>
    </row>
    <row r="83" spans="2:11" x14ac:dyDescent="0.25">
      <c r="B83" t="s">
        <v>77</v>
      </c>
    </row>
    <row r="84" spans="2:11" x14ac:dyDescent="0.2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25">
      <c r="B85" t="s">
        <v>79</v>
      </c>
      <c r="C85" t="s">
        <v>10</v>
      </c>
      <c r="D85" s="27">
        <f>D8</f>
        <v>10.038766618853135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25">
      <c r="B86" t="s">
        <v>80</v>
      </c>
      <c r="C86" t="s">
        <v>10</v>
      </c>
      <c r="D86" s="27">
        <f>((((D9^2)*((D13-1)/2))+1)^(D13/(D13-1)))*D85</f>
        <v>78.453689358386967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2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2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2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2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2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25">
      <c r="D92" s="12"/>
      <c r="E92" s="12"/>
      <c r="F92" s="12"/>
      <c r="G92" s="12"/>
      <c r="H92" s="12"/>
      <c r="I92" s="12"/>
      <c r="J92" s="12"/>
      <c r="K92" s="12"/>
    </row>
    <row r="93" spans="2:11" x14ac:dyDescent="0.2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2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25">
      <c r="B95" t="s">
        <v>90</v>
      </c>
      <c r="C95" t="s">
        <v>10</v>
      </c>
      <c r="D95" s="12">
        <f>D86</f>
        <v>78.453689358386967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25">
      <c r="B96" t="s">
        <v>91</v>
      </c>
      <c r="C96" t="s">
        <v>10</v>
      </c>
      <c r="D96" s="12">
        <f>D95*D26</f>
        <v>73.511106928808587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2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2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25">
      <c r="D99" s="12"/>
      <c r="E99" s="12"/>
      <c r="F99" s="12"/>
      <c r="G99" s="12"/>
      <c r="H99" s="12"/>
      <c r="I99" s="12"/>
      <c r="J99" s="12"/>
      <c r="K99" s="12"/>
    </row>
    <row r="100" spans="2:11" x14ac:dyDescent="0.25">
      <c r="B100" t="s">
        <v>94</v>
      </c>
    </row>
    <row r="101" spans="2:11" x14ac:dyDescent="0.2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2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25">
      <c r="B103" t="s">
        <v>91</v>
      </c>
      <c r="C103" t="s">
        <v>10</v>
      </c>
      <c r="D103" s="12">
        <f>D96</f>
        <v>73.511106928808587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25">
      <c r="B104" t="s">
        <v>97</v>
      </c>
      <c r="C104" t="s">
        <v>10</v>
      </c>
      <c r="D104" s="12">
        <f>D103*D28</f>
        <v>88.213328314570305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25">
      <c r="B105" t="s">
        <v>98</v>
      </c>
      <c r="C105" t="s">
        <v>10</v>
      </c>
      <c r="D105" s="12">
        <f>D104*D33</f>
        <v>87.330150412400528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2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2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2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2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2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2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2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2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25">
      <c r="B115" t="s">
        <v>91</v>
      </c>
      <c r="C115" t="s">
        <v>10</v>
      </c>
      <c r="D115" s="12">
        <f>D96</f>
        <v>73.511106928808587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25">
      <c r="B116" t="s">
        <v>105</v>
      </c>
      <c r="C116" t="s">
        <v>10</v>
      </c>
      <c r="D116" s="12">
        <f>D115*D29</f>
        <v>79.937096682947356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2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2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2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2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2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2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25">
      <c r="B123" t="s">
        <v>110</v>
      </c>
      <c r="C123" t="s">
        <v>10</v>
      </c>
      <c r="D123" s="12">
        <f>D116*D36</f>
        <v>79.137725716117885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25">
      <c r="B124" t="s">
        <v>111</v>
      </c>
      <c r="C124" t="s">
        <v>10</v>
      </c>
      <c r="D124" s="12">
        <f>D123*D30</f>
        <v>1142.0233258041146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2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2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2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2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2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2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2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2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2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2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25">
      <c r="B135" t="s">
        <v>120</v>
      </c>
      <c r="C135" t="s">
        <v>10</v>
      </c>
      <c r="D135" s="12">
        <f>D124*D31</f>
        <v>1096.34239277195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2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25">
      <c r="B137" t="s">
        <v>122</v>
      </c>
      <c r="C137" t="s">
        <v>107</v>
      </c>
      <c r="D137" s="12">
        <f ca="1">(D134*D144*D14-D130*D126*D12)/1000000</f>
        <v>15.272975975232523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2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2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2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2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2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2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25">
      <c r="B144" t="s">
        <v>128</v>
      </c>
      <c r="C144" t="s">
        <v>8</v>
      </c>
      <c r="D144" s="12">
        <f ca="1">((D134*D14*D136)+((D69*D59)*D12*D126))/(D142*D14)</f>
        <v>1497.9920088640392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2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2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25">
      <c r="B147" t="s">
        <v>131</v>
      </c>
      <c r="C147" t="s">
        <v>10</v>
      </c>
      <c r="D147" s="12">
        <f>D135</f>
        <v>1096.34239277195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2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2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2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2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2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2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2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2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2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2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2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2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2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2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2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2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2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2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2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2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2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2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2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2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2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2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2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2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2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2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2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2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25">
      <c r="B180" t="s">
        <v>98</v>
      </c>
      <c r="C180" t="s">
        <v>10</v>
      </c>
      <c r="D180" s="12">
        <f>D105</f>
        <v>87.330150412400528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2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2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2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2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2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2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2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2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2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2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2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2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2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2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2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2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2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2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25">
      <c r="B199" t="s">
        <v>167</v>
      </c>
      <c r="C199" t="s">
        <v>8</v>
      </c>
      <c r="D199" s="12">
        <f ca="1">D198</f>
        <v>477.52718392990602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2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25">
      <c r="B201" t="s">
        <v>168</v>
      </c>
      <c r="C201" t="s">
        <v>10</v>
      </c>
      <c r="D201" s="12">
        <f>D8</f>
        <v>10.038766618853135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25">
      <c r="B202" t="s">
        <v>169</v>
      </c>
      <c r="D202" s="12">
        <f ca="1">IF(D200&lt;D8,SQRT(((((D197/D201)^((D17-1)/D17))-1)*2)/(D17-1)),1)</f>
        <v>1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2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2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2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2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2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2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2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2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2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2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2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25">
      <c r="B214" s="49" t="s">
        <v>181</v>
      </c>
    </row>
    <row r="216" spans="1:11" x14ac:dyDescent="0.2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2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2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2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2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2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2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221"/>
  <sheetViews>
    <sheetView zoomScale="85" zoomScaleNormal="85" workbookViewId="0"/>
  </sheetViews>
  <sheetFormatPr defaultColWidth="9.140625" defaultRowHeight="15" x14ac:dyDescent="0.25"/>
  <cols>
    <col min="2" max="2" width="23.85546875" bestFit="1" customWidth="1"/>
    <col min="4" max="4" width="13.7109375" bestFit="1" customWidth="1"/>
    <col min="5" max="7" width="13.7109375" hidden="1" customWidth="1"/>
    <col min="8" max="8" width="3" customWidth="1"/>
    <col min="9" max="9" width="12.42578125" customWidth="1"/>
    <col min="10" max="12" width="13.7109375" hidden="1" customWidth="1"/>
    <col min="13" max="13" width="3.7109375" customWidth="1"/>
    <col min="14" max="14" width="12.42578125" customWidth="1"/>
    <col min="15" max="15" width="13.7109375" customWidth="1"/>
    <col min="16" max="16" width="14.85546875" bestFit="1" customWidth="1"/>
    <col min="17" max="17" width="13.7109375" customWidth="1"/>
    <col min="19" max="19" width="29.140625" bestFit="1" customWidth="1"/>
    <col min="21" max="21" width="8.85546875" bestFit="1" customWidth="1"/>
    <col min="30" max="30" width="11" bestFit="1" customWidth="1"/>
  </cols>
  <sheetData>
    <row r="1" spans="1:16" x14ac:dyDescent="0.25">
      <c r="A1" t="s">
        <v>0</v>
      </c>
    </row>
    <row r="4" spans="1:16" s="26" customFormat="1" ht="30" x14ac:dyDescent="0.25">
      <c r="A4" s="65" t="s">
        <v>1</v>
      </c>
      <c r="B4" s="6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2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2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2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25">
      <c r="A11" s="2" t="s">
        <v>12</v>
      </c>
      <c r="B11" s="2"/>
    </row>
    <row r="12" spans="1:16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25">
      <c r="B13" t="s">
        <v>15</v>
      </c>
      <c r="D13">
        <v>1.4</v>
      </c>
      <c r="I13">
        <v>1.4</v>
      </c>
      <c r="N13">
        <v>1.4</v>
      </c>
    </row>
    <row r="14" spans="1:16" x14ac:dyDescent="0.2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25">
      <c r="B15" t="s">
        <v>18</v>
      </c>
      <c r="D15">
        <v>1.33</v>
      </c>
      <c r="I15">
        <v>1.33</v>
      </c>
      <c r="N15">
        <v>1.33</v>
      </c>
    </row>
    <row r="16" spans="1:16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25">
      <c r="B17" t="s">
        <v>20</v>
      </c>
      <c r="D17">
        <v>1.3</v>
      </c>
      <c r="I17">
        <v>1.3</v>
      </c>
      <c r="N17">
        <v>1.3</v>
      </c>
    </row>
    <row r="18" spans="1:16" x14ac:dyDescent="0.2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25">
      <c r="A20" t="s">
        <v>23</v>
      </c>
    </row>
    <row r="21" spans="1:16" x14ac:dyDescent="0.25">
      <c r="A21" t="s">
        <v>24</v>
      </c>
    </row>
    <row r="22" spans="1:16" x14ac:dyDescent="0.2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2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2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2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2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2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2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2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2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2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2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2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2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2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25">
      <c r="A39" s="10" t="s">
        <v>42</v>
      </c>
      <c r="B39" s="10"/>
    </row>
    <row r="40" spans="1:17" x14ac:dyDescent="0.2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2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2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2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2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2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2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2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25">
      <c r="D49" s="29"/>
    </row>
    <row r="50" spans="1:38" x14ac:dyDescent="0.2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2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2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2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2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2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2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2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2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25">
      <c r="B62" t="s">
        <v>60</v>
      </c>
      <c r="AL62">
        <v>10.683</v>
      </c>
    </row>
    <row r="63" spans="1:38" x14ac:dyDescent="0.2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2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2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2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2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25">
      <c r="B68" t="s">
        <v>67</v>
      </c>
      <c r="D68">
        <v>1.8</v>
      </c>
      <c r="I68">
        <v>1.8</v>
      </c>
      <c r="N68">
        <v>1.8</v>
      </c>
    </row>
    <row r="70" spans="1:41" x14ac:dyDescent="0.25">
      <c r="A70" t="s">
        <v>68</v>
      </c>
      <c r="AO70">
        <f>17.387/18.392</f>
        <v>0.94535667681600699</v>
      </c>
    </row>
    <row r="71" spans="1:41" x14ac:dyDescent="0.2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2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2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2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2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25">
      <c r="B76" t="s">
        <v>74</v>
      </c>
      <c r="C76" t="s">
        <v>65</v>
      </c>
    </row>
    <row r="77" spans="1:41" x14ac:dyDescent="0.2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2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25">
      <c r="A79" t="s">
        <v>76</v>
      </c>
    </row>
    <row r="80" spans="1:41" x14ac:dyDescent="0.25">
      <c r="A80" t="s">
        <v>77</v>
      </c>
    </row>
    <row r="81" spans="1:17" x14ac:dyDescent="0.2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2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2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2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2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2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2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2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2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2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2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2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2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2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2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25">
      <c r="A97" t="s">
        <v>94</v>
      </c>
    </row>
    <row r="98" spans="1:16" x14ac:dyDescent="0.2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2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2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2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2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2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2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2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2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2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2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2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2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2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2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2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2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2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2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2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2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2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2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2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2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2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2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2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2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2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2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2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2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2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2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2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2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2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2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2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2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2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2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2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2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2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2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2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2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2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2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2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2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2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2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2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2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2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25">
      <c r="B158" s="52" t="s">
        <v>141</v>
      </c>
      <c r="C158" s="52" t="s">
        <v>10</v>
      </c>
      <c r="D158" s="18">
        <f ca="1">((D36*D37*D33*D28)/(D31*D29*D30*(D147/D145)))*D157</f>
        <v>116.73282478838219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341.41754037093358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25">
      <c r="D159" s="12"/>
      <c r="E159" s="27"/>
      <c r="F159" s="27"/>
      <c r="G159" s="31"/>
      <c r="H159" s="31"/>
      <c r="I159" s="12">
        <f ca="1">((SQRT(I155-((I117+I108)*1000000)/(I48*I154*I14))*I154)/D161)</f>
        <v>341.41754037093352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340.21194334293347</v>
      </c>
      <c r="O159" s="31"/>
      <c r="P159" s="31"/>
      <c r="Q159" s="37"/>
    </row>
    <row r="160" spans="1:17" x14ac:dyDescent="0.2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2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2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2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2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2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2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2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2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2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2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2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2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2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2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2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2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2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2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2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2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2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2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2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2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2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2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2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2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2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2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2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2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2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2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2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2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2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2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2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2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2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2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2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2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2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2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2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2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2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2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2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25">
      <c r="B212" s="49" t="s">
        <v>181</v>
      </c>
      <c r="I212" s="50"/>
      <c r="N212" s="50"/>
    </row>
    <row r="214" spans="1:21" x14ac:dyDescent="0.2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2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2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2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2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2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2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2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181"/>
  <sheetViews>
    <sheetView topLeftCell="A97" zoomScale="70" zoomScaleNormal="70" workbookViewId="0">
      <selection activeCell="E191" sqref="E191"/>
    </sheetView>
  </sheetViews>
  <sheetFormatPr defaultColWidth="9.140625" defaultRowHeight="15" x14ac:dyDescent="0.25"/>
  <cols>
    <col min="2" max="2" width="23.85546875" bestFit="1" customWidth="1"/>
    <col min="4" max="4" width="13" bestFit="1" customWidth="1"/>
    <col min="5" max="7" width="13.7109375" customWidth="1"/>
    <col min="8" max="8" width="3" customWidth="1"/>
    <col min="9" max="10" width="12.42578125" customWidth="1"/>
    <col min="11" max="11" width="13.7109375" customWidth="1"/>
    <col min="12" max="12" width="16.42578125" bestFit="1" customWidth="1"/>
    <col min="13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65" t="s">
        <v>1</v>
      </c>
      <c r="B4" s="65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25">
      <c r="B15" t="s">
        <v>18</v>
      </c>
      <c r="D15">
        <v>1.33</v>
      </c>
      <c r="I15">
        <v>1.33</v>
      </c>
      <c r="J15">
        <v>1.33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2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2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2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2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2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2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2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2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2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2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2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2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2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2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2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2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2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2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2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2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2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2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2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2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2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2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2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2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2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2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2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2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2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2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2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2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2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2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2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2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2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2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2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2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2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2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2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181"/>
  <sheetViews>
    <sheetView zoomScale="85" zoomScaleNormal="85" workbookViewId="0">
      <selection activeCell="I7" sqref="I7"/>
    </sheetView>
  </sheetViews>
  <sheetFormatPr defaultColWidth="9.140625" defaultRowHeight="15" x14ac:dyDescent="0.25"/>
  <cols>
    <col min="2" max="2" width="11.140625" customWidth="1"/>
    <col min="4" max="4" width="11.7109375" customWidth="1"/>
    <col min="5" max="7" width="13.7109375" customWidth="1"/>
    <col min="8" max="8" width="3" customWidth="1"/>
    <col min="9" max="10" width="12.42578125" customWidth="1"/>
    <col min="11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65" t="s">
        <v>1</v>
      </c>
      <c r="B4" s="6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25">
      <c r="B15" t="s">
        <v>18</v>
      </c>
      <c r="D15">
        <v>1.3</v>
      </c>
      <c r="I15">
        <v>1.3</v>
      </c>
      <c r="J15">
        <v>1.3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2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2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2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2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2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2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2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2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2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2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2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2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2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2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2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2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2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2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2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2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2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2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2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2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2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2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2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2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2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2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2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2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2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2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2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2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2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2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2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2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2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2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2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2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25">
      <c r="Q173" t="s">
        <v>210</v>
      </c>
      <c r="R173" t="s">
        <v>204</v>
      </c>
      <c r="S173" s="47">
        <v>1100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2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25">
      <c r="D178">
        <v>44582.222222222132</v>
      </c>
      <c r="I178">
        <v>44582.222222222132</v>
      </c>
      <c r="J178">
        <v>44582.222222222132</v>
      </c>
    </row>
    <row r="179" spans="2:19" x14ac:dyDescent="0.2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2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A159"/>
  <sheetViews>
    <sheetView topLeftCell="A94" zoomScale="68" zoomScaleNormal="68" workbookViewId="0">
      <selection activeCell="D17" sqref="D17"/>
    </sheetView>
  </sheetViews>
  <sheetFormatPr defaultColWidth="9.140625" defaultRowHeight="15" x14ac:dyDescent="0.25"/>
  <cols>
    <col min="2" max="2" width="24.7109375" bestFit="1" customWidth="1"/>
    <col min="4" max="4" width="13.7109375" bestFit="1" customWidth="1"/>
    <col min="5" max="6" width="12" bestFit="1" customWidth="1"/>
    <col min="8" max="8" width="13.7109375" bestFit="1" customWidth="1"/>
    <col min="9" max="9" width="12.5703125" bestFit="1" customWidth="1"/>
    <col min="10" max="10" width="9.28515625" customWidth="1"/>
    <col min="14" max="14" width="10" bestFit="1" customWidth="1"/>
  </cols>
  <sheetData>
    <row r="1" spans="1:52" x14ac:dyDescent="0.25">
      <c r="A1" t="s">
        <v>0</v>
      </c>
    </row>
    <row r="4" spans="1:52" x14ac:dyDescent="0.25">
      <c r="A4" s="66" t="s">
        <v>1</v>
      </c>
      <c r="B4" s="66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2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25">
      <c r="B6" t="s">
        <v>6</v>
      </c>
      <c r="C6" t="s">
        <v>7</v>
      </c>
      <c r="D6">
        <v>15</v>
      </c>
      <c r="E6">
        <v>-54.3</v>
      </c>
      <c r="F6" s="67" t="s">
        <v>213</v>
      </c>
      <c r="I6" s="25" t="s">
        <v>32</v>
      </c>
      <c r="J6" s="25">
        <v>1.5719000000000001</v>
      </c>
    </row>
    <row r="7" spans="1:52" x14ac:dyDescent="0.25">
      <c r="B7" t="s">
        <v>6</v>
      </c>
      <c r="C7" t="s">
        <v>8</v>
      </c>
      <c r="D7">
        <f>273+D6</f>
        <v>288</v>
      </c>
      <c r="E7">
        <f>E6+273</f>
        <v>218.7</v>
      </c>
      <c r="F7" s="67"/>
      <c r="I7" s="25" t="s">
        <v>214</v>
      </c>
      <c r="J7" s="25">
        <v>4.67</v>
      </c>
    </row>
    <row r="8" spans="1:52" x14ac:dyDescent="0.25">
      <c r="B8" t="s">
        <v>9</v>
      </c>
      <c r="C8" t="s">
        <v>10</v>
      </c>
      <c r="D8">
        <v>101.325</v>
      </c>
      <c r="E8">
        <v>23.8</v>
      </c>
      <c r="F8" s="67"/>
      <c r="I8" s="25" t="s">
        <v>61</v>
      </c>
      <c r="J8" s="25">
        <v>1452</v>
      </c>
    </row>
    <row r="9" spans="1:52" x14ac:dyDescent="0.25">
      <c r="B9" t="s">
        <v>11</v>
      </c>
      <c r="D9">
        <v>0</v>
      </c>
      <c r="E9">
        <v>0.8</v>
      </c>
    </row>
    <row r="11" spans="1:52" x14ac:dyDescent="0.25">
      <c r="A11" s="2" t="s">
        <v>12</v>
      </c>
      <c r="B11" s="2"/>
    </row>
    <row r="12" spans="1:52" x14ac:dyDescent="0.25">
      <c r="B12" t="s">
        <v>13</v>
      </c>
      <c r="C12" t="s">
        <v>14</v>
      </c>
      <c r="D12">
        <v>1004.83</v>
      </c>
      <c r="E12">
        <v>1004.83</v>
      </c>
    </row>
    <row r="13" spans="1:52" x14ac:dyDescent="0.2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2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2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2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2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25">
      <c r="A18" t="s">
        <v>23</v>
      </c>
    </row>
    <row r="19" spans="1:13" x14ac:dyDescent="0.25">
      <c r="A19" s="9" t="s">
        <v>28</v>
      </c>
      <c r="B19" s="9"/>
    </row>
    <row r="20" spans="1:13" x14ac:dyDescent="0.25">
      <c r="B20" t="s">
        <v>29</v>
      </c>
      <c r="D20">
        <v>0.97</v>
      </c>
      <c r="E20" s="12">
        <v>0.995</v>
      </c>
      <c r="F20">
        <v>0.995</v>
      </c>
    </row>
    <row r="21" spans="1:13" x14ac:dyDescent="0.25">
      <c r="B21" t="s">
        <v>31</v>
      </c>
      <c r="D21">
        <v>21.1</v>
      </c>
      <c r="E21" s="12">
        <f>E23*E24*E25</f>
        <v>30.462923066191973</v>
      </c>
    </row>
    <row r="22" spans="1:13" x14ac:dyDescent="0.2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25">
      <c r="B23" s="1" t="s">
        <v>32</v>
      </c>
      <c r="D23">
        <v>1.5</v>
      </c>
      <c r="E23" s="12">
        <v>1.5719000000000001</v>
      </c>
    </row>
    <row r="24" spans="1:13" x14ac:dyDescent="0.2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2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25">
      <c r="B26" t="s">
        <v>35</v>
      </c>
      <c r="D26">
        <v>0.97</v>
      </c>
      <c r="E26">
        <f>D26</f>
        <v>0.97</v>
      </c>
    </row>
    <row r="27" spans="1:13" x14ac:dyDescent="0.25">
      <c r="B27" t="s">
        <v>220</v>
      </c>
      <c r="D27">
        <v>0.98</v>
      </c>
      <c r="E27">
        <f>D27</f>
        <v>0.98</v>
      </c>
    </row>
    <row r="28" spans="1:13" x14ac:dyDescent="0.25">
      <c r="B28" t="s">
        <v>39</v>
      </c>
      <c r="D28">
        <v>0.98</v>
      </c>
      <c r="E28">
        <f>D28</f>
        <v>0.98</v>
      </c>
    </row>
    <row r="29" spans="1:13" x14ac:dyDescent="0.25">
      <c r="K29">
        <v>1.4</v>
      </c>
      <c r="L29">
        <v>1.5</v>
      </c>
      <c r="M29">
        <v>1.55</v>
      </c>
    </row>
    <row r="30" spans="1:13" x14ac:dyDescent="0.25">
      <c r="A30" s="10" t="s">
        <v>42</v>
      </c>
      <c r="B30" s="10"/>
    </row>
    <row r="31" spans="1:13" x14ac:dyDescent="0.25">
      <c r="B31" t="s">
        <v>221</v>
      </c>
      <c r="D31">
        <v>0.9</v>
      </c>
      <c r="E31">
        <f>D31</f>
        <v>0.9</v>
      </c>
    </row>
    <row r="32" spans="1:13" x14ac:dyDescent="0.25">
      <c r="B32" t="s">
        <v>43</v>
      </c>
      <c r="D32">
        <v>0.89</v>
      </c>
      <c r="E32">
        <f t="shared" ref="E32:E35" si="0">D32</f>
        <v>0.89</v>
      </c>
    </row>
    <row r="33" spans="1:79" x14ac:dyDescent="0.25">
      <c r="B33" t="s">
        <v>35</v>
      </c>
      <c r="D33">
        <v>0.98</v>
      </c>
      <c r="E33">
        <f t="shared" si="0"/>
        <v>0.98</v>
      </c>
    </row>
    <row r="34" spans="1:79" x14ac:dyDescent="0.2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2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25">
      <c r="H36">
        <v>166.363</v>
      </c>
    </row>
    <row r="37" spans="1:79" x14ac:dyDescent="0.2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2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2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25">
      <c r="H40" s="12">
        <f>E77</f>
        <v>1.8659429563003866</v>
      </c>
      <c r="I40" s="12">
        <f>E143</f>
        <v>0.30845585755027088</v>
      </c>
    </row>
    <row r="41" spans="1:79" x14ac:dyDescent="0.2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25">
      <c r="B42" t="s">
        <v>60</v>
      </c>
    </row>
    <row r="43" spans="1:79" x14ac:dyDescent="0.2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2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2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2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2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2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2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2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2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2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2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2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2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2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2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2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2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2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2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2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2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2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2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2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2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2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2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2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2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2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2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2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2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2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2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2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25">
      <c r="D79" s="12"/>
      <c r="E79" s="12"/>
    </row>
    <row r="80" spans="1:79" x14ac:dyDescent="0.25">
      <c r="A80" t="s">
        <v>53</v>
      </c>
      <c r="D80" s="12"/>
      <c r="E80" s="12"/>
    </row>
    <row r="81" spans="1:8" x14ac:dyDescent="0.2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2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2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2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2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25">
      <c r="D86" s="12"/>
      <c r="E86" s="12"/>
    </row>
    <row r="87" spans="1:8" x14ac:dyDescent="0.25">
      <c r="A87" t="s">
        <v>108</v>
      </c>
      <c r="D87" s="12"/>
      <c r="E87" s="12"/>
    </row>
    <row r="88" spans="1:8" x14ac:dyDescent="0.2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2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2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2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2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25">
      <c r="D93" s="12"/>
      <c r="E93" s="12"/>
    </row>
    <row r="94" spans="1:8" x14ac:dyDescent="0.25">
      <c r="A94" t="s">
        <v>35</v>
      </c>
      <c r="D94" s="12"/>
      <c r="E94" s="12"/>
    </row>
    <row r="95" spans="1:8" x14ac:dyDescent="0.2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8" x14ac:dyDescent="0.3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8" x14ac:dyDescent="0.3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2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2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25">
      <c r="D100" s="12"/>
      <c r="E100" s="12"/>
    </row>
    <row r="101" spans="1:8" x14ac:dyDescent="0.2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2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2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25">
      <c r="A104" t="s">
        <v>125</v>
      </c>
      <c r="D104" s="12"/>
      <c r="E104" s="12"/>
    </row>
    <row r="105" spans="1:8" x14ac:dyDescent="0.2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2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2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2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2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2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2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25">
      <c r="A112" t="s">
        <v>256</v>
      </c>
      <c r="D112" s="12"/>
      <c r="E112" s="12"/>
    </row>
    <row r="113" spans="1:8" x14ac:dyDescent="0.2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2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2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2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2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2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2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25">
      <c r="A120" t="s">
        <v>58</v>
      </c>
      <c r="B120" s="4"/>
      <c r="D120" s="12"/>
      <c r="E120" s="12"/>
    </row>
    <row r="121" spans="1:8" x14ac:dyDescent="0.2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2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2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2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2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2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25">
      <c r="B127" s="4" t="s">
        <v>124</v>
      </c>
      <c r="D127" s="12"/>
      <c r="E127" s="23">
        <f>((E126-D126)/D126)*100</f>
        <v>0.20167453548624176</v>
      </c>
    </row>
    <row r="128" spans="1:8" x14ac:dyDescent="0.25">
      <c r="A128" t="s">
        <v>39</v>
      </c>
      <c r="D128" s="12"/>
      <c r="E128" s="12"/>
    </row>
    <row r="129" spans="2:7" x14ac:dyDescent="0.2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2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2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2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25">
      <c r="B133" t="s">
        <v>170</v>
      </c>
      <c r="D133" s="12">
        <v>1</v>
      </c>
      <c r="E133" s="12">
        <v>1</v>
      </c>
    </row>
    <row r="134" spans="2:7" x14ac:dyDescent="0.2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2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2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2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2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2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2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2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2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2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2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25">
      <c r="D145" s="12"/>
      <c r="E145" s="12"/>
    </row>
    <row r="146" spans="1:14" x14ac:dyDescent="0.25">
      <c r="D146" s="12"/>
      <c r="E146" s="12"/>
    </row>
    <row r="147" spans="1:14" x14ac:dyDescent="0.2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2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25">
      <c r="A149" t="s">
        <v>182</v>
      </c>
      <c r="D149" s="12"/>
      <c r="E149" s="12"/>
      <c r="F149" t="s">
        <v>270</v>
      </c>
    </row>
    <row r="150" spans="1:14" x14ac:dyDescent="0.2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2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2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25">
      <c r="H153" s="3"/>
    </row>
    <row r="154" spans="1:14" x14ac:dyDescent="0.2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25">
      <c r="D155" s="15"/>
      <c r="E155" s="15"/>
    </row>
    <row r="156" spans="1:14" x14ac:dyDescent="0.2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2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2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2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GasTurbineCycle</vt:lpstr>
      <vt:lpstr>TF Main Iterations</vt:lpstr>
      <vt:lpstr>Fuels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Leonardo Valadez Ortiz</cp:lastModifiedBy>
  <cp:revision/>
  <dcterms:created xsi:type="dcterms:W3CDTF">2020-11-10T18:48:09Z</dcterms:created>
  <dcterms:modified xsi:type="dcterms:W3CDTF">2026-07-01T21:17:37Z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