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B7ACC5A0-4388-4074-B4E2-8FAC38295588}" xr6:coauthVersionLast="47" xr6:coauthVersionMax="47" xr10:uidLastSave="{00000000-0000-0000-0000-000000000000}"/>
  <bookViews>
    <workbookView xWindow="-110" yWindow="-110" windowWidth="19420" windowHeight="11500" tabRatio="832" firstSheet="3" activeTab="9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9" l="1"/>
  <c r="F35" i="19"/>
  <c r="F34" i="19"/>
  <c r="K203" i="15"/>
  <c r="J60" i="19"/>
  <c r="C39" i="19"/>
  <c r="M25" i="15"/>
  <c r="L26" i="19"/>
  <c r="L25" i="19"/>
  <c r="J61" i="19" s="1"/>
  <c r="U151" i="15" l="1"/>
  <c r="O151" i="15"/>
  <c r="M60" i="15"/>
  <c r="C28" i="19" l="1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<sst xmlns="http://schemas.openxmlformats.org/spreadsheetml/2006/main" count="2100" uniqueCount="1228">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</sst>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CDD49810-F82F-40C6-AF6E-F7B1443F76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4922DE73-FD01-4147-9ACE-77E39497AC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764FCCCE-D115-4296-B960-3401B2E606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F43B539-F865-479C-AD19-0A30C9C7DA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E502E8-E0AE-48B7-A723-6D47BA6843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185CA9-FC19-4B6D-9D80-8B7A79756D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184C6E3-1A07-4792-B8BF-606120DBFF8F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8B4E9CC7-CCBA-4E3C-88C0-607E7E9D64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5583B9D-7905-4E50-A388-D8B0F270C6FA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151E4862-61EF-487F-B824-84B17E23CBF2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2DC96BD9-D23D-43CB-B8EA-C2CC7D73435D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198370" y="27276352"/>
          <a:ext cx="5665616" cy="2654508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3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65171"/>
          <a:ext cx="6142538" cy="3651255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A135" zoomScale="61" zoomScaleNormal="85" workbookViewId="0">
      <selection activeCell="K45" sqref="K45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1225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1223</v>
      </c>
    </row>
    <row r="186" spans="2:5">
      <c r="B186" s="795" t="s">
        <v>774</v>
      </c>
      <c r="C186" s="143" t="s">
        <v>1224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9" zoomScaleNormal="100" workbookViewId="0">
      <selection activeCell="E39" sqref="E39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opLeftCell="A67" zoomScale="95" zoomScaleNormal="85" workbookViewId="0">
      <selection activeCell="P112" sqref="P112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10" zoomScaleNormal="100" workbookViewId="0">
      <selection activeCell="P14" sqref="P1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20" t="s">
        <v>1092</v>
      </c>
    </row>
    <row r="3" spans="2:15">
      <c r="B3" s="789" t="s">
        <v>1089</v>
      </c>
      <c r="C3" s="10">
        <f>dc</f>
        <v>31.08</v>
      </c>
      <c r="D3" s="789" t="s">
        <v>2</v>
      </c>
    </row>
    <row r="4" spans="2:15">
      <c r="B4" s="789" t="s">
        <v>1090</v>
      </c>
      <c r="C4" s="10">
        <f>dto</f>
        <v>10.171462348013772</v>
      </c>
      <c r="D4" s="789" t="s">
        <v>2</v>
      </c>
    </row>
    <row r="5" spans="2:15">
      <c r="B5" s="789" t="s">
        <v>1091</v>
      </c>
      <c r="C5" s="10">
        <f>'Nozzle Design'!C11</f>
        <v>21.576930002592544</v>
      </c>
      <c r="D5" s="789" t="s">
        <v>2</v>
      </c>
    </row>
    <row r="6" spans="2:15">
      <c r="B6" s="789" t="s">
        <v>1093</v>
      </c>
      <c r="C6" s="4">
        <f>etac*tothe</f>
        <v>1634</v>
      </c>
      <c r="D6" s="789" t="s">
        <v>73</v>
      </c>
    </row>
    <row r="7" spans="2:15">
      <c r="B7" s="789" t="s">
        <v>1093</v>
      </c>
      <c r="C7">
        <f>CONVERT(C6,"K","C")</f>
        <v>1360.85</v>
      </c>
      <c r="D7" s="789" t="s">
        <v>66</v>
      </c>
    </row>
    <row r="8" spans="2:15">
      <c r="B8" s="789" t="s">
        <v>1094</v>
      </c>
      <c r="C8" s="10">
        <f>pmax</f>
        <v>4.9969130252874665</v>
      </c>
      <c r="D8" s="789" t="s">
        <v>87</v>
      </c>
    </row>
    <row r="9" spans="2:15">
      <c r="B9" s="789" t="s">
        <v>1095</v>
      </c>
    </row>
    <row r="10" spans="2:15">
      <c r="B10" s="789" t="s">
        <v>1096</v>
      </c>
      <c r="E10" s="10">
        <f>C5/2</f>
        <v>10.788465001296272</v>
      </c>
    </row>
    <row r="11" spans="2:15">
      <c r="B11" s="789" t="s">
        <v>1097</v>
      </c>
    </row>
    <row r="12" spans="2:15">
      <c r="B12" s="789" t="s">
        <v>1102</v>
      </c>
      <c r="C12">
        <f>k2ph</f>
        <v>1.133</v>
      </c>
    </row>
    <row r="13" spans="2:15">
      <c r="B13" s="789" t="s">
        <v>1103</v>
      </c>
      <c r="C13" s="10">
        <f>mef</f>
        <v>2.5992897854448858</v>
      </c>
      <c r="D13" s="789" t="s">
        <v>64</v>
      </c>
    </row>
    <row r="14" spans="2:15">
      <c r="B14" s="789" t="s">
        <v>1105</v>
      </c>
      <c r="C14" s="10">
        <f>(C4-C3)/1</f>
        <v>-20.908537651986226</v>
      </c>
      <c r="D14" s="789"/>
      <c r="O14">
        <v>2</v>
      </c>
    </row>
    <row r="15" spans="2:1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1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abSelected="1" topLeftCell="A19" zoomScale="101" zoomScaleNormal="115" workbookViewId="0">
      <selection activeCell="C38" sqref="C38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M4</v>
      </c>
    </row>
    <row r="17" spans="2:13">
      <c r="B17" s="789" t="s">
        <v>1156</v>
      </c>
      <c r="C17">
        <v>4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1226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1218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1219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2.923838508883545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7">
      <c r="B33" s="789" t="s">
        <v>1142</v>
      </c>
      <c r="D33">
        <f>Sf_shearFailureBolts</f>
        <v>2.827013303247325</v>
      </c>
    </row>
    <row r="34" spans="2:7">
      <c r="F34">
        <f>4.48+3.05</f>
        <v>7.53</v>
      </c>
    </row>
    <row r="35" spans="2:7" ht="13">
      <c r="B35" s="789" t="s">
        <v>1143</v>
      </c>
      <c r="F35">
        <f>18.51-F34</f>
        <v>10.98</v>
      </c>
      <c r="G35" s="789" t="s">
        <v>1227</v>
      </c>
    </row>
    <row r="36" spans="2:7">
      <c r="B36" s="789" t="s">
        <v>1146</v>
      </c>
      <c r="C36">
        <f>(C6*C13)/C37</f>
        <v>1811.0986581204886</v>
      </c>
      <c r="D36" s="789" t="s">
        <v>1132</v>
      </c>
    </row>
    <row r="37" spans="2:7">
      <c r="B37" s="789" t="s">
        <v>1144</v>
      </c>
      <c r="C37">
        <v>4</v>
      </c>
    </row>
    <row r="38" spans="2:7" ht="13">
      <c r="B38" s="789" t="s">
        <v>1145</v>
      </c>
    </row>
    <row r="39" spans="2:7">
      <c r="B39" s="789" t="s">
        <v>1146</v>
      </c>
      <c r="C39">
        <f>(C7*C13)/C40</f>
        <v>947.74979816426503</v>
      </c>
      <c r="D39" s="789" t="s">
        <v>1133</v>
      </c>
    </row>
    <row r="40" spans="2:7">
      <c r="B40" s="789" t="s">
        <v>1144</v>
      </c>
      <c r="C40">
        <v>6</v>
      </c>
    </row>
    <row r="42" spans="2:7">
      <c r="B42" s="415" t="s">
        <v>1147</v>
      </c>
    </row>
    <row r="43" spans="2:7">
      <c r="B43" s="789" t="s">
        <v>1148</v>
      </c>
    </row>
    <row r="44" spans="2:7">
      <c r="B44" t="s">
        <v>1149</v>
      </c>
    </row>
    <row r="45" spans="2:7">
      <c r="B45" s="789" t="s">
        <v>1150</v>
      </c>
    </row>
    <row r="46" spans="2:7">
      <c r="B46" s="789" t="s">
        <v>1151</v>
      </c>
    </row>
    <row r="47" spans="2:7">
      <c r="B47" s="789" t="s">
        <v>1152</v>
      </c>
    </row>
    <row r="48" spans="2:7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4743.9035846297129</v>
      </c>
    </row>
    <row r="52" spans="2:11">
      <c r="B52" s="789" t="s">
        <v>1154</v>
      </c>
      <c r="C52" s="10">
        <f>IF(C56&lt;0.3,(1-0.9+3*C53*C56),1)</f>
        <v>0.19051465957832908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4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0.12068621277110546</v>
      </c>
    </row>
    <row r="57" spans="2:11">
      <c r="B57" s="789" t="s">
        <v>1137</v>
      </c>
      <c r="C57">
        <f>C51/C36</f>
        <v>2.6193512779435295</v>
      </c>
    </row>
    <row r="59" spans="2:11">
      <c r="B59" s="789" t="s">
        <v>1153</v>
      </c>
      <c r="I59" s="789" t="s">
        <v>1220</v>
      </c>
    </row>
    <row r="60" spans="2:11">
      <c r="B60" s="789" t="s">
        <v>1146</v>
      </c>
      <c r="C60">
        <f>0.32*C28*C17^2</f>
        <v>5120</v>
      </c>
      <c r="I60" s="789" t="s">
        <v>1146</v>
      </c>
      <c r="J60">
        <f>0.32*L26*C17^2</f>
        <v>5295.3599999999988</v>
      </c>
    </row>
    <row r="61" spans="2:11" ht="13">
      <c r="B61" s="789" t="s">
        <v>1137</v>
      </c>
      <c r="C61">
        <f>C60/C36</f>
        <v>2.827013303247325</v>
      </c>
      <c r="D61" s="720" t="s">
        <v>1165</v>
      </c>
      <c r="I61" s="789" t="s">
        <v>1222</v>
      </c>
      <c r="J61">
        <f>0.32*L25*C17^2</f>
        <v>4589.3119999999999</v>
      </c>
    </row>
    <row r="62" spans="2:11" ht="13">
      <c r="I62" s="789" t="s">
        <v>1137</v>
      </c>
      <c r="J62">
        <f>J60/C36</f>
        <v>2.923838508883545</v>
      </c>
      <c r="K62" s="720" t="s">
        <v>1165</v>
      </c>
    </row>
    <row r="63" spans="2:11">
      <c r="B63" s="789" t="s">
        <v>1162</v>
      </c>
      <c r="I63" s="789" t="s">
        <v>1221</v>
      </c>
      <c r="J63">
        <f>J61/C36</f>
        <v>2.5339933743657395</v>
      </c>
    </row>
    <row r="64" spans="2:11">
      <c r="B64" s="789" t="s">
        <v>1146</v>
      </c>
      <c r="C64" s="10">
        <f>MAX(C60,C51)</f>
        <v>5120</v>
      </c>
      <c r="D64" s="789" t="s">
        <v>1215</v>
      </c>
    </row>
    <row r="65" spans="2:4">
      <c r="B65" s="789" t="s">
        <v>1164</v>
      </c>
      <c r="C65" s="10">
        <f>(C64*SQRT(3))/(2*C23*C19)</f>
        <v>5.1896653410303433</v>
      </c>
      <c r="D65" s="789" t="s">
        <v>2</v>
      </c>
    </row>
    <row r="66" spans="2:4">
      <c r="B66" s="789" t="s">
        <v>1156</v>
      </c>
      <c r="C66" s="10">
        <f>C54</f>
        <v>4</v>
      </c>
      <c r="D66" s="789" t="s">
        <v>2</v>
      </c>
    </row>
    <row r="67" spans="2:4">
      <c r="B67" s="789" t="s">
        <v>1163</v>
      </c>
      <c r="C67">
        <f>C65/C66</f>
        <v>1.2974163352575858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M13" sqref="M13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2025-08-24T23:01:46Z</dcterms:modified>
</cp:coreProperties>
</file>