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0F5E3B6E-B6E6-478E-9F8F-FD9EBF10AB0D}" xr6:coauthVersionLast="47" xr6:coauthVersionMax="47" xr10:uidLastSave="{00000000-0000-0000-0000-000000000000}"/>
  <bookViews>
    <workbookView xWindow="-110" yWindow="-110" windowWidth="19420" windowHeight="11500" tabRatio="832" activeTab="2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51" i="15" l="1"/>
  <c r="O151" i="15"/>
  <c r="M60" i="15"/>
  <c r="G15" i="19" l="1"/>
  <c r="C28" i="19"/>
  <c r="D24" i="19"/>
  <c r="C27" i="19" l="1"/>
  <c r="C60" i="19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3" i="15"/>
  <c r="Q204" i="15"/>
  <c r="Q202" i="15"/>
  <c r="P203" i="15"/>
  <c r="P204" i="15"/>
  <c r="P202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U56" i="7" s="1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AJ19" i="7"/>
  <c r="C30" i="16"/>
  <c r="D40" i="16"/>
  <c r="R72" i="16"/>
  <c r="T72" i="16"/>
  <c r="P74" i="16"/>
  <c r="R11" i="7"/>
  <c r="S11" i="7" s="1"/>
  <c r="S72" i="16" l="1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2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P43" i="7" s="1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3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4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90" i="3"/>
  <c r="AI874" i="3"/>
  <c r="C17" i="3"/>
  <c r="AI865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5" i="3" l="1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C9" i="15" s="1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P21" i="7" l="1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U59" i="7" s="1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C466" i="16"/>
  <c r="C530" i="16"/>
  <c r="C459" i="16"/>
  <c r="C619" i="16"/>
  <c r="C417" i="16"/>
  <c r="C591" i="16"/>
  <c r="C655" i="16"/>
  <c r="C705" i="16"/>
  <c r="C268" i="16"/>
  <c r="C332" i="16"/>
  <c r="C396" i="16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C16" i="15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13" i="16"/>
  <c r="C164" i="16"/>
  <c r="C110" i="16"/>
  <c r="C100" i="16"/>
  <c r="E33" i="3"/>
  <c r="R32" i="3"/>
  <c r="D32" i="3"/>
  <c r="J32" i="3"/>
  <c r="T17" i="7"/>
  <c r="R18" i="7"/>
  <c r="AG17" i="7"/>
  <c r="AJ17" i="7"/>
  <c r="S17" i="7"/>
  <c r="AA17" i="7"/>
  <c r="AD17" i="7"/>
  <c r="X17" i="7"/>
  <c r="I75" i="16"/>
  <c r="S31" i="3" l="1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Q76" i="16" s="1"/>
  <c r="L75" i="16"/>
  <c r="Q75" i="16"/>
  <c r="C493" i="16"/>
  <c r="T75" i="16"/>
  <c r="J75" i="16"/>
  <c r="K76" i="16" s="1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502" i="16"/>
  <c r="O638" i="16"/>
  <c r="O263" i="16"/>
  <c r="O391" i="16"/>
  <c r="O519" i="16"/>
  <c r="O647" i="16"/>
  <c r="O272" i="16"/>
  <c r="O400" i="16"/>
  <c r="O528" i="16"/>
  <c r="O656" i="16"/>
  <c r="O289" i="16"/>
  <c r="O554" i="16"/>
  <c r="O682" i="16"/>
  <c r="O315" i="16"/>
  <c r="O443" i="16"/>
  <c r="O571" i="16"/>
  <c r="O699" i="16"/>
  <c r="O676" i="16"/>
  <c r="O236" i="16"/>
  <c r="O269" i="16"/>
  <c r="O276" i="16"/>
  <c r="O277" i="16"/>
  <c r="X38" i="7"/>
  <c r="R39" i="7"/>
  <c r="T38" i="7"/>
  <c r="S38" i="7"/>
  <c r="AD38" i="7"/>
  <c r="AJ38" i="7"/>
  <c r="AG38" i="7"/>
  <c r="AA38" i="7"/>
  <c r="U22" i="7"/>
  <c r="P36" i="7"/>
  <c r="F76" i="16"/>
  <c r="P76" i="16"/>
  <c r="I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40" i="16"/>
  <c r="O84" i="16"/>
  <c r="O96" i="16"/>
  <c r="O139" i="16"/>
  <c r="O161" i="16"/>
  <c r="O166" i="16"/>
  <c r="O124" i="16"/>
  <c r="O172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P16" i="7" l="1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Q77" i="16" s="1"/>
  <c r="U18" i="7"/>
  <c r="J76" i="16"/>
  <c r="J77" i="16" s="1"/>
  <c r="L76" i="16"/>
  <c r="L77" i="16" s="1"/>
  <c r="M48" i="15"/>
  <c r="M49" i="15"/>
  <c r="O510" i="16"/>
  <c r="O446" i="16"/>
  <c r="O382" i="16"/>
  <c r="O318" i="16"/>
  <c r="S76" i="16"/>
  <c r="F77" i="16"/>
  <c r="P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O18" i="7" l="1"/>
  <c r="N18" i="7"/>
  <c r="I77" i="16"/>
  <c r="H78" i="16" s="1"/>
  <c r="R77" i="16"/>
  <c r="K77" i="16"/>
  <c r="K78" i="16" s="1"/>
  <c r="L79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R78" i="16" s="1"/>
  <c r="Q79" i="16" s="1"/>
  <c r="I78" i="16"/>
  <c r="Q78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P79" i="16" l="1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L80" i="16" s="1"/>
  <c r="I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79" i="16" l="1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S80" i="16" l="1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/>
  <c r="H91" i="16"/>
  <c r="U52" i="7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Q91" i="16" l="1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I95" i="16" s="1"/>
  <c r="Q93" i="16"/>
  <c r="R94" i="16" s="1"/>
  <c r="S95" i="16" s="1"/>
  <c r="T96" i="16" s="1"/>
  <c r="P93" i="16"/>
  <c r="L96" i="16"/>
  <c r="J96" i="16"/>
  <c r="K96" i="16"/>
  <c r="F94" i="16"/>
  <c r="B68" i="18"/>
  <c r="C67" i="18"/>
  <c r="U55" i="7"/>
  <c r="U78" i="7"/>
  <c r="G94" i="16"/>
  <c r="H95" i="16" s="1"/>
  <c r="I96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Q94" i="16" l="1"/>
  <c r="R95" i="16" s="1"/>
  <c r="S96" i="16" s="1"/>
  <c r="T97" i="16" s="1"/>
  <c r="P94" i="16"/>
  <c r="L97" i="16"/>
  <c r="J97" i="16"/>
  <c r="K97" i="16"/>
  <c r="F95" i="16"/>
  <c r="B69" i="18"/>
  <c r="C68" i="18"/>
  <c r="U79" i="7"/>
  <c r="G95" i="16"/>
  <c r="H96" i="16" s="1"/>
  <c r="I97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Q95" i="16" l="1"/>
  <c r="R96" i="16" s="1"/>
  <c r="S97" i="16" s="1"/>
  <c r="T98" i="16" s="1"/>
  <c r="P95" i="16"/>
  <c r="L98" i="16"/>
  <c r="F96" i="16"/>
  <c r="J98" i="16"/>
  <c r="K98" i="16"/>
  <c r="L99" i="16" s="1"/>
  <c r="B70" i="18"/>
  <c r="C69" i="18"/>
  <c r="G96" i="16"/>
  <c r="H97" i="16" s="1"/>
  <c r="I98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P96" i="16" l="1"/>
  <c r="Q96" i="16"/>
  <c r="R97" i="16" s="1"/>
  <c r="S98" i="16" s="1"/>
  <c r="T99" i="16" s="1"/>
  <c r="J99" i="16"/>
  <c r="F97" i="16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Q97" i="16" l="1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I100" i="16" s="1"/>
  <c r="J101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F99" i="16" l="1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P99" i="16" l="1"/>
  <c r="Q99" i="16"/>
  <c r="R100" i="16" s="1"/>
  <c r="S101" i="16" s="1"/>
  <c r="T102" i="16" s="1"/>
  <c r="J102" i="16"/>
  <c r="K102" i="16"/>
  <c r="L103" i="16" s="1"/>
  <c r="G100" i="16"/>
  <c r="H101" i="16" s="1"/>
  <c r="I102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Q100" i="16" l="1"/>
  <c r="R101" i="16" s="1"/>
  <c r="S102" i="16" s="1"/>
  <c r="T103" i="16" s="1"/>
  <c r="P100" i="16"/>
  <c r="J103" i="16"/>
  <c r="F101" i="16"/>
  <c r="K103" i="16"/>
  <c r="L104" i="16" s="1"/>
  <c r="G101" i="16"/>
  <c r="H102" i="16" s="1"/>
  <c r="I103" i="16" s="1"/>
  <c r="J104" i="16" s="1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P101" i="16" l="1"/>
  <c r="Q101" i="16"/>
  <c r="R102" i="16" s="1"/>
  <c r="S103" i="16" s="1"/>
  <c r="T104" i="16" s="1"/>
  <c r="K104" i="16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P102" i="16" l="1"/>
  <c r="Q102" i="16"/>
  <c r="R103" i="16" s="1"/>
  <c r="S104" i="16" s="1"/>
  <c r="T105" i="16" s="1"/>
  <c r="F103" i="16"/>
  <c r="K105" i="16"/>
  <c r="L106" i="16" s="1"/>
  <c r="G103" i="16"/>
  <c r="H104" i="16" s="1"/>
  <c r="I105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Q103" i="16" l="1"/>
  <c r="R104" i="16" s="1"/>
  <c r="S105" i="16" s="1"/>
  <c r="T106" i="16" s="1"/>
  <c r="P103" i="16"/>
  <c r="J106" i="16"/>
  <c r="K106" i="16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Q104" i="16" l="1"/>
  <c r="R105" i="16" s="1"/>
  <c r="S106" i="16" s="1"/>
  <c r="T107" i="16" s="1"/>
  <c r="P104" i="16"/>
  <c r="K107" i="16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P105" i="16" l="1"/>
  <c r="Q105" i="16"/>
  <c r="R106" i="16" s="1"/>
  <c r="S107" i="16" s="1"/>
  <c r="T108" i="16" s="1"/>
  <c r="F106" i="16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P106" i="16" l="1"/>
  <c r="Q106" i="16"/>
  <c r="R107" i="16" s="1"/>
  <c r="S108" i="16" s="1"/>
  <c r="T109" i="16" s="1"/>
  <c r="K109" i="16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Q107" i="16" l="1"/>
  <c r="R108" i="16" s="1"/>
  <c r="S109" i="16" s="1"/>
  <c r="T110" i="16" s="1"/>
  <c r="P107" i="16"/>
  <c r="K110" i="16"/>
  <c r="L111" i="16" s="1"/>
  <c r="F108" i="16"/>
  <c r="G108" i="16"/>
  <c r="H109" i="16" s="1"/>
  <c r="I110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P108" i="16" l="1"/>
  <c r="Q108" i="16"/>
  <c r="R109" i="16" s="1"/>
  <c r="S110" i="16" s="1"/>
  <c r="T111" i="16" s="1"/>
  <c r="J111" i="16"/>
  <c r="K111" i="16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Q109" i="16" l="1"/>
  <c r="R110" i="16" s="1"/>
  <c r="S111" i="16" s="1"/>
  <c r="T112" i="16" s="1"/>
  <c r="P109" i="16"/>
  <c r="K112" i="16"/>
  <c r="L113" i="16" s="1"/>
  <c r="F110" i="16"/>
  <c r="G110" i="16"/>
  <c r="H111" i="16" s="1"/>
  <c r="I112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0" i="16" l="1"/>
  <c r="Q110" i="16"/>
  <c r="R111" i="16" s="1"/>
  <c r="S112" i="16" s="1"/>
  <c r="T113" i="16" s="1"/>
  <c r="J113" i="16"/>
  <c r="K113" i="16"/>
  <c r="L114" i="16" s="1"/>
  <c r="F111" i="16"/>
  <c r="G111" i="16"/>
  <c r="H112" i="16" s="1"/>
  <c r="I113" i="16" s="1"/>
  <c r="J114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P111" i="16" l="1"/>
  <c r="Q111" i="16"/>
  <c r="R112" i="16" s="1"/>
  <c r="S113" i="16" s="1"/>
  <c r="T114" i="16" s="1"/>
  <c r="F112" i="16"/>
  <c r="K114" i="16"/>
  <c r="L115" i="16" s="1"/>
  <c r="G112" i="16"/>
  <c r="H113" i="16" s="1"/>
  <c r="I114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P112" i="16" l="1"/>
  <c r="Q112" i="16"/>
  <c r="R113" i="16" s="1"/>
  <c r="S114" i="16" s="1"/>
  <c r="T115" i="16" s="1"/>
  <c r="F113" i="16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Q113" i="16" l="1"/>
  <c r="R114" i="16" s="1"/>
  <c r="S115" i="16" s="1"/>
  <c r="T116" i="16" s="1"/>
  <c r="P113" i="16"/>
  <c r="F114" i="16"/>
  <c r="K116" i="16"/>
  <c r="L117" i="16" s="1"/>
  <c r="G114" i="16"/>
  <c r="H115" i="16" s="1"/>
  <c r="I116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Q114" i="16" l="1"/>
  <c r="R115" i="16" s="1"/>
  <c r="S116" i="16" s="1"/>
  <c r="T117" i="16" s="1"/>
  <c r="P114" i="16"/>
  <c r="J117" i="16"/>
  <c r="K117" i="16"/>
  <c r="L118" i="16" s="1"/>
  <c r="G115" i="16"/>
  <c r="H116" i="16" s="1"/>
  <c r="I117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Q115" i="16" l="1"/>
  <c r="R116" i="16" s="1"/>
  <c r="S117" i="16" s="1"/>
  <c r="T118" i="16" s="1"/>
  <c r="P115" i="16"/>
  <c r="J118" i="16"/>
  <c r="K118" i="16"/>
  <c r="L119" i="16" s="1"/>
  <c r="G116" i="16"/>
  <c r="H117" i="16" s="1"/>
  <c r="I118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P116" i="16" l="1"/>
  <c r="Q116" i="16"/>
  <c r="R117" i="16" s="1"/>
  <c r="S118" i="16" s="1"/>
  <c r="T119" i="16" s="1"/>
  <c r="J119" i="16"/>
  <c r="K119" i="16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7" i="16" l="1"/>
  <c r="Q117" i="16"/>
  <c r="R118" i="16" s="1"/>
  <c r="S119" i="16" s="1"/>
  <c r="T120" i="16" s="1"/>
  <c r="F118" i="16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P118" i="16" l="1"/>
  <c r="Q118" i="16"/>
  <c r="R119" i="16" s="1"/>
  <c r="S120" i="16" s="1"/>
  <c r="T121" i="16" s="1"/>
  <c r="F119" i="16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Q119" i="16" l="1"/>
  <c r="R120" i="16" s="1"/>
  <c r="S121" i="16" s="1"/>
  <c r="T122" i="16" s="1"/>
  <c r="P119" i="16"/>
  <c r="F120" i="16"/>
  <c r="J122" i="16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P120" i="16" l="1"/>
  <c r="Q120" i="16"/>
  <c r="R121" i="16" s="1"/>
  <c r="S122" i="16" s="1"/>
  <c r="T123" i="16" s="1"/>
  <c r="J123" i="16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Q121" i="16" l="1"/>
  <c r="R122" i="16" s="1"/>
  <c r="S123" i="16" s="1"/>
  <c r="T124" i="16" s="1"/>
  <c r="P121" i="16"/>
  <c r="K124" i="16"/>
  <c r="L125" i="16" s="1"/>
  <c r="F122" i="16"/>
  <c r="G122" i="16"/>
  <c r="H123" i="16" s="1"/>
  <c r="I124" i="16" s="1"/>
  <c r="E80" i="3"/>
  <c r="D79" i="3"/>
  <c r="J79" i="3"/>
  <c r="R79" i="3"/>
  <c r="F82" i="3"/>
  <c r="K95" i="2"/>
  <c r="E122" i="16"/>
  <c r="D122" i="16"/>
  <c r="S78" i="3"/>
  <c r="T78" i="3" s="1"/>
  <c r="U78" i="3"/>
  <c r="Q122" i="16" l="1"/>
  <c r="R123" i="16" s="1"/>
  <c r="S124" i="16" s="1"/>
  <c r="T125" i="16" s="1"/>
  <c r="P122" i="16"/>
  <c r="J125" i="16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3" i="16" l="1"/>
  <c r="R124" i="16" s="1"/>
  <c r="S125" i="16" s="1"/>
  <c r="T126" i="16" s="1"/>
  <c r="P123" i="16"/>
  <c r="K126" i="16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P124" i="16" l="1"/>
  <c r="Q124" i="16"/>
  <c r="R125" i="16" s="1"/>
  <c r="S126" i="16" s="1"/>
  <c r="T127" i="16" s="1"/>
  <c r="F125" i="16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5" i="16" l="1"/>
  <c r="Q125" i="16"/>
  <c r="R126" i="16" s="1"/>
  <c r="S127" i="16" s="1"/>
  <c r="T128" i="16" s="1"/>
  <c r="J128" i="16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P126" i="16" l="1"/>
  <c r="Q126" i="16"/>
  <c r="R127" i="16" s="1"/>
  <c r="S128" i="16" s="1"/>
  <c r="T129" i="16" s="1"/>
  <c r="J129" i="16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Q127" i="16" l="1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P128" i="16" l="1"/>
  <c r="Q128" i="16"/>
  <c r="R129" i="16" s="1"/>
  <c r="S130" i="16" s="1"/>
  <c r="T131" i="16" s="1"/>
  <c r="F129" i="16"/>
  <c r="K131" i="16"/>
  <c r="L132" i="16" s="1"/>
  <c r="G129" i="16"/>
  <c r="H130" i="16" s="1"/>
  <c r="I131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P129" i="16" l="1"/>
  <c r="Q129" i="16"/>
  <c r="R130" i="16" s="1"/>
  <c r="S131" i="16" s="1"/>
  <c r="T132" i="16" s="1"/>
  <c r="F130" i="16"/>
  <c r="J132" i="16"/>
  <c r="K132" i="16"/>
  <c r="L133" i="16" s="1"/>
  <c r="G130" i="16"/>
  <c r="H131" i="16" s="1"/>
  <c r="I132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Q130" i="16" l="1"/>
  <c r="R131" i="16" s="1"/>
  <c r="S132" i="16" s="1"/>
  <c r="T133" i="16" s="1"/>
  <c r="P130" i="16"/>
  <c r="J133" i="16"/>
  <c r="K133" i="16"/>
  <c r="L134" i="16" s="1"/>
  <c r="G131" i="16"/>
  <c r="H132" i="16" s="1"/>
  <c r="I133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P131" i="16" l="1"/>
  <c r="Q131" i="16"/>
  <c r="R132" i="16" s="1"/>
  <c r="S133" i="16" s="1"/>
  <c r="T134" i="16" s="1"/>
  <c r="J134" i="16"/>
  <c r="K134" i="16"/>
  <c r="L135" i="16" s="1"/>
  <c r="G132" i="16"/>
  <c r="H133" i="16" s="1"/>
  <c r="I134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P132" i="16" l="1"/>
  <c r="Q132" i="16"/>
  <c r="R133" i="16" s="1"/>
  <c r="S134" i="16" s="1"/>
  <c r="T135" i="16" s="1"/>
  <c r="J135" i="16"/>
  <c r="F133" i="16"/>
  <c r="K135" i="16"/>
  <c r="L136" i="16" s="1"/>
  <c r="G133" i="16"/>
  <c r="H134" i="16" s="1"/>
  <c r="I135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P133" i="16" l="1"/>
  <c r="Q133" i="16"/>
  <c r="R134" i="16" s="1"/>
  <c r="S135" i="16" s="1"/>
  <c r="T136" i="16" s="1"/>
  <c r="F134" i="16"/>
  <c r="J136" i="16"/>
  <c r="K136" i="16"/>
  <c r="L137" i="16" s="1"/>
  <c r="G134" i="16"/>
  <c r="H135" i="16" s="1"/>
  <c r="I136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Q134" i="16" l="1"/>
  <c r="R135" i="16" s="1"/>
  <c r="S136" i="16" s="1"/>
  <c r="T137" i="16" s="1"/>
  <c r="P134" i="16"/>
  <c r="F135" i="16"/>
  <c r="J137" i="16"/>
  <c r="K137" i="16"/>
  <c r="L138" i="16" s="1"/>
  <c r="G135" i="16"/>
  <c r="H136" i="16" s="1"/>
  <c r="I137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J138" i="16" l="1"/>
  <c r="P135" i="16"/>
  <c r="Q135" i="16"/>
  <c r="R136" i="16" s="1"/>
  <c r="S137" i="16" s="1"/>
  <c r="T138" i="16" s="1"/>
  <c r="K138" i="16"/>
  <c r="L139" i="16" s="1"/>
  <c r="G136" i="16"/>
  <c r="H137" i="16" s="1"/>
  <c r="I138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P136" i="16" l="1"/>
  <c r="Q136" i="16"/>
  <c r="R137" i="16" s="1"/>
  <c r="S138" i="16" s="1"/>
  <c r="T139" i="16" s="1"/>
  <c r="J139" i="16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Q137" i="16" l="1"/>
  <c r="R138" i="16" s="1"/>
  <c r="S139" i="16" s="1"/>
  <c r="T140" i="16" s="1"/>
  <c r="P137" i="16"/>
  <c r="F138" i="16"/>
  <c r="J140" i="16"/>
  <c r="K140" i="16"/>
  <c r="L141" i="16" s="1"/>
  <c r="G138" i="16"/>
  <c r="H139" i="16" s="1"/>
  <c r="I140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Q138" i="16" l="1"/>
  <c r="R139" i="16" s="1"/>
  <c r="S140" i="16" s="1"/>
  <c r="T141" i="16" s="1"/>
  <c r="P138" i="16"/>
  <c r="J141" i="16"/>
  <c r="K141" i="16"/>
  <c r="L142" i="16" s="1"/>
  <c r="G139" i="16"/>
  <c r="H140" i="16" s="1"/>
  <c r="I141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P139" i="16" l="1"/>
  <c r="Q139" i="16"/>
  <c r="R140" i="16" s="1"/>
  <c r="S141" i="16" s="1"/>
  <c r="T142" i="16" s="1"/>
  <c r="F140" i="16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P140" i="16" l="1"/>
  <c r="Q140" i="16"/>
  <c r="R141" i="16" s="1"/>
  <c r="S142" i="16" s="1"/>
  <c r="T143" i="16" s="1"/>
  <c r="F141" i="16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P141" i="16" l="1"/>
  <c r="Q141" i="16"/>
  <c r="R142" i="16" s="1"/>
  <c r="S143" i="16" s="1"/>
  <c r="T144" i="16" s="1"/>
  <c r="F142" i="16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F143" i="16" l="1"/>
  <c r="Q142" i="16"/>
  <c r="R143" i="16" s="1"/>
  <c r="S144" i="16" s="1"/>
  <c r="T145" i="16" s="1"/>
  <c r="P142" i="16"/>
  <c r="K145" i="16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P143" i="16" l="1"/>
  <c r="Q143" i="16"/>
  <c r="R144" i="16" s="1"/>
  <c r="S145" i="16" s="1"/>
  <c r="T146" i="16" s="1"/>
  <c r="F144" i="16"/>
  <c r="K146" i="16"/>
  <c r="L147" i="16" s="1"/>
  <c r="G144" i="16"/>
  <c r="H145" i="16" s="1"/>
  <c r="I146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Q144" i="16" l="1"/>
  <c r="R145" i="16" s="1"/>
  <c r="S146" i="16" s="1"/>
  <c r="T147" i="16" s="1"/>
  <c r="P144" i="16"/>
  <c r="J147" i="16"/>
  <c r="F145" i="16"/>
  <c r="K147" i="16"/>
  <c r="L148" i="16" s="1"/>
  <c r="G145" i="16"/>
  <c r="H146" i="16" s="1"/>
  <c r="I147" i="16" s="1"/>
  <c r="J148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P145" i="16" l="1"/>
  <c r="Q145" i="16"/>
  <c r="R146" i="16" s="1"/>
  <c r="S147" i="16" s="1"/>
  <c r="T148" i="16" s="1"/>
  <c r="F146" i="16"/>
  <c r="K148" i="16"/>
  <c r="L149" i="16" s="1"/>
  <c r="G146" i="16"/>
  <c r="H147" i="16" s="1"/>
  <c r="I148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Q146" i="16" l="1"/>
  <c r="R147" i="16" s="1"/>
  <c r="S148" i="16" s="1"/>
  <c r="T149" i="16" s="1"/>
  <c r="P146" i="16"/>
  <c r="J149" i="16"/>
  <c r="F147" i="16"/>
  <c r="K149" i="16"/>
  <c r="L150" i="16" s="1"/>
  <c r="G147" i="16"/>
  <c r="H148" i="16" s="1"/>
  <c r="I149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J150" i="16" l="1"/>
  <c r="P147" i="16"/>
  <c r="Q147" i="16"/>
  <c r="R148" i="16" s="1"/>
  <c r="S149" i="16" s="1"/>
  <c r="T150" i="16" s="1"/>
  <c r="F148" i="16"/>
  <c r="K150" i="16"/>
  <c r="L151" i="16" s="1"/>
  <c r="G148" i="16"/>
  <c r="H149" i="16" s="1"/>
  <c r="I150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P148" i="16" l="1"/>
  <c r="Q148" i="16"/>
  <c r="R149" i="16" s="1"/>
  <c r="S150" i="16" s="1"/>
  <c r="T151" i="16" s="1"/>
  <c r="J151" i="16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F150" i="16" l="1"/>
  <c r="Q149" i="16"/>
  <c r="R150" i="16" s="1"/>
  <c r="S151" i="16" s="1"/>
  <c r="T152" i="16" s="1"/>
  <c r="P149" i="16"/>
  <c r="J152" i="16"/>
  <c r="K152" i="16"/>
  <c r="L153" i="16" s="1"/>
  <c r="G150" i="16"/>
  <c r="H151" i="16" s="1"/>
  <c r="I152" i="16" s="1"/>
  <c r="J153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P150" i="16" l="1"/>
  <c r="Q150" i="16"/>
  <c r="R151" i="16" s="1"/>
  <c r="S152" i="16" s="1"/>
  <c r="T153" i="16" s="1"/>
  <c r="F151" i="16"/>
  <c r="K153" i="16"/>
  <c r="L154" i="16" s="1"/>
  <c r="G151" i="16"/>
  <c r="H152" i="16" s="1"/>
  <c r="I153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P151" i="16" l="1"/>
  <c r="Q151" i="16"/>
  <c r="R152" i="16" s="1"/>
  <c r="S153" i="16" s="1"/>
  <c r="T154" i="16" s="1"/>
  <c r="J154" i="16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P152" i="16" l="1"/>
  <c r="Q152" i="16"/>
  <c r="R153" i="16" s="1"/>
  <c r="S154" i="16" s="1"/>
  <c r="T155" i="16" s="1"/>
  <c r="F153" i="16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F154" i="16" l="1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56" i="16" s="1"/>
  <c r="J157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F155" i="16" l="1"/>
  <c r="Q154" i="16"/>
  <c r="R155" i="16" s="1"/>
  <c r="S156" i="16" s="1"/>
  <c r="T157" i="16" s="1"/>
  <c r="P154" i="16"/>
  <c r="K157" i="16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5" i="16" l="1"/>
  <c r="R156" i="16" s="1"/>
  <c r="S157" i="16" s="1"/>
  <c r="T158" i="16" s="1"/>
  <c r="P155" i="16"/>
  <c r="K158" i="16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P156" i="16" l="1"/>
  <c r="Q156" i="16"/>
  <c r="R157" i="16" s="1"/>
  <c r="S158" i="16" s="1"/>
  <c r="T159" i="16" s="1"/>
  <c r="K159" i="16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Q157" i="16" l="1"/>
  <c r="R158" i="16" s="1"/>
  <c r="S159" i="16" s="1"/>
  <c r="T160" i="16" s="1"/>
  <c r="P157" i="16"/>
  <c r="J160" i="16"/>
  <c r="K160" i="16"/>
  <c r="L161" i="16" s="1"/>
  <c r="G158" i="16"/>
  <c r="H159" i="16" s="1"/>
  <c r="I160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P158" i="16" l="1"/>
  <c r="Q158" i="16"/>
  <c r="R159" i="16" s="1"/>
  <c r="S160" i="16" s="1"/>
  <c r="T161" i="16" s="1"/>
  <c r="J161" i="16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P159" i="16" l="1"/>
  <c r="Q159" i="16"/>
  <c r="R160" i="16" s="1"/>
  <c r="S161" i="16" s="1"/>
  <c r="T162" i="16" s="1"/>
  <c r="F160" i="16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0" i="16" l="1"/>
  <c r="R161" i="16" s="1"/>
  <c r="S162" i="16" s="1"/>
  <c r="T163" i="16" s="1"/>
  <c r="P160" i="16"/>
  <c r="K163" i="16"/>
  <c r="L164" i="16" s="1"/>
  <c r="F161" i="16"/>
  <c r="G161" i="16"/>
  <c r="H162" i="16" s="1"/>
  <c r="I163" i="16" s="1"/>
  <c r="J164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P161" i="16" l="1"/>
  <c r="Q161" i="16"/>
  <c r="R162" i="16" s="1"/>
  <c r="S163" i="16" s="1"/>
  <c r="T164" i="16" s="1"/>
  <c r="K164" i="16"/>
  <c r="L165" i="16" s="1"/>
  <c r="G162" i="16"/>
  <c r="H163" i="16" s="1"/>
  <c r="I164" i="16" s="1"/>
  <c r="J165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F163" i="16" l="1"/>
  <c r="P162" i="16"/>
  <c r="Q162" i="16"/>
  <c r="R163" i="16" s="1"/>
  <c r="S164" i="16" s="1"/>
  <c r="T165" i="16" s="1"/>
  <c r="K165" i="16"/>
  <c r="L166" i="16" s="1"/>
  <c r="G163" i="16"/>
  <c r="H164" i="16" s="1"/>
  <c r="I165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3" i="16" l="1"/>
  <c r="R164" i="16" s="1"/>
  <c r="S165" i="16" s="1"/>
  <c r="T166" i="16" s="1"/>
  <c r="P163" i="16"/>
  <c r="J166" i="16"/>
  <c r="K166" i="16"/>
  <c r="L167" i="16" s="1"/>
  <c r="F164" i="16"/>
  <c r="G164" i="16"/>
  <c r="H165" i="16" s="1"/>
  <c r="I166" i="16" s="1"/>
  <c r="J167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Q164" i="16" l="1"/>
  <c r="R165" i="16" s="1"/>
  <c r="S166" i="16" s="1"/>
  <c r="T167" i="16" s="1"/>
  <c r="P164" i="16"/>
  <c r="F165" i="16"/>
  <c r="K167" i="16"/>
  <c r="L168" i="16" s="1"/>
  <c r="G165" i="16"/>
  <c r="H166" i="16" s="1"/>
  <c r="I167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F166" i="16" l="1"/>
  <c r="P165" i="16"/>
  <c r="Q165" i="16"/>
  <c r="R166" i="16" s="1"/>
  <c r="S167" i="16" s="1"/>
  <c r="T168" i="16" s="1"/>
  <c r="J168" i="16"/>
  <c r="K168" i="16"/>
  <c r="L169" i="16" s="1"/>
  <c r="G166" i="16"/>
  <c r="H167" i="16" s="1"/>
  <c r="I168" i="16" s="1"/>
  <c r="J169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P166" i="16" l="1"/>
  <c r="Q166" i="16"/>
  <c r="R167" i="16" s="1"/>
  <c r="S168" i="16" s="1"/>
  <c r="T169" i="16" s="1"/>
  <c r="K169" i="16"/>
  <c r="L170" i="16" s="1"/>
  <c r="G167" i="16"/>
  <c r="H168" i="16" s="1"/>
  <c r="I169" i="16" s="1"/>
  <c r="J170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Q167" i="16" l="1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Q168" i="16" l="1"/>
  <c r="R169" i="16" s="1"/>
  <c r="S170" i="16" s="1"/>
  <c r="T171" i="16" s="1"/>
  <c r="P168" i="16"/>
  <c r="K171" i="16"/>
  <c r="L172" i="16" s="1"/>
  <c r="F169" i="16"/>
  <c r="G169" i="16"/>
  <c r="H170" i="16" s="1"/>
  <c r="I171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P169" i="16" l="1"/>
  <c r="Q169" i="16"/>
  <c r="R170" i="16" s="1"/>
  <c r="S171" i="16" s="1"/>
  <c r="T172" i="16" s="1"/>
  <c r="J172" i="16"/>
  <c r="K172" i="16"/>
  <c r="L173" i="16" s="1"/>
  <c r="F170" i="16"/>
  <c r="G170" i="16"/>
  <c r="H171" i="16" s="1"/>
  <c r="I172" i="16" s="1"/>
  <c r="J173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F171" i="16" l="1"/>
  <c r="P170" i="16"/>
  <c r="Q170" i="16"/>
  <c r="R171" i="16" s="1"/>
  <c r="S172" i="16" s="1"/>
  <c r="T173" i="16" s="1"/>
  <c r="K173" i="16"/>
  <c r="L174" i="16" s="1"/>
  <c r="G171" i="16"/>
  <c r="H172" i="16" s="1"/>
  <c r="I173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F172" i="16" l="1"/>
  <c r="P171" i="16"/>
  <c r="Q171" i="16"/>
  <c r="R172" i="16" s="1"/>
  <c r="S173" i="16" s="1"/>
  <c r="T174" i="16" s="1"/>
  <c r="J174" i="16"/>
  <c r="K174" i="16"/>
  <c r="L175" i="16" s="1"/>
  <c r="G172" i="16"/>
  <c r="H173" i="16" s="1"/>
  <c r="I174" i="16" s="1"/>
  <c r="J175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P172" i="16" l="1"/>
  <c r="Q172" i="16"/>
  <c r="R173" i="16" s="1"/>
  <c r="S174" i="16" s="1"/>
  <c r="T175" i="16" s="1"/>
  <c r="K175" i="16"/>
  <c r="L176" i="16" s="1"/>
  <c r="F173" i="16"/>
  <c r="G173" i="16"/>
  <c r="H174" i="16" s="1"/>
  <c r="I175" i="16" s="1"/>
  <c r="J176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F174" i="16" l="1"/>
  <c r="Q173" i="16"/>
  <c r="R174" i="16" s="1"/>
  <c r="S175" i="16" s="1"/>
  <c r="T176" i="16" s="1"/>
  <c r="P173" i="16"/>
  <c r="K176" i="16"/>
  <c r="L177" i="16" s="1"/>
  <c r="G174" i="16"/>
  <c r="H175" i="16" s="1"/>
  <c r="I176" i="16" s="1"/>
  <c r="J177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F175" i="16" l="1"/>
  <c r="P174" i="16"/>
  <c r="Q174" i="16"/>
  <c r="R175" i="16" s="1"/>
  <c r="S176" i="16" s="1"/>
  <c r="T177" i="16" s="1"/>
  <c r="K177" i="16"/>
  <c r="L178" i="16" s="1"/>
  <c r="G175" i="16"/>
  <c r="H176" i="16" s="1"/>
  <c r="I177" i="16" s="1"/>
  <c r="J178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P175" i="16" l="1"/>
  <c r="Q175" i="16"/>
  <c r="R176" i="16" s="1"/>
  <c r="S177" i="16" s="1"/>
  <c r="T178" i="16" s="1"/>
  <c r="K178" i="16"/>
  <c r="L179" i="16" s="1"/>
  <c r="F176" i="16"/>
  <c r="L39" i="4"/>
  <c r="G176" i="16"/>
  <c r="H177" i="16" s="1"/>
  <c r="I178" i="16" s="1"/>
  <c r="J179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P176" i="16" l="1"/>
  <c r="Q176" i="16"/>
  <c r="R177" i="16" s="1"/>
  <c r="S178" i="16" s="1"/>
  <c r="T179" i="16" s="1"/>
  <c r="K179" i="16"/>
  <c r="L180" i="16" s="1"/>
  <c r="F177" i="16"/>
  <c r="G177" i="16"/>
  <c r="H178" i="16" s="1"/>
  <c r="I179" i="16" s="1"/>
  <c r="J180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K180" i="16" l="1"/>
  <c r="L181" i="16" s="1"/>
  <c r="P177" i="16"/>
  <c r="Q177" i="16"/>
  <c r="R178" i="16" s="1"/>
  <c r="S179" i="16" s="1"/>
  <c r="T180" i="16" s="1"/>
  <c r="F178" i="16"/>
  <c r="G178" i="16"/>
  <c r="H179" i="16" s="1"/>
  <c r="I180" i="16" s="1"/>
  <c r="J181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P178" i="16" l="1"/>
  <c r="Q178" i="16"/>
  <c r="R179" i="16" s="1"/>
  <c r="S180" i="16" s="1"/>
  <c r="T181" i="16" s="1"/>
  <c r="K181" i="16"/>
  <c r="L182" i="16" s="1"/>
  <c r="F179" i="16"/>
  <c r="G179" i="16"/>
  <c r="H180" i="16" s="1"/>
  <c r="I181" i="16" s="1"/>
  <c r="J182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Q179" i="16" l="1"/>
  <c r="R180" i="16" s="1"/>
  <c r="S181" i="16" s="1"/>
  <c r="T182" i="16" s="1"/>
  <c r="P179" i="16"/>
  <c r="K182" i="16"/>
  <c r="L183" i="16" s="1"/>
  <c r="F180" i="16"/>
  <c r="G180" i="16"/>
  <c r="H181" i="16" s="1"/>
  <c r="I182" i="16" s="1"/>
  <c r="J183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K183" i="16" l="1"/>
  <c r="L184" i="16" s="1"/>
  <c r="Q180" i="16"/>
  <c r="R181" i="16" s="1"/>
  <c r="S182" i="16" s="1"/>
  <c r="T183" i="16" s="1"/>
  <c r="P180" i="16"/>
  <c r="F181" i="16"/>
  <c r="G181" i="16"/>
  <c r="H182" i="16" s="1"/>
  <c r="I183" i="16" s="1"/>
  <c r="J184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Q181" i="16" l="1"/>
  <c r="R182" i="16" s="1"/>
  <c r="S183" i="16" s="1"/>
  <c r="T184" i="16" s="1"/>
  <c r="P181" i="16"/>
  <c r="K184" i="16"/>
  <c r="L185" i="16" s="1"/>
  <c r="G182" i="16"/>
  <c r="H183" i="16" s="1"/>
  <c r="I184" i="16" s="1"/>
  <c r="J185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P182" i="16" l="1"/>
  <c r="Q182" i="16"/>
  <c r="R183" i="16" s="1"/>
  <c r="S184" i="16" s="1"/>
  <c r="T185" i="16" s="1"/>
  <c r="K185" i="16"/>
  <c r="L186" i="16" s="1"/>
  <c r="F183" i="16"/>
  <c r="G183" i="16"/>
  <c r="H184" i="16" s="1"/>
  <c r="I185" i="16" s="1"/>
  <c r="J186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K186" i="16" l="1"/>
  <c r="L187" i="16" s="1"/>
  <c r="K187" i="16"/>
  <c r="L188" i="16" s="1"/>
  <c r="Q183" i="16"/>
  <c r="R184" i="16" s="1"/>
  <c r="S185" i="16" s="1"/>
  <c r="T186" i="16" s="1"/>
  <c r="P183" i="16"/>
  <c r="F184" i="16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Q184" i="16" l="1"/>
  <c r="R185" i="16" s="1"/>
  <c r="S186" i="16" s="1"/>
  <c r="T187" i="16" s="1"/>
  <c r="P184" i="16"/>
  <c r="F185" i="16"/>
  <c r="G185" i="16"/>
  <c r="H186" i="16" s="1"/>
  <c r="I187" i="16" s="1"/>
  <c r="J188" i="16" s="1"/>
  <c r="K189" i="16" s="1"/>
  <c r="L190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P185" i="16" l="1"/>
  <c r="Q185" i="16"/>
  <c r="R186" i="16" s="1"/>
  <c r="S187" i="16" s="1"/>
  <c r="T188" i="16" s="1"/>
  <c r="F186" i="16"/>
  <c r="G186" i="16"/>
  <c r="H187" i="16" s="1"/>
  <c r="I188" i="16" s="1"/>
  <c r="J189" i="16" s="1"/>
  <c r="K190" i="16" s="1"/>
  <c r="L191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Q186" i="16" l="1"/>
  <c r="R187" i="16" s="1"/>
  <c r="S188" i="16" s="1"/>
  <c r="T189" i="16" s="1"/>
  <c r="P186" i="16"/>
  <c r="G187" i="16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Q187" i="16" l="1"/>
  <c r="R188" i="16" s="1"/>
  <c r="S189" i="16" s="1"/>
  <c r="T190" i="16" s="1"/>
  <c r="P187" i="16"/>
  <c r="F188" i="16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P188" i="16" l="1"/>
  <c r="Q188" i="16"/>
  <c r="R189" i="16" s="1"/>
  <c r="S190" i="16" s="1"/>
  <c r="T191" i="16" s="1"/>
  <c r="F189" i="16"/>
  <c r="G189" i="16"/>
  <c r="H190" i="16" s="1"/>
  <c r="I191" i="16" s="1"/>
  <c r="J192" i="16" s="1"/>
  <c r="K193" i="16" s="1"/>
  <c r="L194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P189" i="16" l="1"/>
  <c r="Q189" i="16"/>
  <c r="R190" i="16" s="1"/>
  <c r="S191" i="16" s="1"/>
  <c r="T192" i="16" s="1"/>
  <c r="G190" i="16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Q190" i="16" l="1"/>
  <c r="R191" i="16" s="1"/>
  <c r="S192" i="16" s="1"/>
  <c r="T193" i="16" s="1"/>
  <c r="P190" i="16"/>
  <c r="F191" i="16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F192" i="16" l="1"/>
  <c r="P191" i="16"/>
  <c r="Q191" i="16"/>
  <c r="R192" i="16" s="1"/>
  <c r="S193" i="16" s="1"/>
  <c r="T194" i="16" s="1"/>
  <c r="G192" i="16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P192" i="16" l="1"/>
  <c r="Q192" i="16"/>
  <c r="R193" i="16" s="1"/>
  <c r="S194" i="16" s="1"/>
  <c r="T195" i="16" s="1"/>
  <c r="F193" i="16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F194" i="16" l="1"/>
  <c r="P193" i="16"/>
  <c r="Q193" i="16"/>
  <c r="R194" i="16" s="1"/>
  <c r="S195" i="16" s="1"/>
  <c r="T196" i="16" s="1"/>
  <c r="G194" i="16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P194" i="16" l="1"/>
  <c r="Q194" i="16"/>
  <c r="R195" i="16" s="1"/>
  <c r="S196" i="16" s="1"/>
  <c r="T197" i="16" s="1"/>
  <c r="G195" i="16"/>
  <c r="H196" i="16" s="1"/>
  <c r="I197" i="16" s="1"/>
  <c r="J198" i="16" s="1"/>
  <c r="K199" i="16" s="1"/>
  <c r="L200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Q195" i="16" l="1"/>
  <c r="R196" i="16" s="1"/>
  <c r="S197" i="16" s="1"/>
  <c r="T198" i="16" s="1"/>
  <c r="P195" i="16"/>
  <c r="F196" i="16"/>
  <c r="G196" i="16"/>
  <c r="H197" i="16" s="1"/>
  <c r="I198" i="16" s="1"/>
  <c r="J199" i="16" s="1"/>
  <c r="K200" i="16" s="1"/>
  <c r="L201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F197" i="16" l="1"/>
  <c r="P196" i="16"/>
  <c r="Q196" i="16"/>
  <c r="R197" i="16" s="1"/>
  <c r="S198" i="16" s="1"/>
  <c r="T199" i="16" s="1"/>
  <c r="G197" i="16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F198" i="16" l="1"/>
  <c r="Q197" i="16"/>
  <c r="R198" i="16" s="1"/>
  <c r="S199" i="16" s="1"/>
  <c r="T200" i="16" s="1"/>
  <c r="P197" i="16"/>
  <c r="G198" i="16"/>
  <c r="H199" i="16" s="1"/>
  <c r="I200" i="16" s="1"/>
  <c r="J201" i="16" s="1"/>
  <c r="K202" i="16" s="1"/>
  <c r="L203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P198" i="16" l="1"/>
  <c r="Q198" i="16"/>
  <c r="R199" i="16" s="1"/>
  <c r="S200" i="16" s="1"/>
  <c r="T201" i="16" s="1"/>
  <c r="F199" i="16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P199" i="16" l="1"/>
  <c r="Q199" i="16"/>
  <c r="R200" i="16" s="1"/>
  <c r="S201" i="16" s="1"/>
  <c r="T202" i="16" s="1"/>
  <c r="F200" i="16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Q200" i="16" l="1"/>
  <c r="R201" i="16" s="1"/>
  <c r="S202" i="16" s="1"/>
  <c r="T203" i="16" s="1"/>
  <c r="P200" i="16"/>
  <c r="F201" i="16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Q201" i="16" l="1"/>
  <c r="R202" i="16" s="1"/>
  <c r="S203" i="16" s="1"/>
  <c r="T204" i="16" s="1"/>
  <c r="P201" i="16"/>
  <c r="F202" i="16"/>
  <c r="G202" i="16"/>
  <c r="H203" i="16" s="1"/>
  <c r="I204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Q202" i="16" l="1"/>
  <c r="R203" i="16" s="1"/>
  <c r="S204" i="16" s="1"/>
  <c r="T205" i="16" s="1"/>
  <c r="P202" i="16"/>
  <c r="G203" i="16"/>
  <c r="H204" i="16" s="1"/>
  <c r="I205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Q203" i="16" l="1"/>
  <c r="R204" i="16" s="1"/>
  <c r="S205" i="16" s="1"/>
  <c r="T206" i="16" s="1"/>
  <c r="P203" i="16"/>
  <c r="J206" i="16"/>
  <c r="K207" i="16" s="1"/>
  <c r="L208" i="16" s="1"/>
  <c r="E204" i="16"/>
  <c r="F204" i="16"/>
  <c r="G204" i="16"/>
  <c r="H205" i="16" s="1"/>
  <c r="I206" i="16" s="1"/>
  <c r="J207" i="16" s="1"/>
  <c r="K208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P204" i="16" l="1"/>
  <c r="Q204" i="16"/>
  <c r="R205" i="16" s="1"/>
  <c r="S206" i="16" s="1"/>
  <c r="T207" i="16" s="1"/>
  <c r="L209" i="16"/>
  <c r="G205" i="16"/>
  <c r="H206" i="16" s="1"/>
  <c r="I207" i="16" s="1"/>
  <c r="J208" i="16" s="1"/>
  <c r="K209" i="16" s="1"/>
  <c r="L210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P205" i="16" l="1"/>
  <c r="Q205" i="16"/>
  <c r="R206" i="16" s="1"/>
  <c r="S207" i="16" s="1"/>
  <c r="T208" i="16" s="1"/>
  <c r="F206" i="16"/>
  <c r="G206" i="16"/>
  <c r="H207" i="16" s="1"/>
  <c r="I208" i="16" s="1"/>
  <c r="J209" i="16" s="1"/>
  <c r="K210" i="16" s="1"/>
  <c r="L211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G207" i="16" l="1"/>
  <c r="H208" i="16" s="1"/>
  <c r="I209" i="16" s="1"/>
  <c r="J210" i="16" s="1"/>
  <c r="K211" i="16" s="1"/>
  <c r="G208" i="16"/>
  <c r="H209" i="16" s="1"/>
  <c r="I210" i="16" s="1"/>
  <c r="J211" i="16" s="1"/>
  <c r="Q206" i="16"/>
  <c r="R207" i="16" s="1"/>
  <c r="S208" i="16" s="1"/>
  <c r="T209" i="16" s="1"/>
  <c r="P206" i="16"/>
  <c r="L212" i="16"/>
  <c r="L213" i="16" s="1"/>
  <c r="K212" i="16"/>
  <c r="D207" i="16"/>
  <c r="E207" i="16"/>
  <c r="F208" i="16" s="1"/>
  <c r="G209" i="16" s="1"/>
  <c r="H210" i="16" s="1"/>
  <c r="I211" i="16" s="1"/>
  <c r="J212" i="16" s="1"/>
  <c r="K213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Q207" i="16" l="1"/>
  <c r="R208" i="16" s="1"/>
  <c r="S209" i="16" s="1"/>
  <c r="T210" i="16" s="1"/>
  <c r="P207" i="16"/>
  <c r="L214" i="16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P208" i="16" l="1"/>
  <c r="Q208" i="16"/>
  <c r="R209" i="16" s="1"/>
  <c r="S210" i="16" s="1"/>
  <c r="T211" i="16" s="1"/>
  <c r="D209" i="16"/>
  <c r="E209" i="16"/>
  <c r="F210" i="16" s="1"/>
  <c r="G211" i="16" s="1"/>
  <c r="H212" i="16" s="1"/>
  <c r="I213" i="16" s="1"/>
  <c r="J214" i="16" s="1"/>
  <c r="K215" i="16" s="1"/>
  <c r="L216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Q209" i="16" l="1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P210" i="16" l="1"/>
  <c r="Q210" i="16"/>
  <c r="R211" i="16" s="1"/>
  <c r="S212" i="16" s="1"/>
  <c r="T213" i="16" s="1"/>
  <c r="D211" i="16"/>
  <c r="E211" i="16"/>
  <c r="F212" i="16" s="1"/>
  <c r="G213" i="16" s="1"/>
  <c r="H214" i="16" s="1"/>
  <c r="I215" i="16" s="1"/>
  <c r="J216" i="16" s="1"/>
  <c r="K217" i="16" s="1"/>
  <c r="L218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1" i="16" l="1"/>
  <c r="Q211" i="16"/>
  <c r="R212" i="16" s="1"/>
  <c r="S213" i="16" s="1"/>
  <c r="T214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P212" i="16" l="1"/>
  <c r="Q212" i="16"/>
  <c r="R213" i="16" s="1"/>
  <c r="S214" i="16" s="1"/>
  <c r="T215" i="16" s="1"/>
  <c r="D213" i="16"/>
  <c r="E213" i="16"/>
  <c r="F214" i="16" s="1"/>
  <c r="G215" i="16" s="1"/>
  <c r="H216" i="16" s="1"/>
  <c r="I217" i="16" s="1"/>
  <c r="J218" i="16" s="1"/>
  <c r="K219" i="16" s="1"/>
  <c r="L220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Q213" i="16" l="1"/>
  <c r="R214" i="16" s="1"/>
  <c r="S215" i="16" s="1"/>
  <c r="T216" i="16" s="1"/>
  <c r="P213" i="16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P214" i="16" l="1"/>
  <c r="Q214" i="16"/>
  <c r="R215" i="16" s="1"/>
  <c r="S216" i="16" s="1"/>
  <c r="T217" i="16" s="1"/>
  <c r="D215" i="16"/>
  <c r="E215" i="16"/>
  <c r="F216" i="16" s="1"/>
  <c r="G217" i="16" s="1"/>
  <c r="H218" i="16" s="1"/>
  <c r="I219" i="16" s="1"/>
  <c r="J220" i="16" s="1"/>
  <c r="K221" i="16" s="1"/>
  <c r="L222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5" i="16" l="1"/>
  <c r="Q215" i="16"/>
  <c r="R216" i="16" s="1"/>
  <c r="S217" i="16" s="1"/>
  <c r="T218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Q216" i="16" l="1"/>
  <c r="R217" i="16" s="1"/>
  <c r="S218" i="16" s="1"/>
  <c r="T219" i="16" s="1"/>
  <c r="P216" i="16"/>
  <c r="D217" i="16"/>
  <c r="E217" i="16"/>
  <c r="F218" i="16" s="1"/>
  <c r="G219" i="16" s="1"/>
  <c r="H220" i="16" s="1"/>
  <c r="I221" i="16" s="1"/>
  <c r="J222" i="16" s="1"/>
  <c r="K223" i="16" s="1"/>
  <c r="L224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Q217" i="16" l="1"/>
  <c r="R218" i="16" s="1"/>
  <c r="S219" i="16" s="1"/>
  <c r="T220" i="16" s="1"/>
  <c r="P217" i="16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P218" i="16" l="1"/>
  <c r="Q218" i="16"/>
  <c r="R219" i="16" s="1"/>
  <c r="S220" i="16" s="1"/>
  <c r="T221" i="16" s="1"/>
  <c r="D219" i="16"/>
  <c r="E219" i="16"/>
  <c r="F220" i="16" s="1"/>
  <c r="G221" i="16" s="1"/>
  <c r="H222" i="16" s="1"/>
  <c r="I223" i="16" s="1"/>
  <c r="J224" i="16" s="1"/>
  <c r="K225" i="16" s="1"/>
  <c r="L226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19" i="16" l="1"/>
  <c r="Q219" i="16"/>
  <c r="R220" i="16" s="1"/>
  <c r="S221" i="16" s="1"/>
  <c r="T222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Q220" i="16" l="1"/>
  <c r="R221" i="16" s="1"/>
  <c r="S222" i="16" s="1"/>
  <c r="T223" i="16" s="1"/>
  <c r="P220" i="16"/>
  <c r="E221" i="16"/>
  <c r="F222" i="16" s="1"/>
  <c r="G223" i="16" s="1"/>
  <c r="H224" i="16" s="1"/>
  <c r="I225" i="16" s="1"/>
  <c r="J226" i="16" s="1"/>
  <c r="K227" i="16" s="1"/>
  <c r="L228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1" i="16" l="1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36" i="19" s="1"/>
  <c r="C57" i="19" s="1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61" i="19" l="1"/>
  <c r="D33" i="19" s="1"/>
  <c r="Z17" i="1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<sst xmlns="http://schemas.openxmlformats.org/spreadsheetml/2006/main" count="2072" uniqueCount="1218">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</sst>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396912"/>
        <c:axId val="1121395824"/>
      </c:scatterChart>
      <c:valAx>
        <c:axId val="1121396912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21395824"/>
        <c:crosses val="autoZero"/>
        <c:crossBetween val="midCat"/>
      </c:valAx>
      <c:valAx>
        <c:axId val="11213958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213969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397456"/>
        <c:axId val="1121398000"/>
      </c:scatterChart>
      <c:valAx>
        <c:axId val="112139745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21398000"/>
        <c:crosses val="autoZero"/>
        <c:crossBetween val="midCat"/>
      </c:valAx>
      <c:valAx>
        <c:axId val="112139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213974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1400720"/>
        <c:axId val="1121399088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1400176"/>
        <c:axId val="1121398544"/>
      </c:lineChart>
      <c:catAx>
        <c:axId val="112140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21398544"/>
        <c:crosses val="autoZero"/>
        <c:auto val="1"/>
        <c:lblAlgn val="ctr"/>
        <c:lblOffset val="100"/>
        <c:tickMarkSkip val="1"/>
        <c:noMultiLvlLbl val="0"/>
      </c:catAx>
      <c:valAx>
        <c:axId val="112139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21400176"/>
        <c:crosses val="autoZero"/>
        <c:crossBetween val="between"/>
      </c:valAx>
      <c:catAx>
        <c:axId val="1121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1399088"/>
        <c:crosses val="autoZero"/>
        <c:auto val="1"/>
        <c:lblAlgn val="ctr"/>
        <c:lblOffset val="100"/>
        <c:noMultiLvlLbl val="0"/>
      </c:catAx>
      <c:valAx>
        <c:axId val="11213990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1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401808"/>
        <c:axId val="999305904"/>
      </c:scatterChart>
      <c:valAx>
        <c:axId val="112140180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99305904"/>
        <c:crosses val="autoZero"/>
        <c:crossBetween val="midCat"/>
      </c:valAx>
      <c:valAx>
        <c:axId val="9993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21401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EA42358C-2BDB-4AD6-A200-D55C228540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791A29DD-7232-4EE5-9FB1-CCB573B396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E9B32D6E-9C77-4103-BC55-5ADCDADE67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FB5E1AC-4642-4D75-9296-7010E59CCC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A02CED-6DCC-4240-9B38-747EE90726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2C-4DF1-B140-2C74A5A035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F61464-6FB3-4D1A-AA98-CA4B14B935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2C-4DF1-B140-2C74A5A035F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F8B9AD6-9FC4-40ED-8665-7A3C03067886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4F2CA4CD-6284-4D64-8498-35F3323D9D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4757D10-7143-4778-AA23-C459527B4540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5A4368E4-00FB-49B0-B7CD-7CD3FF770806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44B47751-DB49-46FC-9355-51ED5D659A72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4096"/>
        <c:axId val="1224594640"/>
      </c:scatterChart>
      <c:valAx>
        <c:axId val="122459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24594640"/>
        <c:crosses val="autoZero"/>
        <c:crossBetween val="midCat"/>
      </c:valAx>
      <c:valAx>
        <c:axId val="122459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22459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8992"/>
        <c:axId val="1224596816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8448"/>
        <c:axId val="1224599536"/>
      </c:scatterChart>
      <c:valAx>
        <c:axId val="12245989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96816"/>
        <c:crosses val="autoZero"/>
        <c:crossBetween val="midCat"/>
        <c:majorUnit val="2"/>
      </c:valAx>
      <c:valAx>
        <c:axId val="12245968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98992"/>
        <c:crosses val="autoZero"/>
        <c:crossBetween val="midCat"/>
      </c:valAx>
      <c:valAx>
        <c:axId val="122459844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224599536"/>
        <c:crosses val="autoZero"/>
        <c:crossBetween val="midCat"/>
      </c:valAx>
      <c:valAx>
        <c:axId val="1224599536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98448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5728"/>
        <c:axId val="1224596272"/>
      </c:scatterChart>
      <c:valAx>
        <c:axId val="122459572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224596272"/>
        <c:crosses val="autoZero"/>
        <c:crossBetween val="midCat"/>
      </c:valAx>
      <c:valAx>
        <c:axId val="122459627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2245957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7360"/>
        <c:axId val="1224600080"/>
      </c:scatterChart>
      <c:valAx>
        <c:axId val="122459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224600080"/>
        <c:crosses val="autoZero"/>
        <c:crossBetween val="midCat"/>
      </c:valAx>
      <c:valAx>
        <c:axId val="12246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2245973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600624"/>
        <c:axId val="1224597904"/>
      </c:scatterChart>
      <c:valAx>
        <c:axId val="122460062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97904"/>
        <c:crosses val="autoZero"/>
        <c:crossBetween val="midCat"/>
      </c:valAx>
      <c:valAx>
        <c:axId val="12245979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6006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93552"/>
        <c:axId val="1221440848"/>
      </c:scatterChart>
      <c:valAx>
        <c:axId val="122459355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440848"/>
        <c:crosses val="autoZero"/>
        <c:crossBetween val="midCat"/>
      </c:valAx>
      <c:valAx>
        <c:axId val="122144084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45935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441392"/>
        <c:axId val="1221440304"/>
      </c:scatterChart>
      <c:valAx>
        <c:axId val="12214413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440304"/>
        <c:crosses val="autoZero"/>
        <c:crossBetween val="midCat"/>
      </c:valAx>
      <c:valAx>
        <c:axId val="1221440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441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439216"/>
        <c:axId val="1221442480"/>
      </c:scatterChart>
      <c:valAx>
        <c:axId val="122143921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442480"/>
        <c:crosses val="autoZero"/>
        <c:crossBetween val="midCat"/>
      </c:valAx>
      <c:valAx>
        <c:axId val="122144248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4392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441936"/>
        <c:axId val="1221439760"/>
      </c:scatterChart>
      <c:valAx>
        <c:axId val="122144193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1221439760"/>
        <c:crosses val="autoZero"/>
        <c:crossBetween val="midCat"/>
      </c:valAx>
      <c:valAx>
        <c:axId val="122143976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122144193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393344"/>
        <c:axId val="1133392256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394976"/>
        <c:axId val="1133393888"/>
      </c:lineChart>
      <c:catAx>
        <c:axId val="113339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392256"/>
        <c:crosses val="autoZero"/>
        <c:auto val="1"/>
        <c:lblAlgn val="ctr"/>
        <c:lblOffset val="100"/>
        <c:noMultiLvlLbl val="0"/>
      </c:catAx>
      <c:valAx>
        <c:axId val="113339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393344"/>
        <c:crosses val="autoZero"/>
        <c:crossBetween val="between"/>
      </c:valAx>
      <c:valAx>
        <c:axId val="11333938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394976"/>
        <c:crosses val="max"/>
        <c:crossBetween val="between"/>
      </c:valAx>
      <c:catAx>
        <c:axId val="11333949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133393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392800"/>
        <c:axId val="1133394432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388992"/>
        <c:axId val="1133387904"/>
      </c:lineChart>
      <c:catAx>
        <c:axId val="113339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3394432"/>
        <c:crosses val="autoZero"/>
        <c:auto val="1"/>
        <c:lblAlgn val="ctr"/>
        <c:lblOffset val="100"/>
        <c:noMultiLvlLbl val="0"/>
      </c:catAx>
      <c:valAx>
        <c:axId val="113339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3392800"/>
        <c:crosses val="autoZero"/>
        <c:crossBetween val="between"/>
      </c:valAx>
      <c:valAx>
        <c:axId val="11333879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3388992"/>
        <c:crosses val="max"/>
        <c:crossBetween val="between"/>
      </c:valAx>
      <c:catAx>
        <c:axId val="113338899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1133387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388448"/>
        <c:axId val="1133389536"/>
      </c:scatterChart>
      <c:valAx>
        <c:axId val="113338844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89536"/>
        <c:crosses val="autoZero"/>
        <c:crossBetween val="midCat"/>
        <c:majorUnit val="100"/>
      </c:valAx>
      <c:valAx>
        <c:axId val="11333895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88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390080"/>
        <c:axId val="1133390624"/>
      </c:scatterChart>
      <c:valAx>
        <c:axId val="113339008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90624"/>
        <c:crosses val="autoZero"/>
        <c:crossBetween val="midCat"/>
        <c:majorUnit val="100"/>
      </c:valAx>
      <c:valAx>
        <c:axId val="11333906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900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391168"/>
        <c:axId val="1133391712"/>
      </c:scatterChart>
      <c:valAx>
        <c:axId val="113339116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91712"/>
        <c:crosses val="autoZero"/>
        <c:crossBetween val="midCat"/>
        <c:majorUnit val="100"/>
      </c:valAx>
      <c:valAx>
        <c:axId val="113339171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3911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73792"/>
        <c:axId val="1128471616"/>
      </c:scatterChart>
      <c:valAx>
        <c:axId val="112847379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1616"/>
        <c:crosses val="autoZero"/>
        <c:crossBetween val="midCat"/>
        <c:majorUnit val="100"/>
      </c:valAx>
      <c:valAx>
        <c:axId val="11284716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3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72704"/>
        <c:axId val="1128473248"/>
      </c:scatterChart>
      <c:valAx>
        <c:axId val="11284727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3248"/>
        <c:crosses val="autoZero"/>
        <c:crossBetween val="midCat"/>
      </c:valAx>
      <c:valAx>
        <c:axId val="1128473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27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72160"/>
        <c:axId val="1128470528"/>
      </c:scatterChart>
      <c:valAx>
        <c:axId val="112847216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0528"/>
        <c:crosses val="autoZero"/>
        <c:crossBetween val="midCat"/>
      </c:valAx>
      <c:valAx>
        <c:axId val="11284705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21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71072"/>
        <c:axId val="1223785168"/>
      </c:scatterChart>
      <c:valAx>
        <c:axId val="112847107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785168"/>
        <c:crosses val="autoZero"/>
        <c:crossBetween val="midCat"/>
      </c:valAx>
      <c:valAx>
        <c:axId val="122378516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4710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787888"/>
        <c:axId val="1223787344"/>
      </c:scatterChart>
      <c:valAx>
        <c:axId val="122378788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787344"/>
        <c:crosses val="autoZero"/>
        <c:crossBetween val="midCat"/>
        <c:majorUnit val="2"/>
      </c:valAx>
      <c:valAx>
        <c:axId val="1223787344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7878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185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3106" y="27320966"/>
          <a:ext cx="5667103" cy="2350324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19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186</xdr:row>
      <xdr:rowOff>129540</xdr:rowOff>
    </xdr:from>
    <xdr:to>
      <xdr:col>15</xdr:col>
      <xdr:colOff>269631</xdr:colOff>
      <xdr:row>194</xdr:row>
      <xdr:rowOff>114300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189911"/>
          <a:ext cx="6152272" cy="3659772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40</xdr:row>
      <xdr:rowOff>136392</xdr:rowOff>
    </xdr:from>
    <xdr:to>
      <xdr:col>10</xdr:col>
      <xdr:colOff>225091</xdr:colOff>
      <xdr:row>53</xdr:row>
      <xdr:rowOff>2744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printerSettings" Target="../printerSettings/printerSettings4.bin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2" Type="http://schemas.openxmlformats.org/officeDocument/2006/relationships/hyperlink" Target="https://tuboreymonterrey.com.mx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4"/>
  <sheetViews>
    <sheetView tabSelected="1" topLeftCell="E183" zoomScale="77" zoomScaleNormal="85" workbookViewId="0">
      <selection activeCell="L194" sqref="L194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632812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90625" bestFit="1" customWidth="1"/>
    <col min="24" max="24" width="8.90625" bestFit="1" customWidth="1"/>
  </cols>
  <sheetData>
    <row r="1" spans="1:21" ht="13" thickBot="1">
      <c r="E1" t="s">
        <v>705</v>
      </c>
      <c r="F1" t="str">
        <f>F3&amp; " MPa MEOP"</f>
        <v>5 MPa MEOP</v>
      </c>
    </row>
    <row r="2" spans="1:21" ht="13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1192</v>
      </c>
      <c r="J11" s="789" t="s">
        <v>1193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1113</v>
      </c>
      <c r="S22" s="789" t="s">
        <v>1114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1088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1087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1086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1085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1113</v>
      </c>
      <c r="S37" s="789" t="s">
        <v>1114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5" thickBot="1">
      <c r="L56" s="779" t="s">
        <v>1076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1079</v>
      </c>
    </row>
    <row r="58" spans="2:24">
      <c r="L58" s="415" t="s">
        <v>1050</v>
      </c>
      <c r="N58">
        <f>PI()*M60^2*(1/4)</f>
        <v>966.51600642514586</v>
      </c>
      <c r="O58" s="415" t="s">
        <v>1075</v>
      </c>
    </row>
    <row r="59" spans="2:24" ht="13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1080</v>
      </c>
      <c r="U59" t="s">
        <v>1068</v>
      </c>
    </row>
    <row r="60" spans="2:24" ht="13" thickBot="1">
      <c r="L60" s="8" t="s">
        <v>1074</v>
      </c>
      <c r="M60">
        <f>M59-M61*2</f>
        <v>35.080000000000005</v>
      </c>
      <c r="N60" s="8" t="s">
        <v>2</v>
      </c>
      <c r="O60" s="8" t="s">
        <v>1074</v>
      </c>
      <c r="P60">
        <f>+P59-P61*2</f>
        <v>31.080000000000005</v>
      </c>
      <c r="Q60" s="8" t="s">
        <v>2</v>
      </c>
    </row>
    <row r="61" spans="2:24" ht="13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1071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1070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1072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1073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1123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1069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1056</v>
      </c>
      <c r="M72" s="10">
        <f>2*((M61*M65)/(M59*M62))</f>
        <v>8.0985781990521328</v>
      </c>
      <c r="N72" s="8" t="s">
        <v>87</v>
      </c>
      <c r="O72" s="771" t="s">
        <v>1056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1077</v>
      </c>
    </row>
    <row r="85" spans="2:16">
      <c r="L85" s="8" t="s">
        <v>1078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1081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1167</v>
      </c>
      <c r="F93" s="789" t="s">
        <v>1168</v>
      </c>
      <c r="L93" s="8" t="s">
        <v>1083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1084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1082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1127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1075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1080</v>
      </c>
      <c r="U101" t="s">
        <v>1068</v>
      </c>
    </row>
    <row r="102" spans="2:24" ht="13" thickBot="1">
      <c r="L102" s="8" t="s">
        <v>1074</v>
      </c>
      <c r="M102">
        <f>M101-M103*2</f>
        <v>35.08</v>
      </c>
      <c r="N102" s="8" t="s">
        <v>2</v>
      </c>
      <c r="O102" s="8" t="s">
        <v>1074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1169</v>
      </c>
      <c r="E103" s="789" t="s">
        <v>1170</v>
      </c>
      <c r="G103" s="789" t="s">
        <v>1171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1172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1071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1070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1072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1073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1069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1128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 ht="13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1077</v>
      </c>
    </row>
    <row r="127" spans="12:17">
      <c r="L127" s="8" t="s">
        <v>1078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5:17">
      <c r="L129" s="722" t="s">
        <v>964</v>
      </c>
      <c r="M129">
        <v>415</v>
      </c>
      <c r="N129" s="8" t="s">
        <v>87</v>
      </c>
    </row>
    <row r="130" spans="5:17">
      <c r="L130" s="2" t="s">
        <v>965</v>
      </c>
      <c r="M130">
        <v>200000</v>
      </c>
      <c r="N130" s="8" t="s">
        <v>87</v>
      </c>
    </row>
    <row r="131" spans="5:17">
      <c r="L131" s="725" t="s">
        <v>968</v>
      </c>
      <c r="M131">
        <v>0.28999999999999998</v>
      </c>
    </row>
    <row r="132" spans="5:17">
      <c r="J132" t="s">
        <v>1174</v>
      </c>
    </row>
    <row r="133" spans="5:17">
      <c r="L133" s="415" t="s">
        <v>1081</v>
      </c>
    </row>
    <row r="134" spans="5:17">
      <c r="L134" s="8" t="s">
        <v>213</v>
      </c>
      <c r="M134">
        <v>0.23699999999999999</v>
      </c>
      <c r="N134" s="8" t="s">
        <v>802</v>
      </c>
    </row>
    <row r="135" spans="5:17">
      <c r="L135" s="8" t="s">
        <v>1083</v>
      </c>
      <c r="M135">
        <f>M134*((PI()/4)*((M101/1000)^2-(M102/1000)^2))</f>
        <v>3.9720949140422398E-5</v>
      </c>
      <c r="N135" s="8" t="s">
        <v>1041</v>
      </c>
    </row>
    <row r="136" spans="5:17">
      <c r="L136" s="8" t="s">
        <v>1084</v>
      </c>
      <c r="M136">
        <v>7850</v>
      </c>
      <c r="N136" s="8" t="s">
        <v>805</v>
      </c>
      <c r="P136" s="8"/>
    </row>
    <row r="137" spans="5:17">
      <c r="L137" s="8" t="s">
        <v>1082</v>
      </c>
      <c r="M137">
        <f>M136*M135</f>
        <v>0.31180945075231581</v>
      </c>
      <c r="N137" s="8" t="s">
        <v>104</v>
      </c>
    </row>
    <row r="139" spans="5:17">
      <c r="E139" t="s">
        <v>1173</v>
      </c>
    </row>
    <row r="141" spans="5:17">
      <c r="Q141" s="415"/>
    </row>
    <row r="145" spans="2:23">
      <c r="L145" s="789" t="s">
        <v>1209</v>
      </c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1065</v>
      </c>
      <c r="S145" t="s">
        <v>1062</v>
      </c>
      <c r="T145" t="s">
        <v>1067</v>
      </c>
      <c r="U145" t="s">
        <v>1063</v>
      </c>
      <c r="V145" t="s">
        <v>1064</v>
      </c>
      <c r="W145" s="789" t="s">
        <v>1208</v>
      </c>
    </row>
    <row r="146" spans="2:23">
      <c r="L146" s="789" t="s">
        <v>1204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1206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1203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1207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1205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1059</v>
      </c>
      <c r="M151">
        <v>415</v>
      </c>
      <c r="N151" s="789" t="s">
        <v>629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1066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1217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688</v>
      </c>
      <c r="M158" s="151" t="s">
        <v>142</v>
      </c>
      <c r="N158" t="s">
        <v>1030</v>
      </c>
    </row>
    <row r="159" spans="2:23">
      <c r="B159" s="8" t="s">
        <v>689</v>
      </c>
      <c r="M159" t="s">
        <v>1024</v>
      </c>
      <c r="N159" t="s">
        <v>1025</v>
      </c>
      <c r="O159" t="s">
        <v>6</v>
      </c>
      <c r="P159" t="s">
        <v>45</v>
      </c>
    </row>
    <row r="160" spans="2:23">
      <c r="M160" s="39" t="s">
        <v>1026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1027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690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1028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691</v>
      </c>
      <c r="M165" t="s">
        <v>1024</v>
      </c>
      <c r="N165" t="s">
        <v>1025</v>
      </c>
      <c r="O165" t="s">
        <v>6</v>
      </c>
      <c r="P165" t="s">
        <v>45</v>
      </c>
      <c r="Q165" s="789" t="s">
        <v>1126</v>
      </c>
      <c r="R165" s="789"/>
    </row>
    <row r="166" spans="2:19" ht="13" thickBot="1">
      <c r="M166" s="757" t="s">
        <v>1026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1027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692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1210</v>
      </c>
    </row>
    <row r="173" spans="2:19">
      <c r="S173" s="789" t="s">
        <v>1211</v>
      </c>
    </row>
    <row r="174" spans="2:19">
      <c r="S174">
        <v>12</v>
      </c>
    </row>
    <row r="175" spans="2:19">
      <c r="S175">
        <v>14</v>
      </c>
    </row>
    <row r="179" spans="2:5">
      <c r="B179" t="s">
        <v>941</v>
      </c>
    </row>
    <row r="180" spans="2:5">
      <c r="B180" s="765" t="s">
        <v>142</v>
      </c>
      <c r="C180" s="143" t="s">
        <v>937</v>
      </c>
    </row>
    <row r="181" spans="2:5">
      <c r="B181" s="765" t="s">
        <v>139</v>
      </c>
      <c r="C181" s="143" t="s">
        <v>938</v>
      </c>
    </row>
    <row r="182" spans="2:5">
      <c r="B182" s="765" t="s">
        <v>140</v>
      </c>
      <c r="C182" s="143" t="s">
        <v>939</v>
      </c>
    </row>
    <row r="183" spans="2:5">
      <c r="B183" s="765" t="s">
        <v>141</v>
      </c>
      <c r="C183" s="143" t="s">
        <v>940</v>
      </c>
    </row>
    <row r="184" spans="2:5">
      <c r="B184" s="765" t="s">
        <v>769</v>
      </c>
      <c r="C184" s="143" t="s">
        <v>942</v>
      </c>
    </row>
    <row r="186" spans="2:5">
      <c r="B186" s="796" t="s">
        <v>1194</v>
      </c>
    </row>
    <row r="187" spans="2:5">
      <c r="B187" s="795" t="s">
        <v>142</v>
      </c>
      <c r="C187" s="143" t="s">
        <v>1195</v>
      </c>
    </row>
    <row r="188" spans="2:5">
      <c r="B188" s="795" t="s">
        <v>139</v>
      </c>
      <c r="C188" s="143" t="s">
        <v>1196</v>
      </c>
      <c r="E188" s="789" t="s">
        <v>1202</v>
      </c>
    </row>
    <row r="189" spans="2:5">
      <c r="B189" s="795" t="s">
        <v>1199</v>
      </c>
      <c r="C189" s="143" t="s">
        <v>1200</v>
      </c>
    </row>
    <row r="190" spans="2:5">
      <c r="B190" s="795" t="s">
        <v>141</v>
      </c>
      <c r="C190" s="143" t="s">
        <v>1201</v>
      </c>
    </row>
    <row r="192" spans="2:5">
      <c r="B192" s="796" t="s">
        <v>1197</v>
      </c>
    </row>
    <row r="193" spans="2:18">
      <c r="B193" s="795" t="s">
        <v>142</v>
      </c>
      <c r="C193" s="143" t="s">
        <v>1198</v>
      </c>
    </row>
    <row r="195" spans="2:18">
      <c r="B195" t="s">
        <v>1212</v>
      </c>
    </row>
    <row r="196" spans="2:18">
      <c r="B196" t="s">
        <v>142</v>
      </c>
      <c r="C196" s="143" t="s">
        <v>1213</v>
      </c>
    </row>
    <row r="198" spans="2:18">
      <c r="B198" s="789" t="s">
        <v>1214</v>
      </c>
    </row>
    <row r="199" spans="2:18">
      <c r="B199" s="789" t="s">
        <v>142</v>
      </c>
      <c r="C199" s="143" t="s">
        <v>1215</v>
      </c>
    </row>
    <row r="200" spans="2:18">
      <c r="N200" t="s">
        <v>1031</v>
      </c>
      <c r="Q200" t="s">
        <v>1032</v>
      </c>
    </row>
    <row r="201" spans="2:18">
      <c r="M201" t="s">
        <v>1024</v>
      </c>
      <c r="N201" t="s">
        <v>1025</v>
      </c>
      <c r="O201" t="s">
        <v>6</v>
      </c>
      <c r="P201" t="s">
        <v>45</v>
      </c>
      <c r="Q201" t="s">
        <v>6</v>
      </c>
      <c r="R201" t="s">
        <v>1033</v>
      </c>
    </row>
    <row r="202" spans="2:18" ht="13" thickBot="1">
      <c r="M202" s="39" t="s">
        <v>1026</v>
      </c>
      <c r="N202">
        <v>3.56</v>
      </c>
      <c r="O202">
        <v>42.2</v>
      </c>
      <c r="P202">
        <f>O202-N202*2</f>
        <v>35.080000000000005</v>
      </c>
      <c r="Q202">
        <f>38</f>
        <v>38</v>
      </c>
      <c r="R202">
        <f>(Q202-P202)/2</f>
        <v>1.4599999999999973</v>
      </c>
    </row>
    <row r="203" spans="2:18" ht="13" thickBot="1">
      <c r="M203" s="757" t="s">
        <v>1027</v>
      </c>
      <c r="N203" s="758">
        <v>4.8499999999999996</v>
      </c>
      <c r="O203" s="758">
        <v>42.2</v>
      </c>
      <c r="P203" s="758">
        <f>O203-N203*2</f>
        <v>32.5</v>
      </c>
      <c r="Q203" s="758">
        <f>38</f>
        <v>38</v>
      </c>
      <c r="R203" s="759">
        <f>(Q203-P203)/2</f>
        <v>2.75</v>
      </c>
    </row>
    <row r="204" spans="2:18">
      <c r="M204" s="39">
        <v>160</v>
      </c>
      <c r="N204">
        <v>6.35</v>
      </c>
      <c r="O204">
        <v>42.2</v>
      </c>
      <c r="P204">
        <f>O204-N204*2</f>
        <v>29.500000000000004</v>
      </c>
      <c r="Q204">
        <f>38</f>
        <v>38</v>
      </c>
      <c r="R204">
        <f>(Q204-P204)/2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7" r:id="rId6" location="servicios" xr:uid="{00000000-0004-0000-0200-000005000000}"/>
    <hyperlink ref="C188" r:id="rId7" xr:uid="{00000000-0004-0000-0200-000006000000}"/>
    <hyperlink ref="C193" r:id="rId8" xr:uid="{00000000-0004-0000-0200-000007000000}"/>
    <hyperlink ref="C189" r:id="rId9" xr:uid="{00000000-0004-0000-0200-000008000000}"/>
    <hyperlink ref="C190" r:id="rId10" xr:uid="{00000000-0004-0000-0200-000009000000}"/>
    <hyperlink ref="C196" r:id="rId11" xr:uid="{00000000-0004-0000-0200-00000A000000}"/>
    <hyperlink ref="C199" r:id="rId12" xr:uid="{00000000-0004-0000-0200-00000B000000}"/>
  </hyperlinks>
  <pageMargins left="0.7" right="0.7" top="0.75" bottom="0.75" header="0.3" footer="0.3"/>
  <pageSetup orientation="portrait" r:id="rId13"/>
  <drawing r:id="rId14"/>
  <legacyDrawing r:id="rId1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16" zoomScaleNormal="100" workbookViewId="0">
      <selection activeCell="D43" sqref="D43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795</v>
      </c>
      <c r="C4" s="799" t="s">
        <v>796</v>
      </c>
      <c r="D4" s="800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1079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3.5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3.5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3.5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818</v>
      </c>
      <c r="C19" s="797" t="s">
        <v>796</v>
      </c>
      <c r="D19" s="798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1122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3.5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3.5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3.5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3.5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3.5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823</v>
      </c>
      <c r="C34" s="799" t="s">
        <v>796</v>
      </c>
      <c r="D34" s="800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831</v>
      </c>
      <c r="C43" s="699"/>
      <c r="D43" s="700"/>
      <c r="E43" s="698"/>
      <c r="F43" s="698"/>
    </row>
    <row r="44" spans="2:6" s="572" customFormat="1" ht="13.5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654</v>
      </c>
      <c r="C46" s="704">
        <f>C44-(C47*C44)</f>
        <v>1.4845454460601298E-2</v>
      </c>
      <c r="D46" s="582"/>
    </row>
    <row r="47" spans="2:6" s="572" customFormat="1" ht="13.5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1124</v>
      </c>
      <c r="H70" s="572"/>
      <c r="N70" s="75" t="s">
        <v>936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E49" zoomScaleNormal="100" workbookViewId="0">
      <selection activeCell="O84" sqref="O8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5">
      <c r="B1"/>
    </row>
    <row r="2" spans="2:5" ht="13">
      <c r="B2" s="720" t="s">
        <v>1093</v>
      </c>
    </row>
    <row r="3" spans="2:5">
      <c r="B3" s="789" t="s">
        <v>1090</v>
      </c>
      <c r="C3" s="10">
        <f>dc</f>
        <v>31.08</v>
      </c>
      <c r="D3" s="789" t="s">
        <v>2</v>
      </c>
    </row>
    <row r="4" spans="2:5">
      <c r="B4" s="789" t="s">
        <v>1091</v>
      </c>
      <c r="C4" s="10">
        <f>dto</f>
        <v>10.171462348013772</v>
      </c>
      <c r="D4" s="789" t="s">
        <v>2</v>
      </c>
    </row>
    <row r="5" spans="2:5">
      <c r="B5" s="789" t="s">
        <v>1092</v>
      </c>
      <c r="C5" s="10">
        <f>'Nozzle Design'!C11</f>
        <v>21.576930002592544</v>
      </c>
      <c r="D5" s="789" t="s">
        <v>2</v>
      </c>
    </row>
    <row r="6" spans="2:5">
      <c r="B6" s="789" t="s">
        <v>1094</v>
      </c>
      <c r="C6" s="4">
        <f>etac*tothe</f>
        <v>1634</v>
      </c>
      <c r="D6" s="789" t="s">
        <v>73</v>
      </c>
    </row>
    <row r="7" spans="2:5">
      <c r="B7" s="789" t="s">
        <v>1094</v>
      </c>
      <c r="C7">
        <f>CONVERT(C6,"K","C")</f>
        <v>1360.85</v>
      </c>
      <c r="D7" s="789" t="s">
        <v>66</v>
      </c>
    </row>
    <row r="8" spans="2:5">
      <c r="B8" s="789" t="s">
        <v>1095</v>
      </c>
      <c r="C8" s="10">
        <f>pmax</f>
        <v>4.9969130252874665</v>
      </c>
      <c r="D8" s="789" t="s">
        <v>87</v>
      </c>
    </row>
    <row r="9" spans="2:5">
      <c r="B9" s="789" t="s">
        <v>1096</v>
      </c>
    </row>
    <row r="10" spans="2:5">
      <c r="B10" s="789" t="s">
        <v>1097</v>
      </c>
      <c r="E10" s="10">
        <f>C5/2</f>
        <v>10.788465001296272</v>
      </c>
    </row>
    <row r="11" spans="2:5">
      <c r="B11" s="789" t="s">
        <v>1098</v>
      </c>
    </row>
    <row r="12" spans="2:5">
      <c r="B12" s="789" t="s">
        <v>1103</v>
      </c>
      <c r="C12">
        <f>k2ph</f>
        <v>1.133</v>
      </c>
    </row>
    <row r="13" spans="2:5">
      <c r="B13" s="789" t="s">
        <v>1104</v>
      </c>
      <c r="C13" s="10">
        <f>mef</f>
        <v>2.5992897854448858</v>
      </c>
      <c r="D13" s="789" t="s">
        <v>64</v>
      </c>
    </row>
    <row r="14" spans="2:5">
      <c r="B14" s="789" t="s">
        <v>1106</v>
      </c>
      <c r="C14" s="10">
        <f>(C4-C3)/1</f>
        <v>-20.908537651986226</v>
      </c>
      <c r="D14" s="789"/>
    </row>
    <row r="15" spans="2:5">
      <c r="B15" s="789" t="s">
        <v>1107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1100</v>
      </c>
      <c r="C17" s="790">
        <v>0.05</v>
      </c>
      <c r="O17" s="789" t="s">
        <v>1121</v>
      </c>
      <c r="P17">
        <f>P18+I31</f>
        <v>1436.6299999999999</v>
      </c>
    </row>
    <row r="18" spans="2:19">
      <c r="B18" s="789" t="s">
        <v>1099</v>
      </c>
      <c r="C18" s="789" t="s">
        <v>1101</v>
      </c>
      <c r="D18" s="789" t="s">
        <v>1102</v>
      </c>
      <c r="E18" s="789" t="s">
        <v>1105</v>
      </c>
      <c r="O18" s="789" t="s">
        <v>1117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1115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1116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1110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1108</v>
      </c>
      <c r="H24" s="789" t="s">
        <v>1111</v>
      </c>
      <c r="I24" s="789" t="s">
        <v>1120</v>
      </c>
      <c r="J24" s="789" t="s">
        <v>1125</v>
      </c>
      <c r="K24" s="789" t="s">
        <v>1118</v>
      </c>
      <c r="L24" s="789" t="s">
        <v>1109</v>
      </c>
      <c r="M24" s="789" t="s">
        <v>1119</v>
      </c>
      <c r="N24" s="789" t="s">
        <v>1112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I73"/>
  <sheetViews>
    <sheetView topLeftCell="A43" zoomScale="85" zoomScaleNormal="85" workbookViewId="0">
      <selection activeCell="K32" sqref="K32"/>
    </sheetView>
  </sheetViews>
  <sheetFormatPr defaultColWidth="11.453125" defaultRowHeight="12.5"/>
  <cols>
    <col min="3" max="5" width="12" bestFit="1" customWidth="1"/>
    <col min="6" max="6" width="12.81640625" customWidth="1"/>
  </cols>
  <sheetData>
    <row r="2" spans="2:9" ht="13">
      <c r="B2" s="720" t="s">
        <v>1129</v>
      </c>
      <c r="F2" t="s">
        <v>1175</v>
      </c>
      <c r="I2" t="s">
        <v>1183</v>
      </c>
    </row>
    <row r="3" spans="2:9">
      <c r="F3" t="s">
        <v>1182</v>
      </c>
      <c r="I3" t="s">
        <v>1184</v>
      </c>
    </row>
    <row r="4" spans="2:9">
      <c r="B4" s="789" t="s">
        <v>1130</v>
      </c>
      <c r="I4" t="s">
        <v>1185</v>
      </c>
    </row>
    <row r="5" spans="2:9">
      <c r="B5" s="789" t="s">
        <v>1131</v>
      </c>
      <c r="H5" t="s">
        <v>1187</v>
      </c>
      <c r="I5" t="s">
        <v>1186</v>
      </c>
    </row>
    <row r="6" spans="2:9">
      <c r="B6" s="789" t="s">
        <v>1132</v>
      </c>
      <c r="C6">
        <f>pmax*((PI()*('First iteration &amp; Mechanical'!M60)^2)/4)</f>
        <v>4829.5964216546363</v>
      </c>
      <c r="D6" s="789" t="s">
        <v>1133</v>
      </c>
      <c r="H6" t="s">
        <v>1189</v>
      </c>
      <c r="I6" t="s">
        <v>1188</v>
      </c>
    </row>
    <row r="7" spans="2:9">
      <c r="B7" s="789" t="s">
        <v>1132</v>
      </c>
      <c r="C7">
        <f>pmax*((PI()*('First iteration &amp; Mechanical'!P60)^2)/4)</f>
        <v>3790.9991926570601</v>
      </c>
      <c r="D7" s="789" t="s">
        <v>1134</v>
      </c>
      <c r="H7" t="s">
        <v>1191</v>
      </c>
      <c r="I7" t="s">
        <v>1190</v>
      </c>
    </row>
    <row r="8" spans="2:9">
      <c r="F8" s="789"/>
    </row>
    <row r="9" spans="2:9">
      <c r="B9" s="789" t="s">
        <v>1135</v>
      </c>
    </row>
    <row r="10" spans="2:9">
      <c r="B10" s="789" t="s">
        <v>1136</v>
      </c>
      <c r="C10">
        <f>fmax</f>
        <v>495.59239714220945</v>
      </c>
    </row>
    <row r="12" spans="2:9">
      <c r="B12" s="789" t="s">
        <v>1137</v>
      </c>
    </row>
    <row r="13" spans="2:9">
      <c r="B13" s="789" t="s">
        <v>1138</v>
      </c>
      <c r="C13">
        <v>1.5</v>
      </c>
    </row>
    <row r="15" spans="2:9">
      <c r="B15" s="789" t="s">
        <v>1139</v>
      </c>
      <c r="G15">
        <f>C37</f>
        <v>4</v>
      </c>
    </row>
    <row r="16" spans="2:9">
      <c r="B16" s="789" t="s">
        <v>1140</v>
      </c>
      <c r="D16" s="789" t="str">
        <f>"M" &amp;C17</f>
        <v>M3</v>
      </c>
    </row>
    <row r="17" spans="2:7">
      <c r="B17" s="789" t="s">
        <v>1157</v>
      </c>
      <c r="C17">
        <v>3</v>
      </c>
      <c r="D17" s="789" t="s">
        <v>2</v>
      </c>
    </row>
    <row r="18" spans="2:7">
      <c r="B18" s="789" t="s">
        <v>1161</v>
      </c>
      <c r="D18" s="789" t="str">
        <f>'First iteration &amp; Mechanical'!L57</f>
        <v>ASTM A53</v>
      </c>
    </row>
    <row r="19" spans="2:7">
      <c r="B19" s="789" t="s">
        <v>842</v>
      </c>
      <c r="C19">
        <f>'First iteration &amp; Mechanical'!M65</f>
        <v>240</v>
      </c>
      <c r="D19" s="789" t="s">
        <v>87</v>
      </c>
    </row>
    <row r="20" spans="2:7">
      <c r="B20" s="789" t="s">
        <v>843</v>
      </c>
      <c r="C20">
        <f>'First iteration &amp; Mechanical'!M66</f>
        <v>415</v>
      </c>
      <c r="D20" s="789" t="s">
        <v>87</v>
      </c>
    </row>
    <row r="21" spans="2:7">
      <c r="B21" s="789" t="s">
        <v>67</v>
      </c>
      <c r="C21">
        <f>'First iteration &amp; Mechanical'!M67</f>
        <v>200000</v>
      </c>
      <c r="D21" s="789" t="s">
        <v>87</v>
      </c>
    </row>
    <row r="22" spans="2:7" ht="13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7">
      <c r="B23" s="789" t="s">
        <v>1160</v>
      </c>
      <c r="C23">
        <f>'First iteration &amp; Mechanical'!M61</f>
        <v>3.56</v>
      </c>
      <c r="D23" s="789" t="s">
        <v>2</v>
      </c>
    </row>
    <row r="24" spans="2:7">
      <c r="B24" s="789" t="s">
        <v>1141</v>
      </c>
      <c r="D24" s="789" t="str">
        <f>C25 &amp;"."&amp; C26</f>
        <v>10.9</v>
      </c>
      <c r="E24" s="789" t="s">
        <v>713</v>
      </c>
      <c r="F24" s="789" t="s">
        <v>1180</v>
      </c>
      <c r="G24" s="789" t="s">
        <v>1178</v>
      </c>
    </row>
    <row r="25" spans="2:7">
      <c r="B25" s="789" t="s">
        <v>1176</v>
      </c>
      <c r="C25">
        <v>10</v>
      </c>
      <c r="D25" s="789"/>
    </row>
    <row r="26" spans="2:7">
      <c r="B26" s="789" t="s">
        <v>1177</v>
      </c>
      <c r="C26">
        <v>9</v>
      </c>
      <c r="D26" s="789"/>
    </row>
    <row r="27" spans="2:7">
      <c r="B27" s="789" t="s">
        <v>842</v>
      </c>
      <c r="C27">
        <f>C28*0.9</f>
        <v>900</v>
      </c>
      <c r="D27" s="789" t="s">
        <v>87</v>
      </c>
    </row>
    <row r="28" spans="2:7">
      <c r="B28" s="789" t="s">
        <v>843</v>
      </c>
      <c r="C28">
        <f>C25*100</f>
        <v>1000</v>
      </c>
      <c r="D28" s="789" t="s">
        <v>87</v>
      </c>
    </row>
    <row r="29" spans="2:7">
      <c r="B29" s="789" t="s">
        <v>67</v>
      </c>
      <c r="C29">
        <v>200000</v>
      </c>
      <c r="D29" s="789" t="s">
        <v>87</v>
      </c>
    </row>
    <row r="30" spans="2:7" ht="13">
      <c r="B30" s="204" t="s">
        <v>1061</v>
      </c>
      <c r="C30">
        <v>0.28999999999999998</v>
      </c>
      <c r="D30" s="789" t="s">
        <v>64</v>
      </c>
    </row>
    <row r="31" spans="2:7">
      <c r="B31" s="789" t="s">
        <v>1142</v>
      </c>
      <c r="C31" s="789" t="s">
        <v>1179</v>
      </c>
    </row>
    <row r="32" spans="2:7">
      <c r="B32" s="789" t="s">
        <v>1181</v>
      </c>
      <c r="C32" s="789">
        <v>0.5</v>
      </c>
      <c r="D32" s="789" t="s">
        <v>2</v>
      </c>
    </row>
    <row r="33" spans="2:4">
      <c r="B33" s="789" t="s">
        <v>1143</v>
      </c>
      <c r="D33">
        <f>Sf_shearFailureBolts</f>
        <v>1.5901949830766202</v>
      </c>
    </row>
    <row r="35" spans="2:4" ht="13">
      <c r="B35" s="789" t="s">
        <v>1144</v>
      </c>
    </row>
    <row r="36" spans="2:4">
      <c r="B36" s="789" t="s">
        <v>1147</v>
      </c>
      <c r="C36">
        <f>(C6*C13)/C37</f>
        <v>1811.0986581204886</v>
      </c>
      <c r="D36" s="789" t="s">
        <v>1133</v>
      </c>
    </row>
    <row r="37" spans="2:4">
      <c r="B37" s="789" t="s">
        <v>1145</v>
      </c>
      <c r="C37">
        <v>4</v>
      </c>
    </row>
    <row r="38" spans="2:4" ht="13">
      <c r="B38" s="789" t="s">
        <v>1146</v>
      </c>
    </row>
    <row r="39" spans="2:4">
      <c r="B39" s="789" t="s">
        <v>1147</v>
      </c>
      <c r="C39">
        <f>(C7*C13)/C40</f>
        <v>947.74979816426503</v>
      </c>
      <c r="D39" s="789" t="s">
        <v>1134</v>
      </c>
    </row>
    <row r="40" spans="2:4">
      <c r="B40" s="789" t="s">
        <v>1145</v>
      </c>
      <c r="C40">
        <v>6</v>
      </c>
    </row>
    <row r="42" spans="2:4">
      <c r="B42" s="415" t="s">
        <v>1148</v>
      </c>
    </row>
    <row r="43" spans="2:4">
      <c r="B43" s="789" t="s">
        <v>1149</v>
      </c>
    </row>
    <row r="44" spans="2:4">
      <c r="B44" t="s">
        <v>1150</v>
      </c>
    </row>
    <row r="45" spans="2:4">
      <c r="B45" s="789" t="s">
        <v>1151</v>
      </c>
    </row>
    <row r="46" spans="2:4">
      <c r="B46" s="789" t="s">
        <v>1152</v>
      </c>
    </row>
    <row r="47" spans="2:4">
      <c r="B47" s="789" t="s">
        <v>1153</v>
      </c>
    </row>
    <row r="48" spans="2:4">
      <c r="B48" s="789" t="s">
        <v>1154</v>
      </c>
    </row>
    <row r="50" spans="2:4">
      <c r="B50" s="789" t="s">
        <v>1162</v>
      </c>
    </row>
    <row r="51" spans="2:4">
      <c r="B51" s="789" t="s">
        <v>1147</v>
      </c>
      <c r="C51">
        <f>C52*C19*(C55-C54)*C23</f>
        <v>4323.88110363123</v>
      </c>
    </row>
    <row r="52" spans="2:4">
      <c r="B52" s="789" t="s">
        <v>1155</v>
      </c>
      <c r="C52" s="10">
        <f>IF(C56&lt;0.3,(1-0.9+3*C53*C56),1)</f>
        <v>0.16788599468374679</v>
      </c>
    </row>
    <row r="53" spans="2:4">
      <c r="B53" s="789" t="s">
        <v>1156</v>
      </c>
      <c r="C53" s="793">
        <f>1/C37</f>
        <v>0.25</v>
      </c>
    </row>
    <row r="54" spans="2:4">
      <c r="B54" s="789" t="s">
        <v>1157</v>
      </c>
      <c r="C54" s="10">
        <f>C17</f>
        <v>3</v>
      </c>
      <c r="D54" s="789" t="s">
        <v>2</v>
      </c>
    </row>
    <row r="55" spans="2:4">
      <c r="B55" s="789" t="s">
        <v>1158</v>
      </c>
      <c r="C55" s="10">
        <f>(PI()*'First iteration &amp; Mechanical'!M59)/C37</f>
        <v>33.14380249537232</v>
      </c>
      <c r="D55" s="789" t="s">
        <v>2</v>
      </c>
    </row>
    <row r="56" spans="2:4">
      <c r="B56" s="789" t="s">
        <v>1159</v>
      </c>
      <c r="C56" s="10">
        <f>C54/C55</f>
        <v>9.051465957832909E-2</v>
      </c>
    </row>
    <row r="57" spans="2:4">
      <c r="B57" s="789" t="s">
        <v>1138</v>
      </c>
      <c r="C57">
        <f>C51/C36</f>
        <v>2.3874354300049241</v>
      </c>
    </row>
    <row r="59" spans="2:4">
      <c r="B59" s="789" t="s">
        <v>1154</v>
      </c>
    </row>
    <row r="60" spans="2:4">
      <c r="B60" s="789" t="s">
        <v>1147</v>
      </c>
      <c r="C60">
        <f>0.32*C28*C17^2</f>
        <v>2880</v>
      </c>
    </row>
    <row r="61" spans="2:4" ht="13">
      <c r="B61" s="789" t="s">
        <v>1138</v>
      </c>
      <c r="C61">
        <f>C60/C36</f>
        <v>1.5901949830766202</v>
      </c>
      <c r="D61" s="720" t="s">
        <v>1166</v>
      </c>
    </row>
    <row r="63" spans="2:4">
      <c r="B63" s="789" t="s">
        <v>1163</v>
      </c>
    </row>
    <row r="64" spans="2:4">
      <c r="B64" s="789" t="s">
        <v>1147</v>
      </c>
      <c r="C64" s="10">
        <f>MAX(C60,C51)</f>
        <v>4323.88110363123</v>
      </c>
      <c r="D64" s="789" t="s">
        <v>1216</v>
      </c>
    </row>
    <row r="65" spans="2:4">
      <c r="B65" s="789" t="s">
        <v>1165</v>
      </c>
      <c r="C65" s="10">
        <f>(C64*SQRT(3))/(2*C23*C19)</f>
        <v>4.382714043408404</v>
      </c>
      <c r="D65" s="789" t="s">
        <v>2</v>
      </c>
    </row>
    <row r="66" spans="2:4">
      <c r="B66" s="789" t="s">
        <v>1157</v>
      </c>
      <c r="C66" s="10">
        <f>C54</f>
        <v>3</v>
      </c>
      <c r="D66" s="789" t="s">
        <v>2</v>
      </c>
    </row>
    <row r="67" spans="2:4">
      <c r="B67" s="789" t="s">
        <v>1164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3.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 ht="13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5.5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 ht="13">
      <c r="B43" s="603" t="s">
        <v>836</v>
      </c>
    </row>
    <row r="46" spans="2:12" ht="13">
      <c r="B46" s="604" t="s">
        <v>837</v>
      </c>
    </row>
    <row r="47" spans="2:12" ht="15.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 ht="13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5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887</v>
      </c>
    </row>
    <row r="79" spans="2:12" ht="13.5">
      <c r="B79" s="635" t="s">
        <v>888</v>
      </c>
    </row>
    <row r="80" spans="2:12" ht="13">
      <c r="B80" s="129" t="s">
        <v>889</v>
      </c>
    </row>
    <row r="81" spans="2:3" ht="1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 ht="1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 ht="13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 ht="13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5">
      <c r="B250" s="747" t="s">
        <v>994</v>
      </c>
      <c r="C250" s="748"/>
      <c r="D250" s="748"/>
      <c r="E250" s="748"/>
      <c r="F250" s="749"/>
      <c r="H250" s="22" t="s">
        <v>995</v>
      </c>
    </row>
    <row r="251" spans="2:8" ht="13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 ht="13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 ht="13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 ht="13">
      <c r="B273" s="636" t="s">
        <v>1013</v>
      </c>
    </row>
    <row r="274" spans="2:2" ht="13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 ht="13">
      <c r="B280" s="636" t="s">
        <v>1019</v>
      </c>
    </row>
    <row r="281" spans="2:2" ht="13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1640625" defaultRowHeight="12.5"/>
  <sheetData>
    <row r="2" spans="2:21" ht="13">
      <c r="Q2" s="720" t="s">
        <v>943</v>
      </c>
    </row>
    <row r="3" spans="2:21">
      <c r="D3" s="721"/>
    </row>
    <row r="4" spans="2:21" ht="13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 ht="13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 ht="13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5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 ht="13">
      <c r="B14" s="722" t="s">
        <v>962</v>
      </c>
      <c r="C14" s="723">
        <v>310</v>
      </c>
      <c r="D14" s="636" t="s">
        <v>963</v>
      </c>
      <c r="E14" t="s">
        <v>838</v>
      </c>
    </row>
    <row r="15" spans="2:21" ht="13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 ht="13">
      <c r="B16" s="2" t="s">
        <v>965</v>
      </c>
      <c r="C16" s="723">
        <v>9.9</v>
      </c>
      <c r="D16" s="636" t="s">
        <v>966</v>
      </c>
      <c r="E16" t="s">
        <v>967</v>
      </c>
    </row>
    <row r="17" spans="2:21" ht="13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5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886</v>
      </c>
    </row>
    <row r="37" spans="2:17" ht="13.5">
      <c r="B37" s="129" t="s">
        <v>887</v>
      </c>
    </row>
    <row r="38" spans="2:17" ht="13.5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 ht="13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1029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5" t="s">
        <v>365</v>
      </c>
      <c r="C5" s="826"/>
      <c r="D5" s="826"/>
      <c r="E5" s="826"/>
      <c r="F5" s="826"/>
      <c r="G5" s="826"/>
      <c r="H5" s="826"/>
      <c r="I5" s="826"/>
      <c r="J5" s="826"/>
      <c r="K5" s="82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0"/>
      <c r="C6" s="820"/>
      <c r="D6" s="820"/>
      <c r="E6" s="25" t="s">
        <v>80</v>
      </c>
      <c r="F6" s="25" t="s">
        <v>81</v>
      </c>
      <c r="G6" s="820"/>
      <c r="H6" s="820"/>
      <c r="I6" s="82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21" t="s">
        <v>82</v>
      </c>
      <c r="C7" s="821"/>
      <c r="D7" s="821"/>
      <c r="E7" s="821" t="s">
        <v>83</v>
      </c>
      <c r="F7" s="821"/>
      <c r="G7" s="821" t="s">
        <v>84</v>
      </c>
      <c r="H7" s="821"/>
      <c r="I7" s="821"/>
      <c r="J7" s="821" t="s">
        <v>85</v>
      </c>
      <c r="K7" s="82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0"/>
      <c r="C17" s="820"/>
      <c r="D17" s="820"/>
      <c r="E17" s="25" t="s">
        <v>80</v>
      </c>
      <c r="F17" s="25" t="s">
        <v>81</v>
      </c>
      <c r="G17" s="820"/>
      <c r="H17" s="820"/>
      <c r="I17" s="82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21" t="s">
        <v>82</v>
      </c>
      <c r="C18" s="821"/>
      <c r="D18" s="821"/>
      <c r="E18" s="821" t="s">
        <v>83</v>
      </c>
      <c r="F18" s="821"/>
      <c r="G18" s="822" t="s">
        <v>84</v>
      </c>
      <c r="H18" s="823"/>
      <c r="I18" s="824"/>
      <c r="J18" s="822" t="s">
        <v>85</v>
      </c>
      <c r="K18" s="82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0"/>
      <c r="C26" s="820"/>
      <c r="D26" s="820"/>
      <c r="E26" s="25" t="s">
        <v>80</v>
      </c>
      <c r="F26" s="25" t="s">
        <v>81</v>
      </c>
      <c r="G26" s="820"/>
      <c r="H26" s="820"/>
      <c r="I26" s="82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21" t="s">
        <v>82</v>
      </c>
      <c r="C27" s="821"/>
      <c r="D27" s="821"/>
      <c r="E27" s="821" t="s">
        <v>83</v>
      </c>
      <c r="F27" s="821"/>
      <c r="G27" s="822" t="s">
        <v>84</v>
      </c>
      <c r="H27" s="823"/>
      <c r="I27" s="824"/>
      <c r="J27" s="822" t="s">
        <v>85</v>
      </c>
      <c r="K27" s="82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0"/>
      <c r="C31" s="820"/>
      <c r="D31" s="820"/>
      <c r="E31" s="25" t="s">
        <v>80</v>
      </c>
      <c r="F31" s="25" t="s">
        <v>81</v>
      </c>
      <c r="G31" s="820"/>
      <c r="H31" s="820"/>
      <c r="I31" s="82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21" t="s">
        <v>82</v>
      </c>
      <c r="C32" s="821"/>
      <c r="D32" s="821"/>
      <c r="E32" s="821" t="s">
        <v>83</v>
      </c>
      <c r="F32" s="821"/>
      <c r="G32" s="822" t="s">
        <v>84</v>
      </c>
      <c r="H32" s="823"/>
      <c r="I32" s="824"/>
      <c r="J32" s="822" t="s">
        <v>85</v>
      </c>
      <c r="K32" s="82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8"/>
      <c r="C50" s="829"/>
      <c r="D50" s="830"/>
      <c r="E50" s="25" t="s">
        <v>80</v>
      </c>
      <c r="F50" s="25" t="s">
        <v>81</v>
      </c>
      <c r="G50" s="828"/>
      <c r="H50" s="829"/>
      <c r="I50" s="83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2" t="s">
        <v>82</v>
      </c>
      <c r="C51" s="823"/>
      <c r="D51" s="824"/>
      <c r="E51" s="822" t="s">
        <v>83</v>
      </c>
      <c r="F51" s="824"/>
      <c r="G51" s="822" t="s">
        <v>84</v>
      </c>
      <c r="H51" s="823"/>
      <c r="I51" s="824"/>
      <c r="J51" s="822" t="s">
        <v>85</v>
      </c>
      <c r="K51" s="82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8"/>
      <c r="C56" s="829"/>
      <c r="D56" s="830"/>
      <c r="E56" s="25" t="s">
        <v>80</v>
      </c>
      <c r="F56" s="25" t="s">
        <v>81</v>
      </c>
      <c r="G56" s="828"/>
      <c r="H56" s="829"/>
      <c r="I56" s="83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2" t="s">
        <v>82</v>
      </c>
      <c r="C57" s="823"/>
      <c r="D57" s="824"/>
      <c r="E57" s="822" t="s">
        <v>83</v>
      </c>
      <c r="F57" s="824"/>
      <c r="G57" s="822" t="s">
        <v>84</v>
      </c>
      <c r="H57" s="823"/>
      <c r="I57" s="824"/>
      <c r="J57" s="822" t="s">
        <v>85</v>
      </c>
      <c r="K57" s="82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8"/>
      <c r="C62" s="829"/>
      <c r="D62" s="830"/>
      <c r="E62" s="25" t="s">
        <v>80</v>
      </c>
      <c r="F62" s="25" t="s">
        <v>81</v>
      </c>
      <c r="G62" s="828"/>
      <c r="H62" s="829"/>
      <c r="I62" s="83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2" t="s">
        <v>82</v>
      </c>
      <c r="C63" s="823"/>
      <c r="D63" s="824"/>
      <c r="E63" s="822" t="s">
        <v>83</v>
      </c>
      <c r="F63" s="824"/>
      <c r="G63" s="822" t="s">
        <v>84</v>
      </c>
      <c r="H63" s="823"/>
      <c r="I63" s="824"/>
      <c r="J63" s="822" t="s">
        <v>85</v>
      </c>
      <c r="K63" s="82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C7" sqref="C7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2025-06-14T19:25:09Z</dcterms:modified>
</cp:coreProperties>
</file>