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-105" yWindow="-105" windowWidth="19425" windowHeight="11505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7" i="25" l="1"/>
  <c r="I81" i="25"/>
  <c r="D100" i="25"/>
  <c r="J101" i="25"/>
  <c r="B100" i="25" s="1"/>
  <c r="M127" i="25" l="1"/>
  <c r="L119" i="25"/>
  <c r="L129" i="25" s="1"/>
  <c r="M116" i="25"/>
  <c r="M117" i="25" s="1"/>
  <c r="M118" i="25" s="1"/>
  <c r="M119" i="25" s="1"/>
  <c r="L115" i="25"/>
  <c r="L127" i="25" s="1"/>
  <c r="L117" i="25"/>
  <c r="B33" i="25"/>
  <c r="B37" i="25"/>
  <c r="B39" i="25"/>
  <c r="B92" i="25"/>
  <c r="D82" i="25"/>
  <c r="D83" i="25" s="1"/>
  <c r="D81" i="25"/>
  <c r="D77" i="25"/>
  <c r="I79" i="25"/>
  <c r="I78" i="25" s="1"/>
  <c r="D33" i="25"/>
  <c r="B42" i="25" s="1"/>
  <c r="F19" i="25"/>
  <c r="C33" i="25" s="1"/>
  <c r="J21" i="25"/>
  <c r="B40" i="25" s="1"/>
  <c r="J22" i="25"/>
  <c r="D20" i="25"/>
  <c r="D29" i="25"/>
  <c r="C40" i="25"/>
  <c r="C39" i="25"/>
  <c r="C37" i="25"/>
  <c r="L128" i="25" l="1"/>
  <c r="M128" i="25" s="1"/>
  <c r="M129" i="25" s="1"/>
  <c r="L118" i="25"/>
  <c r="L116" i="25"/>
  <c r="L120" i="25"/>
  <c r="M120" i="25"/>
  <c r="I80" i="25"/>
  <c r="I82" i="25"/>
  <c r="D28" i="25"/>
  <c r="C32" i="25"/>
  <c r="D21" i="25"/>
  <c r="B32" i="25" s="1"/>
  <c r="H25" i="25"/>
  <c r="H29" i="25" s="1"/>
  <c r="H30" i="25" s="1"/>
  <c r="D25" i="25"/>
  <c r="D32" i="25" l="1"/>
  <c r="D27" i="25" s="1"/>
  <c r="C42" i="25" s="1"/>
  <c r="D26" i="25"/>
  <c r="N37" i="16"/>
  <c r="C28" i="16" l="1"/>
  <c r="C24" i="16"/>
  <c r="N41" i="16"/>
  <c r="L41" i="16" s="1"/>
  <c r="L36" i="16"/>
  <c r="N36" i="16" s="1"/>
  <c r="G213" i="25"/>
  <c r="I213" i="25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I212" i="25"/>
  <c r="G212" i="25"/>
  <c r="D215" i="25"/>
  <c r="H215" i="25" s="1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13" i="25"/>
  <c r="H213" i="25" s="1"/>
  <c r="D214" i="25"/>
  <c r="H214" i="25" s="1"/>
  <c r="D212" i="25"/>
  <c r="H212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L35" i="16" l="1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I22" i="24" l="1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30" i="24" l="1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4" i="14" l="1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3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0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<sst xmlns="http://schemas.openxmlformats.org/spreadsheetml/2006/main" count="1313" uniqueCount="838">
  <si>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</si>
  <si>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</si>
  <si>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</si>
  <si>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</si>
  <si>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</si>
  <si>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</si>
  <si>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</si>
  <si>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</si>
  <si>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</si>
  <si>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</si>
  <si>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</si>
  <si>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</si>
  <si>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</si>
  <si>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</si>
  <si>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</si>
  <si>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</si>
  <si>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</si>
  <si>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</si>
  <si>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</si>
  <si>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</si>
  <si>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</si>
  <si>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</si>
  <si>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</si>
  <si>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</si>
  <si>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</si>
  <si>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</si>
  <si>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</si>
  <si>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</si>
  <si>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</si>
  <si>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</si>
  <si>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</si>
  <si>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</si>
  <si>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</si>
  <si>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</si>
  <si>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</si>
  <si>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</si>
  <si>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</si>
  <si>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</si>
  <si>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</si>
  <si>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</si>
  <si>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</si>
  <si>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</si>
  <si>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</si>
  <si>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</si>
  <si>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</si>
  <si>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</si>
  <si>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</si>
  <si>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</si>
  <si>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</si>
  <si>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</si>
  <si>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</si>
  <si>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</si>
  <si>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</si>
  <si>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</si>
  <si>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</si>
  <si>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</si>
  <si>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</si>
  <si>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</si>
  <si>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</si>
  <si>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</si>
  <si>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</si>
  <si>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</si>
  <si>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</si>
  <si>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</si>
  <si>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</si>
  <si>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</si>
  <si>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</si>
  <si>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</si>
  <si>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</si>
  <si>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</si>
  <si>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</si>
  <si>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</si>
  <si>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</si>
  <si>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</si>
  <si>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</si>
  <si>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</si>
  <si>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</si>
  <si>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</si>
  <si>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</si>
  <si>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</si>
  <si>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</si>
  <si>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</si>
  <si>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</si>
  <si>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</si>
  <si>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</si>
  <si>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</si>
  <si>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</si>
  <si>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</si>
  <si>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</si>
  <si>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</si>
  <si>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</si>
  <si>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</si>
  <si>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</si>
  <si>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</si>
  <si>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</si>
  <si>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</si>
  <si>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</si>
  <si>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</si>
  <si>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</si>
  <si>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</si>
  <si>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</si>
  <si>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</si>
  <si>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</si>
  <si>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</si>
  <si>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</si>
  <si>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</si>
  <si>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</si>
  <si>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</si>
  <si>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</si>
  <si>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</si>
  <si>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</si>
  <si>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</si>
  <si>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</si>
  <si>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</si>
  <si>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</si>
  <si>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</si>
  <si>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</si>
  <si>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</si>
  <si>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</si>
  <si>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</si>
  <si>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</si>
  <si>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</si>
  <si>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</si>
  <si>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</si>
  <si>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</si>
  <si>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</si>
  <si>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</si>
  <si>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</si>
  <si>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</si>
  <si>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</si>
  <si>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</si>
  <si>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</si>
  <si>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</si>
  <si>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</si>
  <si>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</si>
  <si>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</si>
  <si>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</si>
  <si>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</si>
  <si>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</si>
  <si>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</si>
  <si>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</si>
  <si>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</si>
  <si>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</si>
  <si>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</si>
  <si>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</si>
  <si>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</si>
  <si>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</si>
  <si>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</si>
  <si>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</si>
  <si>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</si>
  <si>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</si>
  <si>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</si>
  <si>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</si>
  <si>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</si>
  <si>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</si>
  <si>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</si>
  <si>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</si>
  <si>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</si>
  <si>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</si>
  <si>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</si>
  <si>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</si>
  <si>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</si>
  <si>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</si>
  <si>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</si>
  <si>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</si>
  <si>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</si>
  <si>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</si>
  <si>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</si>
  <si>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</si>
  <si>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</si>
  <si>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</si>
  <si>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</si>
  <si>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</si>
  <si>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</si>
  <si>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</si>
  <si>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</si>
  <si>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</si>
  <si>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</si>
  <si>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</si>
  <si>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</si>
  <si>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</si>
  <si>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</si>
  <si>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</si>
  <si>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</si>
  <si>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</si>
  <si>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</si>
  <si>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</si>
  <si>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</si>
  <si>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</si>
  <si>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</si>
  <si>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</si>
  <si>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</si>
  <si>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</si>
  <si>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</si>
  <si>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</si>
  <si>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</si>
  <si>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</si>
  <si>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</si>
  <si>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</si>
  <si>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</si>
  <si>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</si>
  <si>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</si>
  <si>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</si>
  <si>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</si>
  <si>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</si>
  <si>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</si>
  <si>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</si>
  <si>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</si>
  <si>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</si>
  <si>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</si>
  <si>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</si>
  <si>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</si>
  <si>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</si>
  <si>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</si>
  <si>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</si>
  <si>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</si>
  <si>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</si>
  <si>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</si>
  <si>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</si>
  <si>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</si>
  <si>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</si>
  <si>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</si>
  <si>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</si>
  <si>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</si>
  <si>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</si>
  <si>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</si>
  <si>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</si>
  <si>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</si>
  <si>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</si>
  <si>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</si>
  <si>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</si>
  <si>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</si>
  <si>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</si>
  <si>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</si>
  <si>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</si>
  <si>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</si>
  <si>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</si>
  <si>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</si>
  <si>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</si>
  <si>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</si>
  <si>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</si>
  <si>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</si>
  <si>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</si>
  <si>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</si>
  <si>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</si>
  <si>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</si>
  <si>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</si>
  <si>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</si>
  <si>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</si>
  <si>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</si>
  <si>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</si>
  <si>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</si>
  <si>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</si>
  <si>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</si>
  <si>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</si>
  <si>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</si>
  <si>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</si>
  <si>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</si>
  <si>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</si>
  <si>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</si>
  <si>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</si>
  <si>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</si>
  <si>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</si>
  <si>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</si>
  <si>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</si>
  <si>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</si>
  <si>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</si>
  <si>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</si>
  <si>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</si>
  <si>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</si>
  <si>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</si>
  <si>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</si>
  <si>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</si>
  <si>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</si>
  <si>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</si>
  <si>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</si>
  <si>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</si>
  <si>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</si>
  <si>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</si>
  <si>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</si>
  <si>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</si>
  <si>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</si>
  <si>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</si>
  <si>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</si>
  <si>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</si>
  <si>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</si>
  <si>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</si>
  <si>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</si>
  <si>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</si>
  <si>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</si>
  <si>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</si>
  <si>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</si>
  <si>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</si>
  <si>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</si>
  <si>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</si>
  <si>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</si>
  <si>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</si>
  <si>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</si>
  <si>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</si>
  <si>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</si>
  <si>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</si>
  <si>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</si>
  <si>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</si>
  <si>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</si>
  <si>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</si>
  <si>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</si>
  <si>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</si>
  <si>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</si>
  <si>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</si>
  <si>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</si>
  <si>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</si>
  <si>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</si>
  <si>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</si>
  <si>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</si>
  <si>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</si>
  <si>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</si>
  <si>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</si>
  <si>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</si>
  <si>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</si>
  <si>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</si>
  <si>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</si>
  <si>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</si>
  <si>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</si>
  <si>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</si>
  <si>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</si>
  <si>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</si>
  <si>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</si>
  <si>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</si>
  <si>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</si>
  <si>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</si>
  <si>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</si>
  <si>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</si>
  <si>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</si>
  <si>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</si>
  <si>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</si>
  <si>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</si>
  <si>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</si>
  <si>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</si>
  <si>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</si>
  <si>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</si>
  <si>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</si>
  <si>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</si>
  <si>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</si>
  <si>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</si>
  <si>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</si>
  <si>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</si>
  <si>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</si>
  <si>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</si>
  <si>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</si>
  <si>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</si>
  <si>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</si>
  <si>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</si>
  <si>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</si>
  <si>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</si>
  <si>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</si>
  <si>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</si>
  <si>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</si>
  <si>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</si>
  <si>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</si>
  <si>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</si>
  <si>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</si>
  <si>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</si>
  <si>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</si>
  <si>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</si>
  <si>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</si>
  <si>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</si>
  <si>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</si>
  <si>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</si>
  <si>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</si>
  <si>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</si>
  <si>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</si>
  <si>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</si>
  <si>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</si>
  <si>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</si>
  <si>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</si>
  <si>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</si>
  <si>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</si>
  <si>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</si>
  <si>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</si>
  <si>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</si>
  <si>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</si>
  <si>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</si>
  <si>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</si>
  <si>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</si>
  <si>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</si>
  <si>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</si>
  <si>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</si>
  <si>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</si>
  <si>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</si>
  <si>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</si>
  <si>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</si>
  <si>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</si>
  <si>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</si>
  <si>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</si>
  <si>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</si>
  <si>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</si>
  <si>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</si>
  <si>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</si>
  <si>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</si>
  <si>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</si>
  <si>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</si>
  <si>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</si>
  <si>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</si>
  <si>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</si>
  <si>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</si>
  <si>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</si>
  <si>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</si>
  <si>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</si>
  <si>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</si>
  <si>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</si>
  <si>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</si>
  <si>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</si>
  <si>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</si>
  <si>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</si>
  <si>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</si>
  <si>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</si>
  <si>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</si>
  <si>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</si>
  <si>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</si>
  <si>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</si>
  <si>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</si>
  <si>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</si>
  <si>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</si>
  <si>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</si>
  <si>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</si>
  <si>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</si>
  <si>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</si>
  <si>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</si>
  <si>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</si>
  <si>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</si>
  <si>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</si>
  <si>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</si>
  <si>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</si>
  <si>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</si>
  <si>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</si>
  <si>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</si>
  <si>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</si>
  <si>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</si>
  <si>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</si>
  <si>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</si>
  <si>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</si>
  <si>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</si>
  <si>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</si>
  <si>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</si>
  <si>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</si>
  <si>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</si>
  <si>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</si>
  <si>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</si>
  <si>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</si>
  <si>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</si>
  <si>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</si>
  <si>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</si>
  <si>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</si>
  <si>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</si>
  <si>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</si>
  <si>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</si>
  <si>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</si>
  <si>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</si>
  <si>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</si>
  <si>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</si>
  <si>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</si>
  <si>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</si>
  <si>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</si>
  <si>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</si>
  <si>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</si>
  <si>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</si>
  <si>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</si>
  <si>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</si>
  <si>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</si>
  <si>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</si>
  <si>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</si>
  <si>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</si>
  <si>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</si>
  <si>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</si>
  <si>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</si>
  <si>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</si>
  <si>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</si>
  <si>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</si>
  <si>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</si>
  <si>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</si>
  <si>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</si>
  <si>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</si>
  <si>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</si>
  <si>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</si>
  <si>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</si>
  <si>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</si>
  <si>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</si>
  <si>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</si>
  <si>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</si>
  <si>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</si>
  <si>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</si>
  <si>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</si>
  <si>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</si>
  <si>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</si>
  <si>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</si>
  <si>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</si>
  <si>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</si>
  <si>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</si>
  <si>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</si>
  <si>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</si>
  <si>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</si>
  <si>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</si>
  <si>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</si>
  <si>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</si>
  <si>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</si>
  <si>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</si>
  <si>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</si>
  <si>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</si>
  <si>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</si>
  <si>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</si>
  <si>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</si>
  <si>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</si>
  <si>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</si>
  <si>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</si>
  <si>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</si>
  <si>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</si>
  <si>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</si>
  <si>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</si>
  <si>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</si>
  <si>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</si>
  <si>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</si>
  <si>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</si>
  <si>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</si>
  <si>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</si>
  <si>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</si>
  <si>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</si>
  <si>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</si>
  <si>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</si>
  <si>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</si>
  <si>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</si>
  <si>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</si>
  <si>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</si>
  <si>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</si>
  <si>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</si>
  <si>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</si>
  <si>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</si>
  <si>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</si>
  <si>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</si>
  <si>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</si>
  <si>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</si>
  <si>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</si>
  <si>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</si>
  <si>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</si>
  <si>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</si>
  <si>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</si>
  <si>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</si>
  <si>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</si>
  <si>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</si>
  <si>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</si>
  <si>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</si>
  <si>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</si>
  <si>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</si>
  <si>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</si>
  <si>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</si>
  <si>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</si>
  <si>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</si>
  <si>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</si>
  <si>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</si>
  <si>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</si>
  <si>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</si>
  <si>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</si>
  <si>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</si>
  <si>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</si>
  <si>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</si>
  <si>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</si>
  <si>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</si>
  <si>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</si>
  <si>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</si>
  <si>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</si>
  <si>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</si>
  <si>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</si>
  <si>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</si>
  <si>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</si>
  <si>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</si>
  <si>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</si>
  <si>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</si>
  <si>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</si>
  <si>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</si>
  <si>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</si>
  <si>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</si>
  <si>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</si>
  <si>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</si>
  <si>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</si>
  <si>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</si>
  <si>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</si>
  <si>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</si>
  <si>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</si>
  <si>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</si>
  <si>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</si>
  <si>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</si>
  <si>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</si>
  <si>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</si>
  <si>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</si>
  <si>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</si>
  <si>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</si>
  <si>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</si>
  <si>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</si>
  <si>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</si>
  <si>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</si>
  <si>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</si>
  <si>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</si>
  <si>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</si>
  <si>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</si>
  <si>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</si>
  <si>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</si>
  <si>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</si>
  <si>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</si>
  <si>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</si>
  <si>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</si>
  <si>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</si>
  <si>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</si>
  <si>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</si>
  <si>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</si>
  <si>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</si>
  <si>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</si>
  <si>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</si>
  <si>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</si>
  <si>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</si>
  <si>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</si>
  <si>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</si>
  <si>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</si>
  <si>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</si>
  <si>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</si>
  <si>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</si>
  <si>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</si>
  <si>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</si>
  <si>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</si>
  <si>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</si>
  <si>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</si>
  <si>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</si>
  <si>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</si>
  <si>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</si>
  <si>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</si>
  <si>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</si>
  <si>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</si>
  <si>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</si>
  <si>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</si>
  <si>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</si>
  <si>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</si>
  <si>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</si>
  <si>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</si>
  <si>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</si>
  <si>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</si>
  <si>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</si>
  <si>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</si>
  <si>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</si>
  <si>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</si>
  <si>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</si>
  <si>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</si>
  <si>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</si>
  <si>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</si>
  <si>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</si>
  <si>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</si>
  <si>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</si>
  <si>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</si>
  <si>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</si>
  <si>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</si>
  <si>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</si>
  <si>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</si>
  <si>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</si>
  <si>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</si>
  <si>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</si>
  <si>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</si>
  <si>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</si>
  <si>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</si>
  <si>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</si>
  <si>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</si>
  <si>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</si>
  <si>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</si>
  <si>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</si>
  <si>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</si>
  <si>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</si>
  <si>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</si>
  <si>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</si>
  <si>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</si>
  <si>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</si>
  <si>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</si>
  <si>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</si>
  <si>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</si>
  <si>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</si>
  <si>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</si>
  <si>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</si>
  <si>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</si>
  <si>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</si>
  <si>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</si>
  <si>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</si>
  <si>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</si>
  <si>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</si>
  <si>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</si>
  <si>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</si>
  <si>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</si>
  <si>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</si>
  <si>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</si>
  <si>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</si>
  <si>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</si>
  <si>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</si>
  <si>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</si>
  <si>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</si>
  <si>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</si>
  <si>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</si>
  <si>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</si>
  <si>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</si>
  <si>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</si>
  <si>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</si>
  <si>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</si>
  <si>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</si>
  <si>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</si>
  <si>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</si>
  <si>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</si>
  <si>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</si>
  <si>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</si>
  <si>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</si>
  <si>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</si>
  <si>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</si>
  <si>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</si>
  <si>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</si>
  <si>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</si>
  <si>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</si>
  <si>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</si>
  <si>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</si>
  <si>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</si>
  <si>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</si>
  <si>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</si>
  <si>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</si>
  <si>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</si>
  <si>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</si>
  <si>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</si>
  <si>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</si>
  <si>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</si>
  <si>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t>Fiber Ftu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</si>
  <si>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</si>
  <si>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t>Matrix Ftu</t>
  </si>
  <si>
    <t>Matrix Fty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</si>
  <si>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</si>
  <si>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</si>
  <si>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</si>
  <si>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</si>
  <si>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</si>
  <si>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</si>
  <si>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Matrix Fcu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</si>
  <si>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</si>
  <si>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</si>
  <si>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</si>
  <si>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</si>
  <si>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</si>
  <si>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</si>
  <si>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</si>
  <si>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</si>
  <si>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Youngs Module  fiber</t>
  </si>
  <si>
    <t>Youngs Module resin</t>
  </si>
  <si>
    <t>Fty composite</t>
  </si>
  <si>
    <t xml:space="preserve">Ftu composite </t>
  </si>
  <si>
    <t xml:space="preserve">Fcu composite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</si>
  <si>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</si>
  <si>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</si>
  <si>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</si>
  <si>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</si>
  <si>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</si>
  <si>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</si>
  <si>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</si>
  <si>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</si>
  <si>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</si>
  <si>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</si>
  <si>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</si>
  <si>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Fcu</t>
  </si>
  <si>
    <t>Fiber εcu</t>
  </si>
  <si>
    <t>Composite Youngs Module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</si>
  <si>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</si>
  <si>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</si>
  <si>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</si>
  <si>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</si>
  <si>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</si>
  <si>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</si>
  <si>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</si>
  <si>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</si>
  <si>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</si>
  <si>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</si>
  <si>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</si>
  <si>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</si>
  <si>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</si>
  <si>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</si>
  <si>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</si>
  <si>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</si>
  <si>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</si>
  <si>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</si>
  <si>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</si>
  <si>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Coefficient of thermal exp.
 (X10^-3 m/m°C)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</si>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</sst>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1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392152"/>
        <c:axId val="420470832"/>
      </c:scatterChart>
      <c:valAx>
        <c:axId val="42039215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470832"/>
        <c:crosses val="autoZero"/>
        <c:crossBetween val="midCat"/>
        <c:majorUnit val="0.30000000000000004"/>
        <c:minorUnit val="0.30000000000000004"/>
      </c:valAx>
      <c:valAx>
        <c:axId val="4204708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39215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04248"/>
        <c:axId val="420000024"/>
      </c:scatterChart>
      <c:valAx>
        <c:axId val="2097042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000024"/>
        <c:crossesAt val="0"/>
        <c:crossBetween val="midCat"/>
      </c:valAx>
      <c:valAx>
        <c:axId val="4200000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970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655408"/>
        <c:axId val="421655792"/>
      </c:scatterChart>
      <c:valAx>
        <c:axId val="42165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55792"/>
        <c:crosses val="autoZero"/>
        <c:crossBetween val="midCat"/>
      </c:valAx>
      <c:valAx>
        <c:axId val="42165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55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578984"/>
        <c:axId val="420579368"/>
      </c:scatterChart>
      <c:valAx>
        <c:axId val="420578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579368"/>
        <c:crosses val="autoZero"/>
        <c:crossBetween val="midCat"/>
      </c:valAx>
      <c:valAx>
        <c:axId val="420579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578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3752"/>
        <c:axId val="422614136"/>
      </c:scatterChart>
      <c:valAx>
        <c:axId val="422613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4136"/>
        <c:crosses val="autoZero"/>
        <c:crossBetween val="midCat"/>
      </c:valAx>
      <c:valAx>
        <c:axId val="4226141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3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0128"/>
        <c:axId val="213064048"/>
      </c:scatterChart>
      <c:valAx>
        <c:axId val="21306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4048"/>
        <c:crosses val="autoZero"/>
        <c:crossBetween val="midCat"/>
      </c:valAx>
      <c:valAx>
        <c:axId val="21306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6008"/>
        <c:axId val="213059344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21306600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59344"/>
        <c:crosses val="autoZero"/>
        <c:crossBetween val="midCat"/>
      </c:valAx>
      <c:valAx>
        <c:axId val="21305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6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612816"/>
        <c:axId val="422427624"/>
      </c:scatterChart>
      <c:valAx>
        <c:axId val="21261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7624"/>
        <c:crosses val="autoZero"/>
        <c:crossBetween val="midCat"/>
      </c:valAx>
      <c:valAx>
        <c:axId val="42242762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261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800"/>
        <c:axId val="422433112"/>
      </c:scatterChart>
      <c:valAx>
        <c:axId val="42242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112"/>
        <c:crosses val="autoZero"/>
        <c:crossBetween val="midCat"/>
      </c:valAx>
      <c:valAx>
        <c:axId val="42243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30760"/>
        <c:axId val="422433504"/>
      </c:scatterChart>
      <c:valAx>
        <c:axId val="422430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504"/>
        <c:crosses val="autoZero"/>
        <c:crossBetween val="midCat"/>
      </c:valAx>
      <c:valAx>
        <c:axId val="4224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0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016"/>
        <c:axId val="422431152"/>
      </c:scatterChart>
      <c:valAx>
        <c:axId val="422428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1152"/>
        <c:crosses val="autoZero"/>
        <c:crossBetween val="midCat"/>
      </c:valAx>
      <c:valAx>
        <c:axId val="42243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8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31936"/>
        <c:axId val="422433896"/>
      </c:scatterChart>
      <c:valAx>
        <c:axId val="42243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896"/>
        <c:crosses val="autoZero"/>
        <c:crossBetween val="midCat"/>
      </c:valAx>
      <c:valAx>
        <c:axId val="422433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408"/>
        <c:axId val="422429976"/>
      </c:scatterChart>
      <c:valAx>
        <c:axId val="422428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9976"/>
        <c:crosses val="autoZero"/>
        <c:crossBetween val="midCat"/>
      </c:valAx>
      <c:valAx>
        <c:axId val="42242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8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9584"/>
        <c:axId val="422432328"/>
      </c:scatterChart>
      <c:valAx>
        <c:axId val="42242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32328"/>
        <c:crosses val="autoZero"/>
        <c:crossBetween val="midCat"/>
      </c:valAx>
      <c:valAx>
        <c:axId val="422432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9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SimpleComposites!$L$115:$L$120</c:f>
              <c:numCache>
                <c:formatCode>General</c:formatCode>
                <c:ptCount val="6"/>
                <c:pt idx="0">
                  <c:v>87</c:v>
                </c:pt>
                <c:pt idx="1">
                  <c:v>87</c:v>
                </c:pt>
                <c:pt idx="2">
                  <c:v>810</c:v>
                </c:pt>
                <c:pt idx="3">
                  <c:v>810</c:v>
                </c:pt>
                <c:pt idx="4">
                  <c:v>1500</c:v>
                </c:pt>
                <c:pt idx="5">
                  <c:v>1500</c:v>
                </c:pt>
              </c:numCache>
            </c:numRef>
          </c:xVal>
          <c:yVal>
            <c:numRef>
              <c:f>SimpleComposites!$M$115:$M$120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-5</c:v>
                </c:pt>
                <c:pt idx="4">
                  <c:v>-5</c:v>
                </c:pt>
                <c:pt idx="5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2088"/>
        <c:axId val="213058952"/>
      </c:scatterChart>
      <c:valAx>
        <c:axId val="213062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58952"/>
        <c:crosses val="autoZero"/>
        <c:crossBetween val="midCat"/>
      </c:valAx>
      <c:valAx>
        <c:axId val="213058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2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SimpleComposites!$L$127:$L$129</c:f>
              <c:numCache>
                <c:formatCode>General</c:formatCode>
                <c:ptCount val="3"/>
                <c:pt idx="0">
                  <c:v>87</c:v>
                </c:pt>
                <c:pt idx="1">
                  <c:v>810</c:v>
                </c:pt>
                <c:pt idx="2">
                  <c:v>1500</c:v>
                </c:pt>
              </c:numCache>
            </c:numRef>
          </c:xVal>
          <c:yVal>
            <c:numRef>
              <c:f>SimpleComposites!$M$127:$M$129</c:f>
              <c:numCache>
                <c:formatCode>General</c:formatCode>
                <c:ptCount val="3"/>
                <c:pt idx="0">
                  <c:v>0</c:v>
                </c:pt>
                <c:pt idx="1">
                  <c:v>1446</c:v>
                </c:pt>
                <c:pt idx="2">
                  <c:v>4896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0912"/>
        <c:axId val="213061304"/>
      </c:scatterChart>
      <c:valAx>
        <c:axId val="21306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1304"/>
        <c:crosses val="autoZero"/>
        <c:crossBetween val="midCat"/>
      </c:valAx>
      <c:valAx>
        <c:axId val="213061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81024"/>
        <c:axId val="424479064"/>
      </c:scatterChart>
      <c:valAx>
        <c:axId val="42448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9064"/>
        <c:crosses val="autoZero"/>
        <c:crossBetween val="midCat"/>
      </c:valAx>
      <c:valAx>
        <c:axId val="42447906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7888"/>
        <c:axId val="424478672"/>
      </c:scatterChart>
      <c:valAx>
        <c:axId val="42447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8672"/>
        <c:crosses val="autoZero"/>
        <c:crossBetween val="midCat"/>
      </c:valAx>
      <c:valAx>
        <c:axId val="4244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80240"/>
        <c:axId val="424475536"/>
      </c:scatterChart>
      <c:valAx>
        <c:axId val="424480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536"/>
        <c:crosses val="autoZero"/>
        <c:crossBetween val="midCat"/>
      </c:valAx>
      <c:valAx>
        <c:axId val="4244755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0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8280"/>
        <c:axId val="424474752"/>
      </c:scatterChart>
      <c:valAx>
        <c:axId val="424478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4752"/>
        <c:crosses val="autoZero"/>
        <c:crossBetween val="midCat"/>
      </c:valAx>
      <c:valAx>
        <c:axId val="42447475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8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5144"/>
        <c:axId val="424481808"/>
      </c:scatterChart>
      <c:valAx>
        <c:axId val="42447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1808"/>
        <c:crosses val="autoZero"/>
        <c:crossBetween val="midCat"/>
      </c:valAx>
      <c:valAx>
        <c:axId val="42448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9456"/>
        <c:axId val="424475928"/>
      </c:scatterChart>
      <c:valAx>
        <c:axId val="42447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928"/>
        <c:crosses val="autoZero"/>
        <c:crossBetween val="midCat"/>
      </c:valAx>
      <c:valAx>
        <c:axId val="4244759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1688"/>
        <c:axId val="421868552"/>
      </c:scatterChart>
      <c:valAx>
        <c:axId val="42187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8552"/>
        <c:crosses val="autoZero"/>
        <c:crossBetween val="midCat"/>
      </c:valAx>
      <c:valAx>
        <c:axId val="42186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66200"/>
        <c:axId val="421867376"/>
      </c:scatterChart>
      <c:valAx>
        <c:axId val="42186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7376"/>
        <c:crosses val="autoZero"/>
        <c:crossBetween val="midCat"/>
      </c:valAx>
      <c:valAx>
        <c:axId val="42186737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0120"/>
        <c:axId val="421872864"/>
      </c:scatterChart>
      <c:valAx>
        <c:axId val="421870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2864"/>
        <c:crosses val="autoZero"/>
        <c:crossBetween val="midCat"/>
      </c:valAx>
      <c:valAx>
        <c:axId val="42187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0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867768"/>
        <c:axId val="42187364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868944"/>
        <c:axId val="421868160"/>
      </c:lineChart>
      <c:catAx>
        <c:axId val="42186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3648"/>
        <c:crosses val="autoZero"/>
        <c:auto val="1"/>
        <c:lblAlgn val="ctr"/>
        <c:lblOffset val="100"/>
        <c:noMultiLvlLbl val="0"/>
      </c:catAx>
      <c:valAx>
        <c:axId val="42187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7768"/>
        <c:crosses val="autoZero"/>
        <c:crossBetween val="between"/>
      </c:valAx>
      <c:valAx>
        <c:axId val="4218681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8944"/>
        <c:crosses val="max"/>
        <c:crossBetween val="between"/>
      </c:valAx>
      <c:catAx>
        <c:axId val="421868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1868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2080"/>
        <c:axId val="421869336"/>
      </c:scatterChart>
      <c:valAx>
        <c:axId val="42187208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9336"/>
        <c:crosses val="autoZero"/>
        <c:crossBetween val="midCat"/>
      </c:valAx>
      <c:valAx>
        <c:axId val="421869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2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chart" Target="../charts/chart22.xml"/><Relationship Id="rId7" Type="http://schemas.openxmlformats.org/officeDocument/2006/relationships/image" Target="../media/image13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3" Type="http://schemas.openxmlformats.org/officeDocument/2006/relationships/chart" Target="../charts/chart26.xml"/><Relationship Id="rId7" Type="http://schemas.openxmlformats.org/officeDocument/2006/relationships/image" Target="../media/image21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0.png"/><Relationship Id="rId5" Type="http://schemas.openxmlformats.org/officeDocument/2006/relationships/image" Target="../media/image19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504265</xdr:colOff>
      <xdr:row>31</xdr:row>
      <xdr:rowOff>56029</xdr:rowOff>
    </xdr:from>
    <xdr:to>
      <xdr:col>20</xdr:col>
      <xdr:colOff>235167</xdr:colOff>
      <xdr:row>50</xdr:row>
      <xdr:rowOff>12235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5530" y="3933264"/>
          <a:ext cx="5572903" cy="3362794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123262</xdr:colOff>
      <xdr:row>31</xdr:row>
      <xdr:rowOff>12325</xdr:rowOff>
    </xdr:from>
    <xdr:to>
      <xdr:col>5</xdr:col>
      <xdr:colOff>291353</xdr:colOff>
      <xdr:row>46</xdr:row>
      <xdr:rowOff>88525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31</xdr:row>
      <xdr:rowOff>11206</xdr:rowOff>
    </xdr:from>
    <xdr:to>
      <xdr:col>9</xdr:col>
      <xdr:colOff>762000</xdr:colOff>
      <xdr:row>46</xdr:row>
      <xdr:rowOff>123264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xmlns="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xmlns="" id="{71D255C3-B7C8-885E-5A39-030847CD4A9D}"/>
            </a:ext>
          </a:extLst>
        </xdr:cNvPr>
        <xdr:cNvGrpSpPr/>
      </xdr:nvGrpSpPr>
      <xdr:grpSpPr>
        <a:xfrm>
          <a:off x="186766" y="10768105"/>
          <a:ext cx="5726204" cy="400424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xmlns="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xmlns="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xmlns="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xmlns="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61</xdr:row>
      <xdr:rowOff>0</xdr:rowOff>
    </xdr:from>
    <xdr:to>
      <xdr:col>16</xdr:col>
      <xdr:colOff>9730</xdr:colOff>
      <xdr:row>73</xdr:row>
      <xdr:rowOff>140469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67</xdr:row>
      <xdr:rowOff>97116</xdr:rowOff>
    </xdr:from>
    <xdr:to>
      <xdr:col>19</xdr:col>
      <xdr:colOff>131381</xdr:colOff>
      <xdr:row>79</xdr:row>
      <xdr:rowOff>148990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112</xdr:row>
      <xdr:rowOff>17930</xdr:rowOff>
    </xdr:from>
    <xdr:to>
      <xdr:col>7</xdr:col>
      <xdr:colOff>549088</xdr:colOff>
      <xdr:row>126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xmlns="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xmlns="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xmlns="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xmlns="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69</xdr:row>
      <xdr:rowOff>5846</xdr:rowOff>
    </xdr:from>
    <xdr:to>
      <xdr:col>1</xdr:col>
      <xdr:colOff>537882</xdr:colOff>
      <xdr:row>72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xmlns="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68</xdr:row>
      <xdr:rowOff>177248</xdr:rowOff>
    </xdr:from>
    <xdr:to>
      <xdr:col>8</xdr:col>
      <xdr:colOff>373269</xdr:colOff>
      <xdr:row>72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xmlns="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65</xdr:row>
      <xdr:rowOff>156882</xdr:rowOff>
    </xdr:from>
    <xdr:to>
      <xdr:col>5</xdr:col>
      <xdr:colOff>224116</xdr:colOff>
      <xdr:row>69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xmlns="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127</xdr:row>
      <xdr:rowOff>67236</xdr:rowOff>
    </xdr:from>
    <xdr:to>
      <xdr:col>7</xdr:col>
      <xdr:colOff>537882</xdr:colOff>
      <xdr:row>142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xmlns="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90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xmlns="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94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xmlns="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99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xmlns="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65</xdr:row>
      <xdr:rowOff>179294</xdr:rowOff>
    </xdr:from>
    <xdr:to>
      <xdr:col>3</xdr:col>
      <xdr:colOff>638734</xdr:colOff>
      <xdr:row>69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xmlns="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66</xdr:row>
      <xdr:rowOff>0</xdr:rowOff>
    </xdr:from>
    <xdr:to>
      <xdr:col>4</xdr:col>
      <xdr:colOff>537882</xdr:colOff>
      <xdr:row>69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xmlns="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65</xdr:row>
      <xdr:rowOff>189038</xdr:rowOff>
    </xdr:from>
    <xdr:to>
      <xdr:col>8</xdr:col>
      <xdr:colOff>147624</xdr:colOff>
      <xdr:row>69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:a16="http://schemas.microsoft.com/office/drawing/2014/main" xmlns="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/>
        <xdr:cNvGrpSpPr/>
      </xdr:nvGrpSpPr>
      <xdr:grpSpPr>
        <a:xfrm>
          <a:off x="6068476" y="10682918"/>
          <a:ext cx="630168" cy="565268"/>
          <a:chOff x="4602956" y="9523809"/>
          <a:chExt cx="630168" cy="563167"/>
        </a:xfrm>
      </xdr:grpSpPr>
      <xdr:grpSp>
        <xdr:nvGrpSpPr>
          <xdr:cNvPr id="27" name="Group 26"/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/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/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/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/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/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5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5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75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5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5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75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5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5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75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76" t="s">
        <v>113</v>
      </c>
      <c r="D243" s="377"/>
      <c r="E243" s="377"/>
      <c r="F243" s="377"/>
      <c r="G243" s="378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76" t="s">
        <v>123</v>
      </c>
      <c r="D247" s="377"/>
      <c r="E247" s="377"/>
      <c r="F247" s="377"/>
      <c r="G247" s="378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79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0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75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75"/>
      <c r="B264" s="158" t="s">
        <v>136</v>
      </c>
      <c r="L264" s="149"/>
    </row>
    <row r="265" spans="1:12" ht="13.5" thickBot="1">
      <c r="A265" s="375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99" t="s">
        <v>182</v>
      </c>
      <c r="C2" s="401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1" t="s">
        <v>185</v>
      </c>
      <c r="D12" s="382"/>
      <c r="E12" s="382"/>
      <c r="F12" s="382"/>
      <c r="G12" s="383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1" t="s">
        <v>189</v>
      </c>
      <c r="P12" s="382"/>
      <c r="Q12" s="382"/>
      <c r="R12" s="382"/>
      <c r="S12" s="383"/>
      <c r="T12" s="1" t="s">
        <v>186</v>
      </c>
      <c r="U12" s="1" t="s">
        <v>187</v>
      </c>
      <c r="V12" s="1" t="s">
        <v>188</v>
      </c>
    </row>
    <row r="13" spans="2:22">
      <c r="B13" s="396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96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97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97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97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97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97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97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97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97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97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97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97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97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97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97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97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97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97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98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416" t="s">
        <v>191</v>
      </c>
      <c r="C23" s="65"/>
      <c r="D23" s="64" t="s">
        <v>186</v>
      </c>
      <c r="E23" s="64"/>
      <c r="F23" s="64"/>
      <c r="G23" s="64"/>
      <c r="K23" s="394"/>
      <c r="N23" s="415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16"/>
      <c r="C24" s="66" t="s">
        <v>193</v>
      </c>
      <c r="D24" s="1">
        <f>(F25/2)/(F26)</f>
        <v>0.13333333333333333</v>
      </c>
      <c r="K24" s="394"/>
      <c r="N24" s="416"/>
      <c r="O24" s="66" t="s">
        <v>193</v>
      </c>
      <c r="P24" s="1" t="s">
        <v>194</v>
      </c>
    </row>
    <row r="25" spans="2:22">
      <c r="B25" s="416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4"/>
      <c r="N25" s="416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416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4"/>
      <c r="N26" s="416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384" t="s">
        <v>200</v>
      </c>
      <c r="D27" s="384"/>
      <c r="E27" s="384"/>
      <c r="F27" s="384"/>
      <c r="G27" s="384"/>
      <c r="L27" s="63"/>
      <c r="M27" s="63"/>
      <c r="N27" s="2" t="s">
        <v>199</v>
      </c>
      <c r="O27" s="384" t="s">
        <v>200</v>
      </c>
      <c r="P27" s="384"/>
      <c r="Q27" s="384"/>
      <c r="R27" s="384"/>
      <c r="S27" s="384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96" t="s">
        <v>203</v>
      </c>
      <c r="C31" s="399"/>
      <c r="D31" s="400"/>
      <c r="E31" s="400"/>
      <c r="F31" s="400"/>
      <c r="G31" s="401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97"/>
      <c r="C32" s="402"/>
      <c r="D32" s="391"/>
      <c r="E32" s="391"/>
      <c r="F32" s="391"/>
      <c r="G32" s="403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97"/>
      <c r="C33" s="402"/>
      <c r="D33" s="391"/>
      <c r="E33" s="391"/>
      <c r="F33" s="391"/>
      <c r="G33" s="403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97"/>
      <c r="C34" s="402"/>
      <c r="D34" s="391"/>
      <c r="E34" s="391"/>
      <c r="F34" s="391"/>
      <c r="G34" s="403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97"/>
      <c r="C35" s="402"/>
      <c r="D35" s="391"/>
      <c r="E35" s="391"/>
      <c r="F35" s="391"/>
      <c r="G35" s="403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97"/>
      <c r="C36" s="402"/>
      <c r="D36" s="391"/>
      <c r="E36" s="391"/>
      <c r="F36" s="391"/>
      <c r="G36" s="403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97"/>
      <c r="C37" s="402"/>
      <c r="D37" s="391"/>
      <c r="E37" s="391"/>
      <c r="F37" s="391"/>
      <c r="G37" s="403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97"/>
      <c r="C38" s="402"/>
      <c r="D38" s="391"/>
      <c r="E38" s="391"/>
      <c r="F38" s="391"/>
      <c r="G38" s="403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97"/>
      <c r="C39" s="402"/>
      <c r="D39" s="391"/>
      <c r="E39" s="391"/>
      <c r="F39" s="391"/>
      <c r="G39" s="403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98"/>
      <c r="C40" s="404"/>
      <c r="D40" s="405"/>
      <c r="E40" s="405"/>
      <c r="F40" s="405"/>
      <c r="G40" s="406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84" t="s">
        <v>191</v>
      </c>
      <c r="C41" s="1" t="s">
        <v>204</v>
      </c>
      <c r="H41" s="12"/>
    </row>
    <row r="42" spans="2:24">
      <c r="B42" s="391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1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1" t="s">
        <v>206</v>
      </c>
      <c r="D44" s="391"/>
      <c r="E44" s="391"/>
      <c r="F44" s="391"/>
      <c r="G44" s="391"/>
    </row>
    <row r="45" spans="2:24">
      <c r="B45" s="391" t="s">
        <v>201</v>
      </c>
    </row>
    <row r="46" spans="2:24">
      <c r="B46" s="391"/>
    </row>
    <row r="47" spans="2:24" ht="15" thickBot="1">
      <c r="B47" s="391"/>
    </row>
    <row r="48" spans="2:24" ht="15" customHeight="1" thickBot="1">
      <c r="K48" s="392" t="s">
        <v>207</v>
      </c>
      <c r="L48" s="393"/>
      <c r="W48" s="394" t="s">
        <v>207</v>
      </c>
      <c r="X48" s="394"/>
    </row>
    <row r="49" spans="2:24" ht="15" thickBot="1">
      <c r="B49" s="8" t="s">
        <v>184</v>
      </c>
      <c r="C49" s="392" t="s">
        <v>208</v>
      </c>
      <c r="D49" s="395"/>
      <c r="E49" s="395"/>
      <c r="F49" s="395"/>
      <c r="G49" s="393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92" t="s">
        <v>212</v>
      </c>
      <c r="P49" s="395"/>
      <c r="Q49" s="395"/>
      <c r="R49" s="395"/>
      <c r="S49" s="393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96" t="s">
        <v>214</v>
      </c>
      <c r="C50" s="399"/>
      <c r="D50" s="400"/>
      <c r="E50" s="400"/>
      <c r="F50" s="400"/>
      <c r="G50" s="401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96" t="s">
        <v>214</v>
      </c>
      <c r="O50" s="399"/>
      <c r="P50" s="400"/>
      <c r="Q50" s="400"/>
      <c r="R50" s="400"/>
      <c r="S50" s="401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97"/>
      <c r="C51" s="402"/>
      <c r="D51" s="391"/>
      <c r="E51" s="391"/>
      <c r="F51" s="391"/>
      <c r="G51" s="403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97"/>
      <c r="O51" s="402"/>
      <c r="P51" s="391"/>
      <c r="Q51" s="391"/>
      <c r="R51" s="391"/>
      <c r="S51" s="403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97"/>
      <c r="C52" s="402"/>
      <c r="D52" s="391"/>
      <c r="E52" s="391"/>
      <c r="F52" s="391"/>
      <c r="G52" s="403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97"/>
      <c r="O52" s="402"/>
      <c r="P52" s="391"/>
      <c r="Q52" s="391"/>
      <c r="R52" s="391"/>
      <c r="S52" s="403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97"/>
      <c r="C53" s="402"/>
      <c r="D53" s="391"/>
      <c r="E53" s="391"/>
      <c r="F53" s="391"/>
      <c r="G53" s="403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97"/>
      <c r="O53" s="402"/>
      <c r="P53" s="391"/>
      <c r="Q53" s="391"/>
      <c r="R53" s="391"/>
      <c r="S53" s="403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97"/>
      <c r="C54" s="402"/>
      <c r="D54" s="391"/>
      <c r="E54" s="391"/>
      <c r="F54" s="391"/>
      <c r="G54" s="403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97"/>
      <c r="O54" s="402"/>
      <c r="P54" s="391"/>
      <c r="Q54" s="391"/>
      <c r="R54" s="391"/>
      <c r="S54" s="403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97"/>
      <c r="C55" s="402"/>
      <c r="D55" s="391"/>
      <c r="E55" s="391"/>
      <c r="F55" s="391"/>
      <c r="G55" s="403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97"/>
      <c r="O55" s="402"/>
      <c r="P55" s="391"/>
      <c r="Q55" s="391"/>
      <c r="R55" s="391"/>
      <c r="S55" s="403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97"/>
      <c r="C56" s="402"/>
      <c r="D56" s="391"/>
      <c r="E56" s="391"/>
      <c r="F56" s="391"/>
      <c r="G56" s="403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97"/>
      <c r="O56" s="402"/>
      <c r="P56" s="391"/>
      <c r="Q56" s="391"/>
      <c r="R56" s="391"/>
      <c r="S56" s="403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97"/>
      <c r="C57" s="402"/>
      <c r="D57" s="391"/>
      <c r="E57" s="391"/>
      <c r="F57" s="391"/>
      <c r="G57" s="403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97"/>
      <c r="O57" s="402"/>
      <c r="P57" s="391"/>
      <c r="Q57" s="391"/>
      <c r="R57" s="391"/>
      <c r="S57" s="403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97"/>
      <c r="C58" s="402"/>
      <c r="D58" s="391"/>
      <c r="E58" s="391"/>
      <c r="F58" s="391"/>
      <c r="G58" s="403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97"/>
      <c r="O58" s="402"/>
      <c r="P58" s="391"/>
      <c r="Q58" s="391"/>
      <c r="R58" s="391"/>
      <c r="S58" s="403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98"/>
      <c r="C59" s="407"/>
      <c r="D59" s="408"/>
      <c r="E59" s="408"/>
      <c r="F59" s="408"/>
      <c r="G59" s="409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98"/>
      <c r="O59" s="404"/>
      <c r="P59" s="405"/>
      <c r="Q59" s="405"/>
      <c r="R59" s="405"/>
      <c r="S59" s="406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10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85" t="s">
        <v>218</v>
      </c>
      <c r="I60" s="386"/>
      <c r="J60" s="387"/>
      <c r="K60" s="81" t="s">
        <v>219</v>
      </c>
      <c r="L60" s="57">
        <f>K67^2/K68</f>
        <v>1.1707317073170729</v>
      </c>
      <c r="N60" s="384" t="s">
        <v>191</v>
      </c>
      <c r="O60" s="1" t="s">
        <v>220</v>
      </c>
    </row>
    <row r="61" spans="2:24" ht="16.149999999999999" customHeight="1" thickBot="1">
      <c r="B61" s="411"/>
      <c r="C61" s="80" t="s">
        <v>221</v>
      </c>
      <c r="D61" s="82">
        <f>-I50+D60*H50</f>
        <v>23.499999999999979</v>
      </c>
      <c r="E61" s="77"/>
      <c r="F61" s="61"/>
      <c r="G61" s="62"/>
      <c r="H61" s="388"/>
      <c r="I61" s="389"/>
      <c r="J61" s="390"/>
      <c r="K61" s="80"/>
      <c r="L61" s="62"/>
      <c r="N61" s="384"/>
    </row>
    <row r="62" spans="2:24" ht="27.6" customHeight="1">
      <c r="B62" s="411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84"/>
    </row>
    <row r="63" spans="2:24" ht="27.6" customHeight="1">
      <c r="B63" s="411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84"/>
    </row>
    <row r="64" spans="2:24">
      <c r="B64" s="412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84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3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1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3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1"/>
    </row>
    <row r="67" spans="2:19">
      <c r="B67" s="413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1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14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1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84" t="s">
        <v>237</v>
      </c>
      <c r="D69" s="384"/>
      <c r="E69" s="384"/>
      <c r="F69" s="384"/>
      <c r="G69" s="384"/>
      <c r="N69" s="2" t="s">
        <v>199</v>
      </c>
      <c r="O69" s="391" t="s">
        <v>238</v>
      </c>
      <c r="P69" s="391"/>
      <c r="Q69" s="391"/>
      <c r="R69" s="391"/>
      <c r="S69" s="391"/>
    </row>
    <row r="70" spans="2:19">
      <c r="B70" s="391" t="s">
        <v>201</v>
      </c>
      <c r="C70" s="65"/>
      <c r="D70" s="64"/>
      <c r="E70" s="64"/>
      <c r="F70" s="64"/>
      <c r="G70" s="93"/>
      <c r="N70" s="391" t="s">
        <v>201</v>
      </c>
    </row>
    <row r="71" spans="2:19">
      <c r="B71" s="391"/>
      <c r="C71" s="66"/>
      <c r="G71" s="94"/>
      <c r="N71" s="391"/>
    </row>
    <row r="72" spans="2:19">
      <c r="B72" s="391"/>
      <c r="C72" s="67"/>
      <c r="D72" s="68"/>
      <c r="E72" s="68"/>
      <c r="F72" s="68"/>
      <c r="G72" s="95"/>
      <c r="N72" s="391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96" t="s">
        <v>246</v>
      </c>
      <c r="C88" s="399"/>
      <c r="D88" s="400"/>
      <c r="E88" s="400"/>
      <c r="F88" s="400"/>
      <c r="G88" s="401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97"/>
      <c r="C89" s="402"/>
      <c r="D89" s="391"/>
      <c r="E89" s="391"/>
      <c r="F89" s="391"/>
      <c r="G89" s="403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97"/>
      <c r="C90" s="402"/>
      <c r="D90" s="391"/>
      <c r="E90" s="391"/>
      <c r="F90" s="391"/>
      <c r="G90" s="403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97"/>
      <c r="C91" s="402"/>
      <c r="D91" s="391"/>
      <c r="E91" s="391"/>
      <c r="F91" s="391"/>
      <c r="G91" s="403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97"/>
      <c r="C92" s="402"/>
      <c r="D92" s="391"/>
      <c r="E92" s="391"/>
      <c r="F92" s="391"/>
      <c r="G92" s="403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97"/>
      <c r="C93" s="402"/>
      <c r="D93" s="391"/>
      <c r="E93" s="391"/>
      <c r="F93" s="391"/>
      <c r="G93" s="403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97"/>
      <c r="C94" s="402"/>
      <c r="D94" s="391"/>
      <c r="E94" s="391"/>
      <c r="F94" s="391"/>
      <c r="G94" s="403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97"/>
      <c r="C95" s="402"/>
      <c r="D95" s="391"/>
      <c r="E95" s="391"/>
      <c r="F95" s="391"/>
      <c r="G95" s="403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97"/>
      <c r="C96" s="402"/>
      <c r="D96" s="391"/>
      <c r="E96" s="391"/>
      <c r="F96" s="391"/>
      <c r="G96" s="403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98"/>
      <c r="C97" s="404"/>
      <c r="D97" s="405"/>
      <c r="E97" s="405"/>
      <c r="F97" s="405"/>
      <c r="G97" s="406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84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91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1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91" t="s">
        <v>249</v>
      </c>
      <c r="D101" s="391"/>
      <c r="E101" s="391"/>
      <c r="F101" s="391"/>
      <c r="G101" s="391"/>
    </row>
    <row r="102" spans="2:10">
      <c r="B102" s="391" t="s">
        <v>201</v>
      </c>
    </row>
    <row r="103" spans="2:10">
      <c r="B103" s="391"/>
    </row>
    <row r="104" spans="2:10">
      <c r="B104" s="391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0" t="s">
        <v>252</v>
      </c>
      <c r="U15" s="421"/>
      <c r="V15" s="422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3" t="s">
        <v>252</v>
      </c>
      <c r="U23" s="424"/>
      <c r="V23" s="425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26" t="s">
        <v>712</v>
      </c>
      <c r="L33" s="427"/>
      <c r="M33" s="427"/>
      <c r="N33" s="427"/>
      <c r="O33" s="427"/>
      <c r="P33" s="427"/>
      <c r="Q33" s="427"/>
      <c r="R33" s="427"/>
      <c r="S33" s="428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26" t="s">
        <v>713</v>
      </c>
      <c r="L44" s="427"/>
      <c r="M44" s="427"/>
      <c r="N44" s="427"/>
      <c r="O44" s="427"/>
      <c r="P44" s="427"/>
      <c r="Q44" s="427"/>
      <c r="R44" s="427"/>
      <c r="S44" s="428"/>
    </row>
    <row r="45" spans="2:19" ht="15" thickBot="1">
      <c r="B45" s="417" t="s">
        <v>311</v>
      </c>
      <c r="C45" s="418"/>
      <c r="D45" s="418"/>
      <c r="E45" s="418"/>
      <c r="F45" s="419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N233"/>
  <sheetViews>
    <sheetView tabSelected="1" view="pageBreakPreview" topLeftCell="A64" zoomScale="85" zoomScaleNormal="100" zoomScaleSheetLayoutView="85" workbookViewId="0">
      <selection activeCell="G85" sqref="G85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10.875" customWidth="1"/>
    <col min="12" max="20" width="8.375" customWidth="1"/>
    <col min="21" max="21" width="8.75" customWidth="1"/>
  </cols>
  <sheetData>
    <row r="2" spans="2:13" ht="20.45" customHeight="1">
      <c r="E2" s="354" t="s">
        <v>714</v>
      </c>
      <c r="F2" s="351"/>
    </row>
    <row r="3" spans="2:13">
      <c r="E3" s="429" t="s">
        <v>728</v>
      </c>
      <c r="F3" s="429"/>
      <c r="G3" s="429"/>
      <c r="H3" s="429"/>
    </row>
    <row r="4" spans="2:13">
      <c r="E4" s="429"/>
      <c r="F4" s="429"/>
      <c r="G4" s="429"/>
      <c r="H4" s="429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769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757</v>
      </c>
    </row>
    <row r="17" spans="2:10" ht="15">
      <c r="B17" s="358" t="s">
        <v>747</v>
      </c>
      <c r="C17" s="186"/>
      <c r="D17" s="186"/>
      <c r="H17" t="s">
        <v>734</v>
      </c>
      <c r="J17" t="s">
        <v>735</v>
      </c>
    </row>
    <row r="18" spans="2:10" ht="15">
      <c r="B18" t="s">
        <v>716</v>
      </c>
      <c r="D18" s="14">
        <v>1790</v>
      </c>
      <c r="E18" t="s">
        <v>314</v>
      </c>
      <c r="F18" s="359">
        <v>0.6</v>
      </c>
      <c r="G18" t="s">
        <v>729</v>
      </c>
      <c r="H18">
        <v>4400</v>
      </c>
      <c r="I18" t="s">
        <v>730</v>
      </c>
      <c r="J18" s="362">
        <v>1.7999999999999999E-2</v>
      </c>
    </row>
    <row r="19" spans="2:10">
      <c r="B19" t="s">
        <v>717</v>
      </c>
      <c r="D19" s="14">
        <v>1090</v>
      </c>
      <c r="E19" t="s">
        <v>314</v>
      </c>
      <c r="F19" s="359">
        <f>1-F18</f>
        <v>0.4</v>
      </c>
      <c r="G19" t="s">
        <v>764</v>
      </c>
      <c r="I19" t="s">
        <v>765</v>
      </c>
    </row>
    <row r="20" spans="2:10" ht="15">
      <c r="B20" t="s">
        <v>748</v>
      </c>
      <c r="D20" s="190">
        <f>(H18/J18)/1000</f>
        <v>244.44444444444446</v>
      </c>
      <c r="E20" t="s">
        <v>758</v>
      </c>
      <c r="F20" s="357"/>
      <c r="G20" t="s">
        <v>732</v>
      </c>
      <c r="H20">
        <v>1.34</v>
      </c>
      <c r="I20" t="s">
        <v>733</v>
      </c>
      <c r="J20" s="363">
        <v>1.9E-2</v>
      </c>
    </row>
    <row r="21" spans="2:10" ht="15">
      <c r="B21" t="s">
        <v>749</v>
      </c>
      <c r="D21" s="190">
        <f>(H21/J21)/1000</f>
        <v>0.155</v>
      </c>
      <c r="E21" t="s">
        <v>758</v>
      </c>
      <c r="G21" t="s">
        <v>731</v>
      </c>
      <c r="H21">
        <v>4.34</v>
      </c>
      <c r="I21" t="s">
        <v>745</v>
      </c>
      <c r="J21" s="363">
        <f>2.8/100</f>
        <v>2.7999999999999997E-2</v>
      </c>
    </row>
    <row r="22" spans="2:10" ht="15">
      <c r="D22" s="190"/>
      <c r="G22" t="s">
        <v>739</v>
      </c>
      <c r="H22">
        <v>12.39</v>
      </c>
      <c r="I22" t="s">
        <v>746</v>
      </c>
      <c r="J22" s="363">
        <f>0.4/100</f>
        <v>4.0000000000000001E-3</v>
      </c>
    </row>
    <row r="24" spans="2:10">
      <c r="B24" s="186" t="s">
        <v>727</v>
      </c>
      <c r="C24" s="186"/>
      <c r="D24" s="186"/>
      <c r="G24" s="186" t="s">
        <v>736</v>
      </c>
      <c r="H24" s="186"/>
    </row>
    <row r="25" spans="2:10">
      <c r="B25" t="s">
        <v>718</v>
      </c>
      <c r="D25">
        <f>D18*(F18)+D19*(F19)</f>
        <v>1510</v>
      </c>
      <c r="E25" t="s">
        <v>314</v>
      </c>
      <c r="G25" t="s">
        <v>740</v>
      </c>
      <c r="H25" s="281">
        <f>H26/(H27+H26)</f>
        <v>0.8771929824561403</v>
      </c>
    </row>
    <row r="26" spans="2:10">
      <c r="B26" t="s">
        <v>766</v>
      </c>
      <c r="D26">
        <f>D20*F18+D21*F19</f>
        <v>146.72866666666667</v>
      </c>
      <c r="E26" t="s">
        <v>758</v>
      </c>
      <c r="G26" t="s">
        <v>737</v>
      </c>
      <c r="H26" s="281">
        <v>100</v>
      </c>
      <c r="I26" t="s">
        <v>741</v>
      </c>
    </row>
    <row r="27" spans="2:10">
      <c r="B27" t="s">
        <v>750</v>
      </c>
      <c r="D27">
        <f>IF(J20=J18,C32,IF(J20&lt;J18,B32,D32))</f>
        <v>2641.116</v>
      </c>
      <c r="E27" t="s">
        <v>734</v>
      </c>
      <c r="G27" t="s">
        <v>738</v>
      </c>
      <c r="H27" s="281">
        <v>14</v>
      </c>
      <c r="I27" t="s">
        <v>741</v>
      </c>
    </row>
    <row r="28" spans="2:10">
      <c r="B28" t="s">
        <v>751</v>
      </c>
      <c r="D28">
        <f>H18*F18+H21*F19</f>
        <v>2641.7359999999999</v>
      </c>
      <c r="E28" t="s">
        <v>734</v>
      </c>
      <c r="G28" s="263" t="s">
        <v>742</v>
      </c>
      <c r="H28" s="360">
        <v>1000</v>
      </c>
      <c r="I28" s="263" t="s">
        <v>741</v>
      </c>
      <c r="J28" s="263"/>
    </row>
    <row r="29" spans="2:10" ht="15">
      <c r="B29" t="s">
        <v>752</v>
      </c>
      <c r="D29">
        <f>H22</f>
        <v>12.39</v>
      </c>
      <c r="E29" t="s">
        <v>734</v>
      </c>
      <c r="H29" s="361">
        <f>H28*H25</f>
        <v>877.19298245614027</v>
      </c>
      <c r="I29" t="s">
        <v>743</v>
      </c>
    </row>
    <row r="30" spans="2:10" ht="15">
      <c r="H30" s="361">
        <f>H28-H29</f>
        <v>122.80701754385973</v>
      </c>
      <c r="I30" t="s">
        <v>744</v>
      </c>
    </row>
    <row r="31" spans="2:10">
      <c r="B31" t="s">
        <v>763</v>
      </c>
    </row>
    <row r="32" spans="2:10">
      <c r="B32">
        <f>(F18*(D20/D21)+(1-F18))*H20</f>
        <v>1268.4929892473119</v>
      </c>
      <c r="C32">
        <f>F18*H18+F19*H20</f>
        <v>2640.5360000000001</v>
      </c>
      <c r="D32">
        <f>(F18+F19*(D21/D20))*H18</f>
        <v>2641.116</v>
      </c>
    </row>
    <row r="33" spans="2:4">
      <c r="B33" s="363">
        <f>J20</f>
        <v>1.9E-2</v>
      </c>
      <c r="C33" s="365">
        <f>F18*J18+F19*J20</f>
        <v>1.84E-2</v>
      </c>
      <c r="D33" s="363">
        <f>J18</f>
        <v>1.7999999999999999E-2</v>
      </c>
    </row>
    <row r="34" spans="2:4">
      <c r="B34" t="s">
        <v>759</v>
      </c>
      <c r="C34" t="s">
        <v>760</v>
      </c>
      <c r="D34" t="s">
        <v>761</v>
      </c>
    </row>
    <row r="35" spans="2:4">
      <c r="B35" t="s">
        <v>254</v>
      </c>
      <c r="C35" t="s">
        <v>255</v>
      </c>
    </row>
    <row r="36" spans="2:4">
      <c r="B36" s="364">
        <v>0</v>
      </c>
      <c r="C36">
        <v>0</v>
      </c>
      <c r="D36" t="s">
        <v>753</v>
      </c>
    </row>
    <row r="37" spans="2:4">
      <c r="B37" s="364">
        <f>J18</f>
        <v>1.7999999999999999E-2</v>
      </c>
      <c r="C37">
        <f>H18</f>
        <v>4400</v>
      </c>
    </row>
    <row r="38" spans="2:4">
      <c r="B38" s="364">
        <v>0</v>
      </c>
      <c r="C38">
        <v>0</v>
      </c>
      <c r="D38" t="s">
        <v>754</v>
      </c>
    </row>
    <row r="39" spans="2:4">
      <c r="B39" s="364">
        <f>J20</f>
        <v>1.9E-2</v>
      </c>
      <c r="C39">
        <f>H20</f>
        <v>1.34</v>
      </c>
      <c r="D39" t="s">
        <v>755</v>
      </c>
    </row>
    <row r="40" spans="2:4">
      <c r="B40" s="364">
        <f>J21</f>
        <v>2.7999999999999997E-2</v>
      </c>
      <c r="C40">
        <f>H21</f>
        <v>4.34</v>
      </c>
      <c r="D40" t="s">
        <v>756</v>
      </c>
    </row>
    <row r="41" spans="2:4">
      <c r="B41" s="364">
        <v>0</v>
      </c>
      <c r="C41">
        <v>0</v>
      </c>
      <c r="D41" t="s">
        <v>762</v>
      </c>
    </row>
    <row r="42" spans="2:4">
      <c r="B42" s="364">
        <f>IF(J20=J18,C33,IF(J20&lt;J18,B33,D33))</f>
        <v>1.7999999999999999E-2</v>
      </c>
      <c r="C42">
        <f>D27</f>
        <v>2641.116</v>
      </c>
    </row>
    <row r="48" spans="2:4">
      <c r="B48" s="186" t="s">
        <v>767</v>
      </c>
      <c r="C48" s="186"/>
      <c r="D48" s="186"/>
    </row>
    <row r="62" spans="2:4">
      <c r="B62" s="186" t="s">
        <v>706</v>
      </c>
      <c r="C62" s="186"/>
      <c r="D62" s="186"/>
    </row>
    <row r="63" spans="2:4">
      <c r="B63" t="s">
        <v>815</v>
      </c>
    </row>
    <row r="64" spans="2:4" ht="15">
      <c r="D64" s="368"/>
    </row>
    <row r="65" spans="2:10" ht="15">
      <c r="D65" s="368"/>
    </row>
    <row r="66" spans="2:10" ht="15">
      <c r="D66" s="368"/>
    </row>
    <row r="67" spans="2:10" ht="15">
      <c r="D67" s="368"/>
    </row>
    <row r="75" spans="2:10" ht="15">
      <c r="B75" s="306" t="s">
        <v>796</v>
      </c>
      <c r="G75" s="306" t="s">
        <v>797</v>
      </c>
    </row>
    <row r="76" spans="2:10">
      <c r="B76" t="s">
        <v>787</v>
      </c>
      <c r="D76">
        <v>3.5</v>
      </c>
      <c r="E76" t="s">
        <v>770</v>
      </c>
      <c r="G76" t="s">
        <v>205</v>
      </c>
      <c r="I76">
        <v>1620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>
        <v>1.8</v>
      </c>
      <c r="J77" t="s">
        <v>227</v>
      </c>
    </row>
    <row r="78" spans="2:10">
      <c r="B78" t="s">
        <v>788</v>
      </c>
      <c r="D78" t="s">
        <v>774</v>
      </c>
      <c r="G78" t="s">
        <v>707</v>
      </c>
      <c r="I78">
        <f>I79+2*2</f>
        <v>77.024999999999991</v>
      </c>
      <c r="J78" t="s">
        <v>227</v>
      </c>
    </row>
    <row r="79" spans="2:10">
      <c r="B79" t="s">
        <v>795</v>
      </c>
      <c r="D79">
        <v>20</v>
      </c>
      <c r="E79" t="s">
        <v>792</v>
      </c>
      <c r="G79" t="s">
        <v>708</v>
      </c>
      <c r="I79">
        <f>25.4*2.875</f>
        <v>73.024999999999991</v>
      </c>
      <c r="J79" t="s">
        <v>227</v>
      </c>
    </row>
    <row r="80" spans="2:10">
      <c r="B80" t="s">
        <v>791</v>
      </c>
      <c r="D80">
        <v>100</v>
      </c>
      <c r="E80" t="s">
        <v>792</v>
      </c>
      <c r="G80" t="s">
        <v>709</v>
      </c>
      <c r="I80">
        <f>(I78+I79)*0.5</f>
        <v>75.024999999999991</v>
      </c>
      <c r="J80" t="s">
        <v>227</v>
      </c>
    </row>
    <row r="81" spans="2:12">
      <c r="D81">
        <f>CONVERT(D80,"C","F")</f>
        <v>212</v>
      </c>
      <c r="E81" t="s">
        <v>793</v>
      </c>
      <c r="G81" t="s">
        <v>323</v>
      </c>
      <c r="I81">
        <f>1620/2</f>
        <v>810</v>
      </c>
      <c r="J81" t="s">
        <v>227</v>
      </c>
      <c r="L81" t="s">
        <v>811</v>
      </c>
    </row>
    <row r="82" spans="2:12">
      <c r="B82" t="s">
        <v>789</v>
      </c>
      <c r="D82">
        <f>VLOOKUP(D78,B227:C233,2,)</f>
        <v>23.2</v>
      </c>
      <c r="E82" t="s">
        <v>794</v>
      </c>
      <c r="G82" t="s">
        <v>768</v>
      </c>
      <c r="I82">
        <f>((PI()*I78^2)/4)-((PI()*I79^2)/4)</f>
        <v>471.39597767114901</v>
      </c>
      <c r="L82" t="s">
        <v>812</v>
      </c>
    </row>
    <row r="83" spans="2:12">
      <c r="B83" t="s">
        <v>790</v>
      </c>
      <c r="D83">
        <f>D77+((D80-D79)*(D82/1000))</f>
        <v>90.755999999999986</v>
      </c>
      <c r="E83" t="s">
        <v>227</v>
      </c>
      <c r="L83" t="s">
        <v>813</v>
      </c>
    </row>
    <row r="84" spans="2:12">
      <c r="G84" t="s">
        <v>837</v>
      </c>
    </row>
    <row r="87" spans="2:12">
      <c r="L87" t="s">
        <v>814</v>
      </c>
    </row>
    <row r="88" spans="2:12" ht="15">
      <c r="B88" s="306" t="s">
        <v>798</v>
      </c>
    </row>
    <row r="89" spans="2:12">
      <c r="B89" s="186" t="s">
        <v>817</v>
      </c>
      <c r="C89" s="186" t="s">
        <v>816</v>
      </c>
      <c r="D89" s="186" t="s">
        <v>800</v>
      </c>
      <c r="E89" s="186" t="s">
        <v>409</v>
      </c>
      <c r="F89" s="186"/>
      <c r="G89" s="186"/>
      <c r="H89" s="186"/>
      <c r="I89" s="186"/>
      <c r="J89" s="186"/>
    </row>
    <row r="90" spans="2:12">
      <c r="B90" t="s">
        <v>799</v>
      </c>
      <c r="D90" t="s">
        <v>801</v>
      </c>
      <c r="E90" t="s">
        <v>802</v>
      </c>
      <c r="L90" t="s">
        <v>828</v>
      </c>
    </row>
    <row r="91" spans="2:12">
      <c r="B91">
        <v>6</v>
      </c>
      <c r="D91">
        <v>0</v>
      </c>
      <c r="E91" t="s">
        <v>803</v>
      </c>
    </row>
    <row r="92" spans="2:12" ht="15">
      <c r="B92">
        <f>2.5*9.81</f>
        <v>24.525000000000002</v>
      </c>
      <c r="D92">
        <v>0</v>
      </c>
      <c r="E92" t="s">
        <v>804</v>
      </c>
      <c r="I92" s="306" t="s">
        <v>829</v>
      </c>
      <c r="J92" s="306">
        <v>4.62</v>
      </c>
    </row>
    <row r="93" spans="2:12" ht="15">
      <c r="E93" t="s">
        <v>805</v>
      </c>
      <c r="I93" s="306" t="s">
        <v>829</v>
      </c>
      <c r="J93" s="306">
        <v>4.62</v>
      </c>
    </row>
    <row r="94" spans="2:12" ht="15">
      <c r="E94" t="s">
        <v>806</v>
      </c>
      <c r="I94" s="306" t="s">
        <v>829</v>
      </c>
      <c r="J94" s="306">
        <v>4.62</v>
      </c>
      <c r="K94" t="s">
        <v>88</v>
      </c>
      <c r="L94" t="s">
        <v>830</v>
      </c>
    </row>
    <row r="95" spans="2:12">
      <c r="D95" t="s">
        <v>88</v>
      </c>
      <c r="E95" t="s">
        <v>807</v>
      </c>
    </row>
    <row r="97" spans="2:10">
      <c r="B97" s="186" t="s">
        <v>818</v>
      </c>
      <c r="C97" s="186" t="s">
        <v>816</v>
      </c>
      <c r="D97" s="186" t="s">
        <v>234</v>
      </c>
      <c r="E97" s="186" t="s">
        <v>409</v>
      </c>
      <c r="F97" s="186"/>
      <c r="G97" s="186"/>
      <c r="H97" s="186"/>
      <c r="I97" s="186"/>
      <c r="J97" s="186"/>
    </row>
    <row r="98" spans="2:10">
      <c r="B98" t="s">
        <v>799</v>
      </c>
      <c r="C98" t="s">
        <v>822</v>
      </c>
      <c r="D98" t="s">
        <v>801</v>
      </c>
      <c r="E98" t="s">
        <v>802</v>
      </c>
    </row>
    <row r="99" spans="2:10">
      <c r="B99" s="281">
        <v>2</v>
      </c>
      <c r="C99" s="371" t="s">
        <v>821</v>
      </c>
      <c r="D99">
        <v>87</v>
      </c>
      <c r="E99" t="s">
        <v>808</v>
      </c>
    </row>
    <row r="100" spans="2:10" ht="15">
      <c r="B100" s="281">
        <f>J100*J101</f>
        <v>7</v>
      </c>
      <c r="C100" s="369" t="s">
        <v>194</v>
      </c>
      <c r="D100">
        <f>I81</f>
        <v>810</v>
      </c>
      <c r="E100" t="s">
        <v>810</v>
      </c>
      <c r="I100" s="306" t="s">
        <v>832</v>
      </c>
      <c r="J100" s="306">
        <v>4.62</v>
      </c>
    </row>
    <row r="101" spans="2:10" ht="15">
      <c r="B101" s="281">
        <v>5</v>
      </c>
      <c r="C101" s="372" t="s">
        <v>821</v>
      </c>
      <c r="D101">
        <v>1500</v>
      </c>
      <c r="E101" t="s">
        <v>809</v>
      </c>
      <c r="I101" s="433" t="s">
        <v>831</v>
      </c>
      <c r="J101" s="281">
        <f>(B101+B99)/J100</f>
        <v>1.5151515151515151</v>
      </c>
    </row>
    <row r="102" spans="2:10" ht="15">
      <c r="C102" s="374" t="s">
        <v>194</v>
      </c>
      <c r="E102" t="s">
        <v>825</v>
      </c>
      <c r="I102" s="306" t="s">
        <v>829</v>
      </c>
      <c r="J102" s="306">
        <v>0.2</v>
      </c>
    </row>
    <row r="103" spans="2:10" ht="15">
      <c r="C103" s="370" t="s">
        <v>194</v>
      </c>
      <c r="E103" t="s">
        <v>826</v>
      </c>
      <c r="I103" s="306" t="s">
        <v>829</v>
      </c>
      <c r="J103" s="306">
        <v>1.1000000000000001</v>
      </c>
    </row>
    <row r="104" spans="2:10" ht="15">
      <c r="C104" s="373" t="s">
        <v>194</v>
      </c>
      <c r="E104" t="s">
        <v>827</v>
      </c>
      <c r="I104" s="306" t="s">
        <v>829</v>
      </c>
      <c r="J104" s="306">
        <v>1.2</v>
      </c>
    </row>
    <row r="106" spans="2:10">
      <c r="B106" t="s">
        <v>835</v>
      </c>
    </row>
    <row r="107" spans="2:10">
      <c r="B107">
        <f>(-B99*(D100-D99))+(B101*(D101-D100))</f>
        <v>2004</v>
      </c>
      <c r="C107" t="s">
        <v>836</v>
      </c>
    </row>
    <row r="113" spans="12:14">
      <c r="L113" t="s">
        <v>823</v>
      </c>
    </row>
    <row r="114" spans="12:14">
      <c r="L114" t="s">
        <v>819</v>
      </c>
      <c r="M114" t="s">
        <v>834</v>
      </c>
    </row>
    <row r="115" spans="12:14">
      <c r="L115">
        <f>D99</f>
        <v>87</v>
      </c>
      <c r="M115">
        <v>0</v>
      </c>
    </row>
    <row r="116" spans="12:14">
      <c r="L116">
        <f>L115</f>
        <v>87</v>
      </c>
      <c r="M116">
        <f>B99</f>
        <v>2</v>
      </c>
      <c r="N116" t="s">
        <v>820</v>
      </c>
    </row>
    <row r="117" spans="12:14">
      <c r="L117">
        <f>D100</f>
        <v>810</v>
      </c>
      <c r="M117">
        <f>M116</f>
        <v>2</v>
      </c>
    </row>
    <row r="118" spans="12:14">
      <c r="L118">
        <f>L117</f>
        <v>810</v>
      </c>
      <c r="M118">
        <f>M117-B100</f>
        <v>-5</v>
      </c>
    </row>
    <row r="119" spans="12:14">
      <c r="L119">
        <f>D101</f>
        <v>1500</v>
      </c>
      <c r="M119">
        <f>M118</f>
        <v>-5</v>
      </c>
    </row>
    <row r="120" spans="12:14">
      <c r="L120">
        <f>L119</f>
        <v>1500</v>
      </c>
      <c r="M120">
        <f>M118+B101</f>
        <v>0</v>
      </c>
    </row>
    <row r="125" spans="12:14">
      <c r="L125" t="s">
        <v>824</v>
      </c>
    </row>
    <row r="126" spans="12:14">
      <c r="L126" t="s">
        <v>819</v>
      </c>
      <c r="M126" t="s">
        <v>833</v>
      </c>
    </row>
    <row r="127" spans="12:14">
      <c r="L127">
        <f>L115</f>
        <v>87</v>
      </c>
      <c r="M127">
        <f>M115</f>
        <v>0</v>
      </c>
    </row>
    <row r="128" spans="12:14">
      <c r="L128">
        <f>L117</f>
        <v>810</v>
      </c>
      <c r="M128">
        <f>(L128-L127)*M117</f>
        <v>1446</v>
      </c>
    </row>
    <row r="129" spans="12:13">
      <c r="L129">
        <f>L119</f>
        <v>1500</v>
      </c>
      <c r="M129">
        <f>M128-(L129-L128)*M118</f>
        <v>4896</v>
      </c>
    </row>
    <row r="163" spans="2:6">
      <c r="B163" s="186" t="s">
        <v>715</v>
      </c>
      <c r="C163" s="186"/>
      <c r="D163" s="186"/>
      <c r="E163" s="186"/>
      <c r="F163" s="186"/>
    </row>
    <row r="164" spans="2:6">
      <c r="D164" s="14"/>
      <c r="F164" s="356"/>
    </row>
    <row r="165" spans="2:6">
      <c r="D165" s="14"/>
      <c r="F165" s="356"/>
    </row>
    <row r="166" spans="2:6">
      <c r="F166" s="357"/>
    </row>
    <row r="172" spans="2:6">
      <c r="B172" t="s">
        <v>719</v>
      </c>
      <c r="E172" t="s">
        <v>197</v>
      </c>
    </row>
    <row r="173" spans="2:6">
      <c r="B173" t="s">
        <v>720</v>
      </c>
      <c r="E173" t="s">
        <v>197</v>
      </c>
    </row>
    <row r="174" spans="2:6">
      <c r="B174" t="s">
        <v>721</v>
      </c>
      <c r="E174" t="s">
        <v>197</v>
      </c>
    </row>
    <row r="175" spans="2:6">
      <c r="B175" t="s">
        <v>722</v>
      </c>
      <c r="E175" t="s">
        <v>223</v>
      </c>
    </row>
    <row r="176" spans="2:6">
      <c r="B176" t="s">
        <v>723</v>
      </c>
      <c r="E176" t="s">
        <v>724</v>
      </c>
    </row>
    <row r="177" spans="2:2">
      <c r="B177" t="s">
        <v>725</v>
      </c>
    </row>
    <row r="178" spans="2:2">
      <c r="B178" t="s">
        <v>726</v>
      </c>
    </row>
    <row r="182" spans="2:2">
      <c r="B182" t="s">
        <v>710</v>
      </c>
    </row>
    <row r="198" spans="2:2">
      <c r="B198" t="s">
        <v>711</v>
      </c>
    </row>
    <row r="210" spans="2:9" ht="15">
      <c r="B210" s="291" t="s">
        <v>687</v>
      </c>
      <c r="C210" s="186"/>
      <c r="D210" s="186"/>
      <c r="E210" s="186"/>
    </row>
    <row r="211" spans="2:9" ht="42.75">
      <c r="B211" t="s">
        <v>690</v>
      </c>
      <c r="C211" t="s">
        <v>688</v>
      </c>
      <c r="D211" t="s">
        <v>691</v>
      </c>
      <c r="E211" t="s">
        <v>692</v>
      </c>
      <c r="F211" s="353" t="s">
        <v>696</v>
      </c>
      <c r="G211" t="s">
        <v>689</v>
      </c>
      <c r="H211" t="s">
        <v>694</v>
      </c>
      <c r="I211" t="s">
        <v>695</v>
      </c>
    </row>
    <row r="212" spans="2:9">
      <c r="B212">
        <v>2</v>
      </c>
      <c r="C212">
        <v>2.375</v>
      </c>
      <c r="D212">
        <f>C212-2*E212</f>
        <v>2.0670000000000002</v>
      </c>
      <c r="E212">
        <v>0.154</v>
      </c>
      <c r="F212" t="s">
        <v>697</v>
      </c>
      <c r="G212">
        <f>C212*25.4</f>
        <v>60.324999999999996</v>
      </c>
      <c r="H212">
        <f t="shared" ref="H212:I212" si="0">D212*25.4</f>
        <v>52.501800000000003</v>
      </c>
      <c r="I212">
        <f t="shared" si="0"/>
        <v>3.9115999999999995</v>
      </c>
    </row>
    <row r="213" spans="2:9">
      <c r="B213">
        <v>2</v>
      </c>
      <c r="C213">
        <v>2.375</v>
      </c>
      <c r="D213">
        <f t="shared" ref="D213:D221" si="1">C213-2*E213</f>
        <v>1.9390000000000001</v>
      </c>
      <c r="E213">
        <v>0.218</v>
      </c>
      <c r="F213" t="s">
        <v>698</v>
      </c>
      <c r="G213">
        <f t="shared" ref="G213:G221" si="2">C213*25.4</f>
        <v>60.324999999999996</v>
      </c>
      <c r="H213">
        <f t="shared" ref="H213:H221" si="3">D213*25.4</f>
        <v>49.250599999999999</v>
      </c>
      <c r="I213">
        <f t="shared" ref="I213:I221" si="4">E213*25.4</f>
        <v>5.5371999999999995</v>
      </c>
    </row>
    <row r="214" spans="2:9">
      <c r="B214">
        <v>2.5</v>
      </c>
      <c r="C214">
        <v>2.875</v>
      </c>
      <c r="D214">
        <f t="shared" si="1"/>
        <v>2.4689999999999999</v>
      </c>
      <c r="E214">
        <v>0.20300000000000001</v>
      </c>
      <c r="F214" t="s">
        <v>697</v>
      </c>
      <c r="G214">
        <f t="shared" si="2"/>
        <v>73.024999999999991</v>
      </c>
      <c r="H214">
        <f t="shared" si="3"/>
        <v>62.712599999999995</v>
      </c>
      <c r="I214">
        <f t="shared" si="4"/>
        <v>5.1562000000000001</v>
      </c>
    </row>
    <row r="215" spans="2:9">
      <c r="B215">
        <v>2.5</v>
      </c>
      <c r="C215">
        <v>2.875</v>
      </c>
      <c r="D215">
        <f t="shared" si="1"/>
        <v>2.323</v>
      </c>
      <c r="E215">
        <v>0.27600000000000002</v>
      </c>
      <c r="F215" t="s">
        <v>698</v>
      </c>
      <c r="G215">
        <f t="shared" si="2"/>
        <v>73.024999999999991</v>
      </c>
      <c r="H215">
        <f t="shared" si="3"/>
        <v>59.004199999999997</v>
      </c>
      <c r="I215">
        <f t="shared" si="4"/>
        <v>7.0104000000000006</v>
      </c>
    </row>
    <row r="216" spans="2:9">
      <c r="B216">
        <v>3</v>
      </c>
      <c r="C216">
        <v>3.5</v>
      </c>
      <c r="D216">
        <f t="shared" si="1"/>
        <v>3.0680000000000001</v>
      </c>
      <c r="E216">
        <v>0.216</v>
      </c>
      <c r="F216" t="s">
        <v>697</v>
      </c>
      <c r="G216">
        <f t="shared" si="2"/>
        <v>88.899999999999991</v>
      </c>
      <c r="H216">
        <f t="shared" si="3"/>
        <v>77.927199999999999</v>
      </c>
      <c r="I216">
        <f t="shared" si="4"/>
        <v>5.4863999999999997</v>
      </c>
    </row>
    <row r="217" spans="2:9">
      <c r="B217">
        <v>3</v>
      </c>
      <c r="C217">
        <v>3.5</v>
      </c>
      <c r="D217">
        <f t="shared" si="1"/>
        <v>2.9</v>
      </c>
      <c r="E217">
        <v>0.3</v>
      </c>
      <c r="F217" t="s">
        <v>698</v>
      </c>
      <c r="G217">
        <f t="shared" si="2"/>
        <v>88.899999999999991</v>
      </c>
      <c r="H217">
        <f t="shared" si="3"/>
        <v>73.66</v>
      </c>
      <c r="I217">
        <f t="shared" si="4"/>
        <v>7.6199999999999992</v>
      </c>
    </row>
    <row r="218" spans="2:9">
      <c r="B218">
        <v>3.5</v>
      </c>
      <c r="C218">
        <v>4</v>
      </c>
      <c r="D218">
        <f t="shared" si="1"/>
        <v>3.548</v>
      </c>
      <c r="E218">
        <v>0.22600000000000001</v>
      </c>
      <c r="F218" t="s">
        <v>697</v>
      </c>
      <c r="G218">
        <f t="shared" si="2"/>
        <v>101.6</v>
      </c>
      <c r="H218">
        <f t="shared" si="3"/>
        <v>90.119199999999992</v>
      </c>
      <c r="I218">
        <f t="shared" si="4"/>
        <v>5.7404000000000002</v>
      </c>
    </row>
    <row r="219" spans="2:9">
      <c r="B219">
        <v>3.5</v>
      </c>
      <c r="C219">
        <v>4</v>
      </c>
      <c r="D219">
        <f t="shared" si="1"/>
        <v>3.3639999999999999</v>
      </c>
      <c r="E219">
        <v>0.318</v>
      </c>
      <c r="F219" t="s">
        <v>698</v>
      </c>
      <c r="G219">
        <f t="shared" si="2"/>
        <v>101.6</v>
      </c>
      <c r="H219">
        <f t="shared" si="3"/>
        <v>85.445599999999999</v>
      </c>
      <c r="I219">
        <f t="shared" si="4"/>
        <v>8.0771999999999995</v>
      </c>
    </row>
    <row r="220" spans="2:9">
      <c r="B220">
        <v>4</v>
      </c>
      <c r="C220">
        <v>4.5</v>
      </c>
      <c r="D220">
        <f t="shared" si="1"/>
        <v>4.0259999999999998</v>
      </c>
      <c r="E220">
        <v>0.23699999999999999</v>
      </c>
      <c r="F220" t="s">
        <v>697</v>
      </c>
      <c r="G220">
        <f t="shared" si="2"/>
        <v>114.3</v>
      </c>
      <c r="H220">
        <f t="shared" si="3"/>
        <v>102.26039999999999</v>
      </c>
      <c r="I220">
        <f t="shared" si="4"/>
        <v>6.0197999999999992</v>
      </c>
    </row>
    <row r="221" spans="2:9">
      <c r="B221">
        <v>4</v>
      </c>
      <c r="C221">
        <v>4.5</v>
      </c>
      <c r="D221">
        <f t="shared" si="1"/>
        <v>3.8260000000000001</v>
      </c>
      <c r="E221">
        <v>0.33700000000000002</v>
      </c>
      <c r="F221" t="s">
        <v>698</v>
      </c>
      <c r="G221">
        <f t="shared" si="2"/>
        <v>114.3</v>
      </c>
      <c r="H221">
        <f t="shared" si="3"/>
        <v>97.180399999999992</v>
      </c>
      <c r="I221">
        <f t="shared" si="4"/>
        <v>8.5597999999999992</v>
      </c>
    </row>
    <row r="223" spans="2:9">
      <c r="B223" t="s">
        <v>693</v>
      </c>
      <c r="C223" t="s">
        <v>699</v>
      </c>
    </row>
    <row r="224" spans="2:9">
      <c r="B224" t="s">
        <v>704</v>
      </c>
      <c r="C224" t="s">
        <v>700</v>
      </c>
    </row>
    <row r="226" spans="2:4" ht="78.95" customHeight="1">
      <c r="B226" s="353" t="s">
        <v>771</v>
      </c>
      <c r="C226" s="353" t="s">
        <v>786</v>
      </c>
      <c r="D226" t="s">
        <v>409</v>
      </c>
    </row>
    <row r="227" spans="2:4" ht="28.5">
      <c r="B227" s="63" t="s">
        <v>772</v>
      </c>
      <c r="C227" s="63">
        <v>23.6</v>
      </c>
      <c r="D227" s="367" t="s">
        <v>773</v>
      </c>
    </row>
    <row r="228" spans="2:4">
      <c r="B228" s="63" t="s">
        <v>774</v>
      </c>
      <c r="C228" s="63">
        <v>23.2</v>
      </c>
      <c r="D228" s="367" t="s">
        <v>775</v>
      </c>
    </row>
    <row r="229" spans="2:4">
      <c r="B229" s="63" t="s">
        <v>776</v>
      </c>
      <c r="C229" s="63">
        <v>22</v>
      </c>
      <c r="D229" s="367" t="s">
        <v>777</v>
      </c>
    </row>
    <row r="230" spans="2:4">
      <c r="B230" s="63" t="s">
        <v>778</v>
      </c>
      <c r="C230" s="63">
        <v>23.6</v>
      </c>
      <c r="D230" s="367" t="s">
        <v>779</v>
      </c>
    </row>
    <row r="231" spans="2:4">
      <c r="B231" s="63" t="s">
        <v>780</v>
      </c>
      <c r="C231" s="63">
        <v>23.5</v>
      </c>
      <c r="D231" s="367" t="s">
        <v>781</v>
      </c>
    </row>
    <row r="232" spans="2:4" ht="28.5">
      <c r="B232" s="63" t="s">
        <v>782</v>
      </c>
      <c r="C232" s="63">
        <v>21.5</v>
      </c>
      <c r="D232" s="367" t="s">
        <v>783</v>
      </c>
    </row>
    <row r="233" spans="2:4" ht="28.5">
      <c r="B233" s="63" t="s">
        <v>784</v>
      </c>
      <c r="C233" s="63">
        <v>21.5</v>
      </c>
      <c r="D233" s="367" t="s">
        <v>785</v>
      </c>
    </row>
  </sheetData>
  <mergeCells count="1">
    <mergeCell ref="E3:H4"/>
  </mergeCells>
  <dataValidations disablePrompts="1" count="2">
    <dataValidation type="list" allowBlank="1" showInputMessage="1" showErrorMessage="1" sqref="D76">
      <formula1>$C$212:$C$221</formula1>
    </dataValidation>
    <dataValidation type="list" allowBlank="1" showInputMessage="1" showErrorMessage="1" sqref="D78">
      <formula1>$B$227:$B$233</formula1>
    </dataValidation>
  </dataValidations>
  <hyperlinks>
    <hyperlink ref="B13" r:id="rId1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2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2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2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2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2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2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2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2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30" t="s">
        <v>539</v>
      </c>
      <c r="B1" s="430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0" t="s">
        <v>540</v>
      </c>
      <c r="B6" s="430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1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1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1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32"/>
      <c r="C5" s="432"/>
      <c r="D5" s="432"/>
      <c r="E5" s="432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2025-09-11T19:44:49Z</cp:lastPrinted>
  <dcterms:created xsi:type="dcterms:W3CDTF">2024-07-02T19:27:32Z</dcterms:created>
  <dcterms:modified xsi:type="dcterms:W3CDTF">2025-09-11T21:38:53Z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