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00 Repos\aeroestructures-and-stability\"/>
    </mc:Choice>
  </mc:AlternateContent>
  <bookViews>
    <workbookView xWindow="-105" yWindow="-105" windowWidth="19425" windowHeight="11505" tabRatio="864" firstSheet="1" activeTab="4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8" i="25" l="1"/>
  <c r="N128" i="25"/>
  <c r="M128" i="25"/>
  <c r="N129" i="25"/>
  <c r="I81" i="25"/>
  <c r="D100" i="25" l="1"/>
  <c r="B107" i="25" s="1"/>
  <c r="J101" i="25"/>
  <c r="B100" i="25" s="1"/>
  <c r="M127" i="25" l="1"/>
  <c r="L119" i="25"/>
  <c r="L129" i="25" s="1"/>
  <c r="M116" i="25"/>
  <c r="M117" i="25" s="1"/>
  <c r="M118" i="25" s="1"/>
  <c r="M119" i="25" s="1"/>
  <c r="O129" i="25" s="1"/>
  <c r="M129" i="25" s="1"/>
  <c r="L115" i="25"/>
  <c r="L127" i="25" s="1"/>
  <c r="L117" i="25"/>
  <c r="B33" i="25"/>
  <c r="B37" i="25"/>
  <c r="B39" i="25"/>
  <c r="B92" i="25"/>
  <c r="D82" i="25"/>
  <c r="D83" i="25" s="1"/>
  <c r="D81" i="25"/>
  <c r="D77" i="25"/>
  <c r="I79" i="25"/>
  <c r="I78" i="25" s="1"/>
  <c r="D33" i="25"/>
  <c r="B42" i="25" s="1"/>
  <c r="F19" i="25"/>
  <c r="C33" i="25" s="1"/>
  <c r="J21" i="25"/>
  <c r="B40" i="25" s="1"/>
  <c r="J22" i="25"/>
  <c r="D20" i="25"/>
  <c r="D29" i="25"/>
  <c r="C40" i="25"/>
  <c r="C39" i="25"/>
  <c r="C37" i="25"/>
  <c r="L128" i="25" l="1"/>
  <c r="L118" i="25"/>
  <c r="L116" i="25"/>
  <c r="L120" i="25"/>
  <c r="M120" i="25"/>
  <c r="I80" i="25"/>
  <c r="I82" i="25"/>
  <c r="D28" i="25"/>
  <c r="C32" i="25"/>
  <c r="D21" i="25"/>
  <c r="B32" i="25" s="1"/>
  <c r="H25" i="25"/>
  <c r="H29" i="25" s="1"/>
  <c r="H30" i="25" s="1"/>
  <c r="D25" i="25"/>
  <c r="D32" i="25" l="1"/>
  <c r="D27" i="25" s="1"/>
  <c r="C42" i="25" s="1"/>
  <c r="D26" i="25"/>
  <c r="N37" i="16"/>
  <c r="C28" i="16" l="1"/>
  <c r="C24" i="16"/>
  <c r="N41" i="16"/>
  <c r="L41" i="16" s="1"/>
  <c r="L36" i="16"/>
  <c r="N36" i="16" s="1"/>
  <c r="G213" i="25"/>
  <c r="I213" i="25"/>
  <c r="G214" i="25"/>
  <c r="I214" i="25"/>
  <c r="G215" i="25"/>
  <c r="I215" i="25"/>
  <c r="G216" i="25"/>
  <c r="I216" i="25"/>
  <c r="G217" i="25"/>
  <c r="I217" i="25"/>
  <c r="G218" i="25"/>
  <c r="I218" i="25"/>
  <c r="G219" i="25"/>
  <c r="I219" i="25"/>
  <c r="G220" i="25"/>
  <c r="I220" i="25"/>
  <c r="G221" i="25"/>
  <c r="I221" i="25"/>
  <c r="I212" i="25"/>
  <c r="G212" i="25"/>
  <c r="D215" i="25"/>
  <c r="H215" i="25" s="1"/>
  <c r="D216" i="25"/>
  <c r="H216" i="25" s="1"/>
  <c r="D217" i="25"/>
  <c r="H217" i="25" s="1"/>
  <c r="D218" i="25"/>
  <c r="H218" i="25" s="1"/>
  <c r="D219" i="25"/>
  <c r="H219" i="25" s="1"/>
  <c r="D220" i="25"/>
  <c r="H220" i="25" s="1"/>
  <c r="D221" i="25"/>
  <c r="H221" i="25" s="1"/>
  <c r="D213" i="25"/>
  <c r="H213" i="25" s="1"/>
  <c r="D214" i="25"/>
  <c r="H214" i="25" s="1"/>
  <c r="D212" i="25"/>
  <c r="H212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L35" i="16" l="1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23" i="24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I22" i="24" l="1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29" i="24" s="1"/>
  <c r="C31" i="24" s="1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30" i="24" l="1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202" i="24" l="1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J96" i="24" l="1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25" i="17" l="1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4" i="14" l="1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E63" i="22" l="1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  <author>Juan Leonardo Valadez Ortiz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  <author>Juan Leonardo Valadez Ortiz</author>
  </authors>
  <commentList>
    <comment ref="B3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1" authorId="1" shapeId="0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10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>
  <authors>
    <author>Leonardo Valadez Ortiz</author>
  </authors>
  <commentList>
    <comment ref="A176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<sst xmlns="http://schemas.openxmlformats.org/spreadsheetml/2006/main" count="1315" uniqueCount="839">
  <si>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</si>
  <si>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</si>
  <si>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</si>
  <si>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</si>
  <si>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</si>
  <si>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</si>
  <si>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</si>
  <si>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</si>
  <si>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</si>
  <si>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</si>
  <si>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</si>
  <si>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</si>
  <si>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</si>
  <si>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</si>
  <si>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</si>
  <si>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</si>
  <si>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</si>
  <si>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</si>
  <si>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</si>
  <si>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</si>
  <si>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</si>
  <si>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</si>
  <si>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</si>
  <si>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</si>
  <si>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</si>
  <si>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</si>
  <si>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</si>
  <si>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</si>
  <si>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</si>
  <si>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</si>
  <si>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</si>
  <si>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</si>
  <si>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</si>
  <si>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</si>
  <si>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</si>
  <si>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</si>
  <si>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</si>
  <si>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</si>
  <si>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</si>
  <si>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</si>
  <si>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</si>
  <si>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</si>
  <si>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</si>
  <si>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</si>
  <si>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</si>
  <si>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</si>
  <si>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</si>
  <si>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</si>
  <si>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</si>
  <si>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</si>
  <si>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</si>
  <si>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</si>
  <si>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</si>
  <si>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</si>
  <si>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</si>
  <si>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</si>
  <si>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</si>
  <si>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</si>
  <si>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</si>
  <si>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</si>
  <si>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</si>
  <si>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</si>
  <si>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</si>
  <si>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</si>
  <si>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</si>
  <si>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</si>
  <si>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</si>
  <si>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</si>
  <si>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</si>
  <si>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</si>
  <si>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</si>
  <si>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</si>
  <si>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</si>
  <si>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</si>
  <si>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</si>
  <si>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</si>
  <si>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</si>
  <si>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</si>
  <si>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</si>
  <si>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</si>
  <si>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</si>
  <si>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</si>
  <si>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</si>
  <si>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</si>
  <si>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</si>
  <si>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</si>
  <si>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</si>
  <si>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</si>
  <si>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</si>
  <si>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</si>
  <si>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</si>
  <si>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</si>
  <si>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</si>
  <si>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</si>
  <si>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</si>
  <si>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</si>
  <si>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</si>
  <si>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</si>
  <si>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</si>
  <si>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</si>
  <si>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</si>
  <si>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</si>
  <si>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</si>
  <si>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</si>
  <si>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</si>
  <si>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</si>
  <si>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</si>
  <si>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</si>
  <si>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</si>
  <si>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</si>
  <si>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</si>
  <si>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</si>
  <si>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</si>
  <si>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</si>
  <si>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</si>
  <si>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</si>
  <si>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</si>
  <si>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</si>
  <si>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</si>
  <si>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</si>
  <si>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</si>
  <si>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</si>
  <si>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</si>
  <si>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</si>
  <si>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</si>
  <si>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</si>
  <si>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</si>
  <si>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</si>
  <si>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</si>
  <si>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</si>
  <si>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</si>
  <si>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</si>
  <si>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</si>
  <si>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</si>
  <si>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</si>
  <si>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</si>
  <si>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</si>
  <si>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</si>
  <si>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</si>
  <si>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</si>
  <si>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</si>
  <si>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</si>
  <si>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</si>
  <si>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</si>
  <si>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</si>
  <si>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</si>
  <si>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</si>
  <si>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</si>
  <si>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</si>
  <si>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</si>
  <si>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</si>
  <si>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</si>
  <si>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</si>
  <si>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</si>
  <si>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</si>
  <si>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</si>
  <si>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</si>
  <si>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</si>
  <si>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</si>
  <si>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</si>
  <si>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</si>
  <si>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</si>
  <si>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</si>
  <si>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</si>
  <si>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</si>
  <si>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</si>
  <si>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</si>
  <si>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</si>
  <si>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</si>
  <si>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</si>
  <si>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</si>
  <si>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</si>
  <si>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</si>
  <si>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</si>
  <si>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</si>
  <si>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</si>
  <si>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</si>
  <si>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</si>
  <si>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</si>
  <si>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</si>
  <si>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</si>
  <si>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</si>
  <si>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</si>
  <si>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</si>
  <si>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</si>
  <si>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</si>
  <si>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</si>
  <si>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</si>
  <si>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</si>
  <si>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</si>
  <si>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</si>
  <si>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</si>
  <si>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</si>
  <si>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</si>
  <si>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</si>
  <si>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</si>
  <si>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</si>
  <si>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</si>
  <si>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</si>
  <si>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</si>
  <si>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</si>
  <si>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</si>
  <si>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</si>
  <si>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</si>
  <si>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</si>
  <si>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</si>
  <si>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</si>
  <si>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</si>
  <si>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</si>
  <si>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</si>
  <si>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</si>
  <si>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</si>
  <si>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</si>
  <si>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</si>
  <si>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</si>
  <si>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</si>
  <si>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</si>
  <si>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</si>
  <si>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</si>
  <si>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</si>
  <si>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</si>
  <si>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</si>
  <si>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</si>
  <si>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</si>
  <si>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</si>
  <si>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</si>
  <si>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</si>
  <si>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</si>
  <si>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</si>
  <si>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</si>
  <si>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</si>
  <si>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</si>
  <si>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</si>
  <si>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</si>
  <si>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</si>
  <si>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</si>
  <si>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</si>
  <si>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</si>
  <si>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</si>
  <si>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</si>
  <si>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</si>
  <si>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</si>
  <si>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</si>
  <si>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</si>
  <si>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</si>
  <si>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</si>
  <si>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</si>
  <si>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</si>
  <si>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</si>
  <si>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</si>
  <si>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</si>
  <si>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</si>
  <si>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</si>
  <si>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</si>
  <si>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</si>
  <si>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</si>
  <si>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</si>
  <si>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</si>
  <si>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</si>
  <si>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</si>
  <si>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</si>
  <si>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</si>
  <si>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</si>
  <si>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</si>
  <si>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</si>
  <si>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</si>
  <si>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</si>
  <si>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</si>
  <si>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</si>
  <si>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</si>
  <si>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</si>
  <si>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</si>
  <si>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</si>
  <si>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</si>
  <si>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</si>
  <si>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</si>
  <si>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</si>
  <si>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</si>
  <si>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</si>
  <si>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</si>
  <si>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</si>
  <si>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</si>
  <si>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</si>
  <si>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</si>
  <si>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</si>
  <si>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</si>
  <si>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</si>
  <si>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</si>
  <si>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</si>
  <si>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</si>
  <si>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</si>
  <si>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</si>
  <si>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</si>
  <si>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</si>
  <si>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</si>
  <si>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</si>
  <si>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</si>
  <si>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</si>
  <si>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</si>
  <si>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</si>
  <si>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</si>
  <si>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</si>
  <si>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</si>
  <si>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</si>
  <si>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</si>
  <si>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</si>
  <si>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</si>
  <si>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</si>
  <si>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</si>
  <si>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</si>
  <si>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</si>
  <si>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</si>
  <si>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</si>
  <si>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</si>
  <si>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</si>
  <si>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</si>
  <si>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</si>
  <si>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</si>
  <si>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</si>
  <si>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</si>
  <si>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</si>
  <si>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</si>
  <si>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</si>
  <si>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</si>
  <si>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</si>
  <si>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</si>
  <si>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</si>
  <si>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</si>
  <si>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</si>
  <si>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</si>
  <si>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</si>
  <si>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</si>
  <si>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</si>
  <si>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</si>
  <si>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</si>
  <si>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</si>
  <si>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</si>
  <si>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</si>
  <si>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</si>
  <si>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</si>
  <si>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</si>
  <si>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</si>
  <si>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</si>
  <si>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</si>
  <si>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</si>
  <si>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</si>
  <si>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</si>
  <si>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</si>
  <si>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</si>
  <si>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</si>
  <si>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</si>
  <si>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</si>
  <si>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</si>
  <si>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</si>
  <si>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</si>
  <si>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</si>
  <si>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</si>
  <si>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</si>
  <si>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</si>
  <si>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</si>
  <si>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</si>
  <si>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</si>
  <si>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</si>
  <si>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</si>
  <si>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</si>
  <si>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</si>
  <si>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</si>
  <si>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</si>
  <si>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</si>
  <si>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</si>
  <si>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</si>
  <si>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</si>
  <si>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</si>
  <si>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</si>
  <si>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</si>
  <si>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</si>
  <si>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</si>
  <si>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</si>
  <si>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</si>
  <si>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</si>
  <si>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</si>
  <si>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</si>
  <si>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</si>
  <si>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</si>
  <si>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</si>
  <si>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</si>
  <si>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</si>
  <si>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</si>
  <si>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</si>
  <si>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</si>
  <si>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</si>
  <si>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</si>
  <si>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</si>
  <si>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</si>
  <si>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</si>
  <si>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</si>
  <si>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</si>
  <si>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</si>
  <si>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</si>
  <si>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</si>
  <si>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</si>
  <si>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</si>
  <si>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</si>
  <si>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</si>
  <si>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</si>
  <si>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</si>
  <si>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</si>
  <si>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</si>
  <si>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</si>
  <si>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</si>
  <si>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</si>
  <si>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</si>
  <si>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</si>
  <si>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</si>
  <si>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</si>
  <si>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</si>
  <si>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</si>
  <si>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</si>
  <si>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</si>
  <si>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</si>
  <si>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</si>
  <si>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</si>
  <si>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</si>
  <si>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</si>
  <si>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</si>
  <si>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</si>
  <si>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</si>
  <si>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</si>
  <si>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</si>
  <si>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</si>
  <si>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</si>
  <si>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</si>
  <si>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</si>
  <si>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</si>
  <si>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</si>
  <si>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</si>
  <si>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</si>
  <si>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</si>
  <si>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</si>
  <si>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</si>
  <si>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</si>
  <si>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</si>
  <si>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</si>
  <si>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</si>
  <si>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</si>
  <si>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</si>
  <si>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</si>
  <si>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</si>
  <si>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</si>
  <si>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</si>
  <si>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</si>
  <si>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</si>
  <si>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</si>
  <si>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</si>
  <si>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</si>
  <si>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</si>
  <si>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</si>
  <si>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</si>
  <si>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</si>
  <si>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</si>
  <si>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</si>
  <si>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</si>
  <si>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</si>
  <si>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</si>
  <si>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</si>
  <si>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</si>
  <si>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</si>
  <si>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</si>
  <si>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</si>
  <si>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</si>
  <si>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</si>
  <si>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</si>
  <si>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</si>
  <si>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</si>
  <si>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</si>
  <si>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</si>
  <si>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</si>
  <si>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</si>
  <si>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</si>
  <si>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</si>
  <si>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</si>
  <si>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</si>
  <si>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</si>
  <si>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</si>
  <si>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</si>
  <si>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</si>
  <si>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</si>
  <si>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</si>
  <si>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</si>
  <si>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</si>
  <si>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</si>
  <si>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</si>
  <si>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</si>
  <si>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</si>
  <si>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</si>
  <si>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</si>
  <si>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</si>
  <si>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</si>
  <si>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</si>
  <si>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</si>
  <si>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</si>
  <si>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</si>
  <si>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</si>
  <si>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</si>
  <si>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</si>
  <si>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</si>
  <si>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</si>
  <si>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</si>
  <si>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</si>
  <si>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</si>
  <si>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</si>
  <si>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</si>
  <si>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</si>
  <si>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</si>
  <si>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</si>
  <si>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</si>
  <si>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</si>
  <si>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</si>
  <si>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</si>
  <si>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</si>
  <si>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</si>
  <si>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</si>
  <si>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</si>
  <si>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</si>
  <si>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</si>
  <si>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</si>
  <si>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</si>
  <si>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</si>
  <si>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</si>
  <si>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</si>
  <si>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</si>
  <si>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</si>
  <si>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</si>
  <si>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</si>
  <si>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</si>
  <si>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</si>
  <si>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</si>
  <si>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</si>
  <si>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</si>
  <si>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</si>
  <si>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</si>
  <si>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</si>
  <si>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</si>
  <si>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</si>
  <si>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</si>
  <si>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</si>
  <si>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</si>
  <si>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</si>
  <si>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</si>
  <si>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</si>
  <si>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</si>
  <si>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</si>
  <si>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</si>
  <si>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</si>
  <si>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</si>
  <si>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</si>
  <si>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</si>
  <si>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</si>
  <si>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</si>
  <si>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</si>
  <si>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</si>
  <si>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</si>
  <si>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</si>
  <si>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</si>
  <si>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</si>
  <si>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</si>
  <si>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</si>
  <si>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</si>
  <si>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</si>
  <si>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</si>
  <si>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</si>
  <si>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</si>
  <si>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</si>
  <si>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</si>
  <si>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</si>
  <si>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</si>
  <si>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</si>
  <si>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</si>
  <si>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</si>
  <si>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</si>
  <si>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</si>
  <si>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</si>
  <si>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</si>
  <si>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</si>
  <si>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</si>
  <si>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</si>
  <si>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</si>
  <si>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</si>
  <si>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</si>
  <si>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</si>
  <si>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</si>
  <si>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</si>
  <si>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</si>
  <si>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</si>
  <si>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</si>
  <si>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</si>
  <si>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</si>
  <si>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</si>
  <si>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</si>
  <si>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</si>
  <si>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</si>
  <si>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</si>
  <si>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</si>
  <si>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</si>
  <si>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</si>
  <si>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</si>
  <si>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</si>
  <si>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</si>
  <si>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</si>
  <si>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</si>
  <si>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</si>
  <si>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</si>
  <si>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</si>
  <si>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</si>
  <si>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</si>
  <si>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</si>
  <si>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</si>
  <si>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</si>
  <si>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</si>
  <si>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</si>
  <si>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</si>
  <si>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</si>
  <si>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</si>
  <si>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</si>
  <si>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</si>
  <si>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</si>
  <si>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</si>
  <si>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</si>
  <si>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</si>
  <si>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</si>
  <si>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</si>
  <si>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</si>
  <si>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</si>
  <si>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</si>
  <si>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</si>
  <si>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</si>
  <si>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</si>
  <si>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</si>
  <si>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</si>
  <si>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</si>
  <si>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</si>
  <si>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</si>
  <si>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</si>
  <si>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</si>
  <si>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</si>
  <si>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</si>
  <si>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</si>
  <si>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</si>
  <si>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</si>
  <si>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</si>
  <si>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</si>
  <si>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</si>
  <si>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</si>
  <si>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</si>
  <si>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</si>
  <si>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</si>
  <si>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</si>
  <si>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</si>
  <si>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</si>
  <si>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</si>
  <si>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</si>
  <si>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</si>
  <si>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</si>
  <si>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</si>
  <si>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</si>
  <si>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</si>
  <si>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</si>
  <si>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</si>
  <si>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</si>
  <si>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</si>
  <si>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</si>
  <si>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</si>
  <si>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</si>
  <si>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</si>
  <si>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</si>
  <si>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</si>
  <si>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</si>
  <si>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</si>
  <si>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</si>
  <si>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</si>
  <si>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</si>
  <si>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</si>
  <si>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</si>
  <si>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</si>
  <si>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</si>
  <si>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</si>
  <si>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</si>
  <si>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</si>
  <si>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</si>
  <si>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</si>
  <si>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</si>
  <si>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</si>
  <si>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</si>
  <si>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</si>
  <si>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</si>
  <si>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</si>
  <si>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</si>
  <si>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</si>
  <si>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</si>
  <si>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</si>
  <si>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</si>
  <si>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</si>
  <si>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</si>
  <si>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</si>
  <si>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</si>
  <si>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</si>
  <si>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</si>
  <si>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</si>
  <si>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</si>
  <si>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</si>
  <si>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</si>
  <si>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</si>
  <si>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</si>
  <si>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</si>
  <si>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</si>
  <si>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Simple lamina at perpendicular and axial loads</t>
  </si>
  <si>
    <t>Fiber density</t>
  </si>
  <si>
    <t xml:space="preserve">Resine density </t>
  </si>
  <si>
    <t>Composite density</t>
  </si>
  <si>
    <t>A length</t>
  </si>
  <si>
    <t>B length</t>
  </si>
  <si>
    <t>Height</t>
  </si>
  <si>
    <t>Cross Area</t>
  </si>
  <si>
    <t>Load</t>
  </si>
  <si>
    <t>N</t>
  </si>
  <si>
    <t>Transv</t>
  </si>
  <si>
    <t>Continuous</t>
  </si>
  <si>
    <t>Composite mechanical properties</t>
  </si>
  <si>
    <t>Spreadsheet to determine composite prop., joints and dimensions for geometries with composites</t>
  </si>
  <si>
    <t>Fiber Ftu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</si>
  <si>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</si>
  <si>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t>Matrix Ftu</t>
  </si>
  <si>
    <t>Matrix Fty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</si>
  <si>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</si>
  <si>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</si>
  <si>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</si>
  <si>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</si>
  <si>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</si>
  <si>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</si>
  <si>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Matrix Fcu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</si>
  <si>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</si>
  <si>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</si>
  <si>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</si>
  <si>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</si>
  <si>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</si>
  <si>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</si>
  <si>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</si>
  <si>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</si>
  <si>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Youngs Module  fiber</t>
  </si>
  <si>
    <t>Youngs Module resin</t>
  </si>
  <si>
    <t>Fty composite</t>
  </si>
  <si>
    <t xml:space="preserve">Ftu composite </t>
  </si>
  <si>
    <t xml:space="preserve">Fcu composite </t>
  </si>
  <si>
    <t>Fiber prop</t>
  </si>
  <si>
    <t>Matrix prop</t>
  </si>
  <si>
    <t>yield</t>
  </si>
  <si>
    <t>uts</t>
  </si>
  <si>
    <t>1 kg/cm2 = 0.01 kg/mm2</t>
  </si>
  <si>
    <t>Gpa</t>
  </si>
  <si>
    <t>less</t>
  </si>
  <si>
    <t>equal</t>
  </si>
  <si>
    <t>higher</t>
  </si>
  <si>
    <t>Composite</t>
  </si>
  <si>
    <t>Note:</t>
  </si>
  <si>
    <t>Fiber Fcu</t>
  </si>
  <si>
    <t>Fiber εcu</t>
  </si>
  <si>
    <t>Composite Youngs Module</t>
  </si>
  <si>
    <t>Declare variables of interest: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</si>
  <si>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</si>
  <si>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</si>
  <si>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</si>
  <si>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</si>
  <si>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</si>
  <si>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</si>
  <si>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</si>
  <si>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</si>
  <si>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</si>
  <si>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</si>
  <si>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</si>
  <si>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</si>
  <si>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</si>
  <si>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</si>
  <si>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</si>
  <si>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</si>
  <si>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</si>
  <si>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</si>
  <si>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Coefficient of thermal exp.
 (X10^-3 m/m°C)</t>
  </si>
  <si>
    <t>IPS tube selected</t>
  </si>
  <si>
    <t>Material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</si>
  <si>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</si>
  <si>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</si>
  <si>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</si>
  <si>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</si>
  <si>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</si>
  <si>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</si>
  <si>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</si>
  <si>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Manufacture considerations</t>
  </si>
  <si>
    <t>Tube geometry</t>
  </si>
  <si>
    <t>Loads</t>
  </si>
  <si>
    <t>(N)</t>
  </si>
  <si>
    <t xml:space="preserve">Location </t>
  </si>
  <si>
    <t>(mm)</t>
  </si>
  <si>
    <t>(cause/how is the load generated and where is applied)</t>
  </si>
  <si>
    <t>Due to body drag in CG</t>
  </si>
  <si>
    <t>Inertial load due to avionics</t>
  </si>
  <si>
    <t>Inertial load due to payload</t>
  </si>
  <si>
    <t>Inertial load due to rocket motor</t>
  </si>
  <si>
    <t>Rocket motor thrust in bulkhead and rocket base</t>
  </si>
  <si>
    <t>Forebody lift in Cpforebody</t>
  </si>
  <si>
    <t>Fin lift in Cpfin</t>
  </si>
  <si>
    <t>Inertial load due to lateral accelerations in CG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</si>
  <si>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</si>
  <si>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</si>
  <si>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</si>
  <si>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overlapping area between tubes</t>
  </si>
  <si>
    <t>Figure for load representation in rocket fuselage</t>
  </si>
  <si>
    <t>Color rep.</t>
  </si>
  <si>
    <t xml:space="preserve">Axial </t>
  </si>
  <si>
    <t>Longitud</t>
  </si>
  <si>
    <t>x mm</t>
  </si>
  <si>
    <t>Fin</t>
  </si>
  <si>
    <t>+</t>
  </si>
  <si>
    <t>(+/-)</t>
  </si>
  <si>
    <t>Shear Graph</t>
  </si>
  <si>
    <t>Moment graph</t>
  </si>
  <si>
    <t>Rotational inertia load due avionics</t>
  </si>
  <si>
    <t>Rotational inertia load due payload</t>
  </si>
  <si>
    <t>Rotational inertia load due rocket motor</t>
  </si>
  <si>
    <t>Shear force equation</t>
  </si>
  <si>
    <t>Mass in kg:</t>
  </si>
  <si>
    <t>For B: and sharp-edged gust of 9 m/s</t>
  </si>
  <si>
    <t>Lateral ay:</t>
  </si>
  <si>
    <t>Mass total kg:</t>
  </si>
  <si>
    <t>y Nmm</t>
  </si>
  <si>
    <t>y N</t>
  </si>
  <si>
    <t>Total moment:</t>
  </si>
  <si>
    <t>Nmm</t>
  </si>
  <si>
    <t>A fast aproximation is using thin-wall structure</t>
  </si>
  <si>
    <t>Moment 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</si>
</sst>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2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3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9" fontId="0" fillId="0" borderId="0" xfId="2" applyFont="1"/>
    <xf numFmtId="9" fontId="0" fillId="0" borderId="0" xfId="0" applyNumberFormat="1"/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21" fillId="0" borderId="0" xfId="0" applyFont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6135024"/>
        <c:axId val="416188384"/>
      </c:scatterChart>
      <c:valAx>
        <c:axId val="416135024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188384"/>
        <c:crosses val="autoZero"/>
        <c:crossBetween val="midCat"/>
        <c:majorUnit val="0.30000000000000004"/>
        <c:minorUnit val="0.30000000000000004"/>
      </c:valAx>
      <c:valAx>
        <c:axId val="41618838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135024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6292688"/>
        <c:axId val="416388648"/>
      </c:scatterChart>
      <c:valAx>
        <c:axId val="41629268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6388648"/>
        <c:crossesAt val="0"/>
        <c:crossBetween val="midCat"/>
      </c:valAx>
      <c:valAx>
        <c:axId val="416388648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6292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6434896"/>
        <c:axId val="416435280"/>
      </c:scatterChart>
      <c:valAx>
        <c:axId val="416434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435280"/>
        <c:crosses val="autoZero"/>
        <c:crossBetween val="midCat"/>
      </c:valAx>
      <c:valAx>
        <c:axId val="4164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4348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104792"/>
        <c:axId val="416494928"/>
      </c:scatterChart>
      <c:valAx>
        <c:axId val="415104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6494928"/>
        <c:crosses val="autoZero"/>
        <c:crossBetween val="midCat"/>
      </c:valAx>
      <c:valAx>
        <c:axId val="41649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5104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6486720"/>
        <c:axId val="414996424"/>
      </c:scatterChart>
      <c:valAx>
        <c:axId val="41648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4996424"/>
        <c:crosses val="autoZero"/>
        <c:crossBetween val="midCat"/>
      </c:valAx>
      <c:valAx>
        <c:axId val="414996424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6486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997992"/>
        <c:axId val="414998384"/>
      </c:scatterChart>
      <c:valAx>
        <c:axId val="414997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4998384"/>
        <c:crosses val="autoZero"/>
        <c:crossBetween val="midCat"/>
      </c:valAx>
      <c:valAx>
        <c:axId val="41499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4997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999168"/>
        <c:axId val="417200976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414999168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200976"/>
        <c:crosses val="autoZero"/>
        <c:crossBetween val="midCat"/>
      </c:valAx>
      <c:valAx>
        <c:axId val="41720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499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196664"/>
        <c:axId val="417195096"/>
      </c:scatterChart>
      <c:valAx>
        <c:axId val="417196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195096"/>
        <c:crosses val="autoZero"/>
        <c:crossBetween val="midCat"/>
      </c:valAx>
      <c:valAx>
        <c:axId val="417195096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196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193528"/>
        <c:axId val="417193920"/>
      </c:scatterChart>
      <c:valAx>
        <c:axId val="417193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193920"/>
        <c:crosses val="autoZero"/>
        <c:crossBetween val="midCat"/>
      </c:valAx>
      <c:valAx>
        <c:axId val="41719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193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194312"/>
        <c:axId val="417198232"/>
      </c:scatterChart>
      <c:valAx>
        <c:axId val="417194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198232"/>
        <c:crosses val="autoZero"/>
        <c:crossBetween val="midCat"/>
      </c:valAx>
      <c:valAx>
        <c:axId val="417198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194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194704"/>
        <c:axId val="417196272"/>
      </c:scatterChart>
      <c:valAx>
        <c:axId val="417194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196272"/>
        <c:crosses val="autoZero"/>
        <c:crossBetween val="midCat"/>
      </c:valAx>
      <c:valAx>
        <c:axId val="41719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194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197056"/>
        <c:axId val="417198624"/>
      </c:scatterChart>
      <c:valAx>
        <c:axId val="41719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198624"/>
        <c:crosses val="autoZero"/>
        <c:crossBetween val="midCat"/>
      </c:valAx>
      <c:valAx>
        <c:axId val="41719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197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Longitudinal (tension)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ser>
          <c:idx val="9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988-4C82-AAB9-81698529BB97}"/>
            </c:ext>
          </c:extLst>
        </c:ser>
        <c:ser>
          <c:idx val="10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988-4C82-AAB9-81698529BB97}"/>
            </c:ext>
          </c:extLst>
        </c:ser>
        <c:ser>
          <c:idx val="11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988-4C82-AAB9-81698529BB97}"/>
            </c:ext>
          </c:extLst>
        </c:ser>
        <c:ser>
          <c:idx val="3"/>
          <c:order val="6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988-4C82-AAB9-81698529BB97}"/>
            </c:ext>
          </c:extLst>
        </c:ser>
        <c:ser>
          <c:idx val="4"/>
          <c:order val="7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988-4C82-AAB9-81698529BB97}"/>
            </c:ext>
          </c:extLst>
        </c:ser>
        <c:ser>
          <c:idx val="5"/>
          <c:order val="8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988-4C82-AAB9-81698529BB97}"/>
            </c:ext>
          </c:extLst>
        </c:ser>
        <c:ser>
          <c:idx val="0"/>
          <c:order val="9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988-4C82-AAB9-81698529BB97}"/>
            </c:ext>
          </c:extLst>
        </c:ser>
        <c:ser>
          <c:idx val="1"/>
          <c:order val="10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F988-4C82-AAB9-81698529BB97}"/>
            </c:ext>
          </c:extLst>
        </c:ser>
        <c:ser>
          <c:idx val="2"/>
          <c:order val="11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B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199800"/>
        <c:axId val="417200192"/>
      </c:scatterChart>
      <c:valAx>
        <c:axId val="417199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200192"/>
        <c:crosses val="autoZero"/>
        <c:crossBetween val="midCat"/>
      </c:valAx>
      <c:valAx>
        <c:axId val="41720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99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transversal</a:t>
            </a:r>
          </a:p>
          <a:p>
            <a:pPr>
              <a:defRPr/>
            </a:pPr>
            <a:r>
              <a:rPr lang="en-US" baseline="0"/>
              <a:t>(compression)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5"/>
          <c:order val="2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60B-4985-9958-F91B0900BF0B}"/>
            </c:ext>
          </c:extLst>
        </c:ser>
        <c:ser>
          <c:idx val="0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660B-4985-9958-F91B0900BF0B}"/>
            </c:ext>
          </c:extLst>
        </c:ser>
        <c:ser>
          <c:idx val="1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660B-4985-9958-F91B0900BF0B}"/>
            </c:ext>
          </c:extLst>
        </c:ser>
        <c:ser>
          <c:idx val="2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997600"/>
        <c:axId val="417993096"/>
      </c:scatterChart>
      <c:valAx>
        <c:axId val="414997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993096"/>
        <c:crosses val="autoZero"/>
        <c:crossBetween val="midCat"/>
      </c:valAx>
      <c:valAx>
        <c:axId val="417993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997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Shear stress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SimpleComposites!$L$115:$L$120</c:f>
              <c:numCache>
                <c:formatCode>General</c:formatCode>
                <c:ptCount val="6"/>
                <c:pt idx="0">
                  <c:v>100</c:v>
                </c:pt>
                <c:pt idx="1">
                  <c:v>100</c:v>
                </c:pt>
                <c:pt idx="2">
                  <c:v>900</c:v>
                </c:pt>
                <c:pt idx="3">
                  <c:v>900</c:v>
                </c:pt>
                <c:pt idx="4">
                  <c:v>1700</c:v>
                </c:pt>
                <c:pt idx="5">
                  <c:v>1700</c:v>
                </c:pt>
              </c:numCache>
            </c:numRef>
          </c:xVal>
          <c:yVal>
            <c:numRef>
              <c:f>SimpleComposites!$M$115:$M$120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-32</c:v>
                </c:pt>
                <c:pt idx="4">
                  <c:v>-32</c:v>
                </c:pt>
                <c:pt idx="5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997408"/>
        <c:axId val="417993488"/>
      </c:scatterChart>
      <c:valAx>
        <c:axId val="41799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993488"/>
        <c:crosses val="autoZero"/>
        <c:crossBetween val="midCat"/>
      </c:valAx>
      <c:valAx>
        <c:axId val="41799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997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SimpleComposites!$L$127:$L$129</c:f>
              <c:numCache>
                <c:formatCode>General</c:formatCode>
                <c:ptCount val="3"/>
                <c:pt idx="0">
                  <c:v>100</c:v>
                </c:pt>
                <c:pt idx="1">
                  <c:v>900</c:v>
                </c:pt>
                <c:pt idx="2">
                  <c:v>1700</c:v>
                </c:pt>
              </c:numCache>
            </c:numRef>
          </c:xVal>
          <c:yVal>
            <c:numRef>
              <c:f>SimpleComposites!$M$127:$M$129</c:f>
              <c:numCache>
                <c:formatCode>General</c:formatCode>
                <c:ptCount val="3"/>
                <c:pt idx="0">
                  <c:v>0</c:v>
                </c:pt>
                <c:pt idx="1">
                  <c:v>1600</c:v>
                </c:pt>
                <c:pt idx="2">
                  <c:v>-24000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00152"/>
        <c:axId val="417993880"/>
      </c:scatterChart>
      <c:valAx>
        <c:axId val="418000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993880"/>
        <c:crosses val="autoZero"/>
        <c:crossBetween val="midCat"/>
      </c:valAx>
      <c:valAx>
        <c:axId val="417993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000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997016"/>
        <c:axId val="417999368"/>
      </c:scatterChart>
      <c:valAx>
        <c:axId val="417997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999368"/>
        <c:crosses val="autoZero"/>
        <c:crossBetween val="midCat"/>
      </c:valAx>
      <c:valAx>
        <c:axId val="417999368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997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998192"/>
        <c:axId val="417994272"/>
      </c:scatterChart>
      <c:valAx>
        <c:axId val="417998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994272"/>
        <c:crosses val="autoZero"/>
        <c:crossBetween val="midCat"/>
      </c:valAx>
      <c:valAx>
        <c:axId val="41799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998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995840"/>
        <c:axId val="417996232"/>
      </c:scatterChart>
      <c:valAx>
        <c:axId val="417995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996232"/>
        <c:crosses val="autoZero"/>
        <c:crossBetween val="midCat"/>
      </c:valAx>
      <c:valAx>
        <c:axId val="41799623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995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992704"/>
        <c:axId val="417995448"/>
      </c:scatterChart>
      <c:valAx>
        <c:axId val="41799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995448"/>
        <c:crosses val="autoZero"/>
        <c:crossBetween val="midCat"/>
      </c:valAx>
      <c:valAx>
        <c:axId val="417995448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992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252144"/>
        <c:axId val="415251752"/>
      </c:scatterChart>
      <c:valAx>
        <c:axId val="415252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5251752"/>
        <c:crosses val="autoZero"/>
        <c:crossBetween val="midCat"/>
      </c:valAx>
      <c:valAx>
        <c:axId val="415251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5252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252536"/>
        <c:axId val="415252928"/>
      </c:scatterChart>
      <c:valAx>
        <c:axId val="415252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5252928"/>
        <c:crosses val="autoZero"/>
        <c:crossBetween val="midCat"/>
      </c:valAx>
      <c:valAx>
        <c:axId val="4152529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5252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245872"/>
        <c:axId val="415246656"/>
      </c:scatterChart>
      <c:valAx>
        <c:axId val="415245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246656"/>
        <c:crosses val="autoZero"/>
        <c:crossBetween val="midCat"/>
      </c:valAx>
      <c:valAx>
        <c:axId val="41524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245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248224"/>
        <c:axId val="415248616"/>
      </c:scatterChart>
      <c:valAx>
        <c:axId val="415248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248616"/>
        <c:crosses val="autoZero"/>
        <c:crossBetween val="midCat"/>
      </c:valAx>
      <c:valAx>
        <c:axId val="415248616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248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249400"/>
        <c:axId val="415250184"/>
      </c:scatterChart>
      <c:valAx>
        <c:axId val="415249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250184"/>
        <c:crosses val="autoZero"/>
        <c:crossBetween val="midCat"/>
      </c:valAx>
      <c:valAx>
        <c:axId val="415250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249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5250968"/>
        <c:axId val="415251360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0708744"/>
        <c:axId val="420711096"/>
      </c:lineChart>
      <c:catAx>
        <c:axId val="415250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251360"/>
        <c:crosses val="autoZero"/>
        <c:auto val="1"/>
        <c:lblAlgn val="ctr"/>
        <c:lblOffset val="100"/>
        <c:noMultiLvlLbl val="0"/>
      </c:catAx>
      <c:valAx>
        <c:axId val="41525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250968"/>
        <c:crosses val="autoZero"/>
        <c:crossBetween val="between"/>
      </c:valAx>
      <c:valAx>
        <c:axId val="420711096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708744"/>
        <c:crosses val="max"/>
        <c:crossBetween val="between"/>
      </c:valAx>
      <c:catAx>
        <c:axId val="4207087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07110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0715016"/>
        <c:axId val="420711488"/>
      </c:scatterChart>
      <c:valAx>
        <c:axId val="420715016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711488"/>
        <c:crosses val="autoZero"/>
        <c:crossBetween val="midCat"/>
      </c:valAx>
      <c:valAx>
        <c:axId val="42071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715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7.png"/><Relationship Id="rId7" Type="http://schemas.openxmlformats.org/officeDocument/2006/relationships/image" Target="../media/image9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5" Type="http://schemas.openxmlformats.org/officeDocument/2006/relationships/chart" Target="../charts/chart14.xml"/><Relationship Id="rId10" Type="http://schemas.openxmlformats.org/officeDocument/2006/relationships/image" Target="../media/image10.png"/><Relationship Id="rId4" Type="http://schemas.openxmlformats.org/officeDocument/2006/relationships/chart" Target="../charts/chart13.xml"/><Relationship Id="rId9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5.png"/><Relationship Id="rId3" Type="http://schemas.openxmlformats.org/officeDocument/2006/relationships/chart" Target="../charts/chart22.xml"/><Relationship Id="rId7" Type="http://schemas.openxmlformats.org/officeDocument/2006/relationships/image" Target="../media/image14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13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image" Target="../media/image16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9.png"/><Relationship Id="rId2" Type="http://schemas.openxmlformats.org/officeDocument/2006/relationships/image" Target="../media/image18.png"/><Relationship Id="rId1" Type="http://schemas.openxmlformats.org/officeDocument/2006/relationships/image" Target="../media/image17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chart" Target="../charts/chart26.xml"/><Relationship Id="rId7" Type="http://schemas.openxmlformats.org/officeDocument/2006/relationships/image" Target="../media/image22.png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chart" Target="../charts/chart27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=""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="" xmlns:a16="http://schemas.microsoft.com/office/drawing/2014/main" id="{8696CF88-4D17-58E0-4547-0F4FEA49BBCA}"/>
            </a:ext>
            <a:ext uri="{147F2762-F138-4A5C-976F-8EAC2B608ADB}">
              <a16:predDERef xmlns=""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=""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=""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=""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10EB7F2F-3037-0F02-65F4-9470FC24037D}"/>
            </a:ext>
            <a:ext uri="{147F2762-F138-4A5C-976F-8EAC2B608ADB}">
              <a16:predDERef xmlns=""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1E1B4768-DDEF-37F2-E2F6-DF6922649F41}"/>
            </a:ext>
            <a:ext uri="{147F2762-F138-4A5C-976F-8EAC2B608ADB}">
              <a16:predDERef xmlns=""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="" xmlns:a16="http://schemas.microsoft.com/office/drawing/2014/main" id="{E128D49A-3629-4BBF-9581-DB9D69B8A541}"/>
            </a:ext>
            <a:ext uri="{147F2762-F138-4A5C-976F-8EAC2B608ADB}">
              <a16:predDERef xmlns=""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4705D049-9711-4AD6-8388-EAF961A55C4C}"/>
            </a:ext>
            <a:ext uri="{147F2762-F138-4A5C-976F-8EAC2B608ADB}">
              <a16:predDERef xmlns=""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="" xmlns:a16="http://schemas.microsoft.com/office/drawing/2014/main" id="{64CC32F9-70E7-407E-A2B4-7366728088AD}"/>
            </a:ext>
            <a:ext uri="{147F2762-F138-4A5C-976F-8EAC2B608ADB}">
              <a16:predDERef xmlns=""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250CC376-444D-4A69-B396-08361C76F808}"/>
            </a:ext>
            <a:ext uri="{147F2762-F138-4A5C-976F-8EAC2B608ADB}">
              <a16:predDERef xmlns=""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C15CA873-26E1-4AC6-B585-4EB97F3C73DC}"/>
            </a:ext>
            <a:ext uri="{147F2762-F138-4A5C-976F-8EAC2B608ADB}">
              <a16:predDERef xmlns=""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="" xmlns:a16="http://schemas.microsoft.com/office/drawing/2014/main" id="{9A60D0BB-D2DB-4D29-AC4E-706AD0B20703}"/>
            </a:ext>
            <a:ext uri="{147F2762-F138-4A5C-976F-8EAC2B608ADB}">
              <a16:predDERef xmlns=""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=""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=""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E18AE237-AB9B-443B-9AC6-0A486D849990}"/>
            </a:ext>
            <a:ext uri="{147F2762-F138-4A5C-976F-8EAC2B608ADB}">
              <a16:predDERef xmlns=""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="" xmlns:a16="http://schemas.microsoft.com/office/drawing/2014/main" id="{D877167B-41EB-4438-B309-3687EC1249E9}"/>
            </a:ext>
            <a:ext uri="{6ECC49D1-AA05-4338-93AA-15A1B29DFB0A}">
              <asl:scriptLink xmlns=""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 editAs="oneCell">
    <xdr:from>
      <xdr:col>11</xdr:col>
      <xdr:colOff>504265</xdr:colOff>
      <xdr:row>31</xdr:row>
      <xdr:rowOff>56029</xdr:rowOff>
    </xdr:from>
    <xdr:to>
      <xdr:col>20</xdr:col>
      <xdr:colOff>67078</xdr:colOff>
      <xdr:row>50</xdr:row>
      <xdr:rowOff>12235</xdr:rowOff>
    </xdr:to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4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85530" y="3933264"/>
          <a:ext cx="5572903" cy="3362794"/>
        </a:xfrm>
        <a:prstGeom prst="rect">
          <a:avLst/>
        </a:prstGeom>
      </xdr:spPr>
    </xdr:pic>
    <xdr:clientData/>
  </xdr:twoCellAnchor>
  <xdr:twoCellAnchor editAs="oneCell">
    <xdr:from>
      <xdr:col>11</xdr:col>
      <xdr:colOff>582705</xdr:colOff>
      <xdr:row>4</xdr:row>
      <xdr:rowOff>78441</xdr:rowOff>
    </xdr:from>
    <xdr:to>
      <xdr:col>15</xdr:col>
      <xdr:colOff>289265</xdr:colOff>
      <xdr:row>6</xdr:row>
      <xdr:rowOff>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4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63970" y="874059"/>
          <a:ext cx="2448267" cy="285790"/>
        </a:xfrm>
        <a:prstGeom prst="rect">
          <a:avLst/>
        </a:prstGeom>
      </xdr:spPr>
    </xdr:pic>
    <xdr:clientData/>
  </xdr:twoCellAnchor>
  <xdr:twoCellAnchor>
    <xdr:from>
      <xdr:col>0</xdr:col>
      <xdr:colOff>123262</xdr:colOff>
      <xdr:row>31</xdr:row>
      <xdr:rowOff>12325</xdr:rowOff>
    </xdr:from>
    <xdr:to>
      <xdr:col>5</xdr:col>
      <xdr:colOff>291353</xdr:colOff>
      <xdr:row>46</xdr:row>
      <xdr:rowOff>88525</xdr:rowOff>
    </xdr:to>
    <xdr:graphicFrame macro="">
      <xdr:nvGraphicFramePr>
        <xdr:cNvPr id="13" name="Chart 12">
          <a:extLst>
            <a:ext uri="{FF2B5EF4-FFF2-40B4-BE49-F238E27FC236}">
              <a16:creationId xmlns=""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459440</xdr:colOff>
      <xdr:row>31</xdr:row>
      <xdr:rowOff>11206</xdr:rowOff>
    </xdr:from>
    <xdr:to>
      <xdr:col>9</xdr:col>
      <xdr:colOff>762000</xdr:colOff>
      <xdr:row>46</xdr:row>
      <xdr:rowOff>123264</xdr:rowOff>
    </xdr:to>
    <xdr:graphicFrame macro="">
      <xdr:nvGraphicFramePr>
        <xdr:cNvPr id="14" name="Chart 13">
          <a:extLst>
            <a:ext uri="{FF2B5EF4-FFF2-40B4-BE49-F238E27FC236}">
              <a16:creationId xmlns=""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29884</xdr:colOff>
      <xdr:row>67</xdr:row>
      <xdr:rowOff>167340</xdr:rowOff>
    </xdr:from>
    <xdr:to>
      <xdr:col>8</xdr:col>
      <xdr:colOff>657411</xdr:colOff>
      <xdr:row>70</xdr:row>
      <xdr:rowOff>29882</xdr:rowOff>
    </xdr:to>
    <xdr:grpSp>
      <xdr:nvGrpSpPr>
        <xdr:cNvPr id="16" name="Group 15">
          <a:extLst>
            <a:ext uri="{FF2B5EF4-FFF2-40B4-BE49-F238E27FC236}">
              <a16:creationId xmlns="" xmlns:a16="http://schemas.microsoft.com/office/drawing/2014/main" id="{71D255C3-B7C8-885E-5A39-030847CD4A9D}"/>
            </a:ext>
          </a:extLst>
        </xdr:cNvPr>
        <xdr:cNvGrpSpPr/>
      </xdr:nvGrpSpPr>
      <xdr:grpSpPr>
        <a:xfrm>
          <a:off x="186766" y="10768105"/>
          <a:ext cx="5726204" cy="400424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="" xmlns:a16="http://schemas.microsoft.com/office/drawing/2014/main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="" xmlns:a16="http://schemas.microsoft.com/office/drawing/2014/main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="" xmlns:a16="http://schemas.microsoft.com/office/drawing/2014/main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="" xmlns:a16="http://schemas.microsoft.com/office/drawing/2014/main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="" xmlns:a16="http://schemas.microsoft.com/office/drawing/2014/main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 editAs="oneCell">
    <xdr:from>
      <xdr:col>10</xdr:col>
      <xdr:colOff>164353</xdr:colOff>
      <xdr:row>61</xdr:row>
      <xdr:rowOff>0</xdr:rowOff>
    </xdr:from>
    <xdr:to>
      <xdr:col>15</xdr:col>
      <xdr:colOff>480377</xdr:colOff>
      <xdr:row>73</xdr:row>
      <xdr:rowOff>140469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DA3A80B9-5670-2468-9D34-AFD2B04BF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29294" y="9029388"/>
          <a:ext cx="3520907" cy="2381646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152962</xdr:colOff>
      <xdr:row>67</xdr:row>
      <xdr:rowOff>97116</xdr:rowOff>
    </xdr:from>
    <xdr:to>
      <xdr:col>18</xdr:col>
      <xdr:colOff>602028</xdr:colOff>
      <xdr:row>79</xdr:row>
      <xdr:rowOff>148990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4A13EE50-B4E5-FDAD-4CB1-540CDDEB3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17903" y="11400116"/>
          <a:ext cx="5402066" cy="2293049"/>
        </a:xfrm>
        <a:prstGeom prst="rect">
          <a:avLst/>
        </a:prstGeom>
      </xdr:spPr>
    </xdr:pic>
    <xdr:clientData/>
  </xdr:twoCellAnchor>
  <xdr:twoCellAnchor>
    <xdr:from>
      <xdr:col>1</xdr:col>
      <xdr:colOff>11206</xdr:colOff>
      <xdr:row>112</xdr:row>
      <xdr:rowOff>17930</xdr:rowOff>
    </xdr:from>
    <xdr:to>
      <xdr:col>7</xdr:col>
      <xdr:colOff>549088</xdr:colOff>
      <xdr:row>126</xdr:row>
      <xdr:rowOff>146424</xdr:rowOff>
    </xdr:to>
    <xdr:graphicFrame macro="">
      <xdr:nvGraphicFramePr>
        <xdr:cNvPr id="20" name="Chart 19">
          <a:extLst>
            <a:ext uri="{FF2B5EF4-FFF2-40B4-BE49-F238E27FC236}">
              <a16:creationId xmlns="" xmlns:a16="http://schemas.microsoft.com/office/drawing/2014/main" id="{8F28B114-4F46-6AE9-2D00-B87DF6B18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429559</xdr:colOff>
      <xdr:row>71</xdr:row>
      <xdr:rowOff>144904</xdr:rowOff>
    </xdr:from>
    <xdr:to>
      <xdr:col>5</xdr:col>
      <xdr:colOff>30011</xdr:colOff>
      <xdr:row>73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="" xmlns:a16="http://schemas.microsoft.com/office/drawing/2014/main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70</xdr:row>
      <xdr:rowOff>77929</xdr:rowOff>
    </xdr:from>
    <xdr:to>
      <xdr:col>5</xdr:col>
      <xdr:colOff>323417</xdr:colOff>
      <xdr:row>75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="" xmlns:a16="http://schemas.microsoft.com/office/drawing/2014/main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71</xdr:row>
      <xdr:rowOff>167317</xdr:rowOff>
    </xdr:from>
    <xdr:to>
      <xdr:col>4</xdr:col>
      <xdr:colOff>728382</xdr:colOff>
      <xdr:row>73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="" xmlns:a16="http://schemas.microsoft.com/office/drawing/2014/main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291353</xdr:colOff>
      <xdr:row>69</xdr:row>
      <xdr:rowOff>5846</xdr:rowOff>
    </xdr:from>
    <xdr:to>
      <xdr:col>1</xdr:col>
      <xdr:colOff>537882</xdr:colOff>
      <xdr:row>72</xdr:row>
      <xdr:rowOff>112058</xdr:rowOff>
    </xdr:to>
    <xdr:sp macro="" textlink="">
      <xdr:nvSpPr>
        <xdr:cNvPr id="33" name="Arrow: Up 32">
          <a:extLst>
            <a:ext uri="{FF2B5EF4-FFF2-40B4-BE49-F238E27FC236}">
              <a16:creationId xmlns="" xmlns:a16="http://schemas.microsoft.com/office/drawing/2014/main" id="{A1663DC9-DD9F-0D43-D4CB-150A91081E0C}"/>
            </a:ext>
          </a:extLst>
        </xdr:cNvPr>
        <xdr:cNvSpPr/>
      </xdr:nvSpPr>
      <xdr:spPr>
        <a:xfrm rot="10800000">
          <a:off x="440440" y="11104542"/>
          <a:ext cx="246529" cy="65286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126740</xdr:colOff>
      <xdr:row>68</xdr:row>
      <xdr:rowOff>177248</xdr:rowOff>
    </xdr:from>
    <xdr:to>
      <xdr:col>8</xdr:col>
      <xdr:colOff>373269</xdr:colOff>
      <xdr:row>72</xdr:row>
      <xdr:rowOff>104977</xdr:rowOff>
    </xdr:to>
    <xdr:sp macro="" textlink="">
      <xdr:nvSpPr>
        <xdr:cNvPr id="34" name="Arrow: Up 33">
          <a:extLst>
            <a:ext uri="{FF2B5EF4-FFF2-40B4-BE49-F238E27FC236}">
              <a16:creationId xmlns="" xmlns:a16="http://schemas.microsoft.com/office/drawing/2014/main" id="{E5378644-7622-4C10-9C7F-B7881026715E}"/>
            </a:ext>
          </a:extLst>
        </xdr:cNvPr>
        <xdr:cNvSpPr/>
      </xdr:nvSpPr>
      <xdr:spPr>
        <a:xfrm rot="10800000">
          <a:off x="5435892" y="11093726"/>
          <a:ext cx="246529" cy="656599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682064</xdr:colOff>
      <xdr:row>65</xdr:row>
      <xdr:rowOff>156882</xdr:rowOff>
    </xdr:from>
    <xdr:to>
      <xdr:col>5</xdr:col>
      <xdr:colOff>224116</xdr:colOff>
      <xdr:row>69</xdr:row>
      <xdr:rowOff>2242</xdr:rowOff>
    </xdr:to>
    <xdr:sp macro="" textlink="">
      <xdr:nvSpPr>
        <xdr:cNvPr id="35" name="Arrow: Up 34">
          <a:extLst>
            <a:ext uri="{FF2B5EF4-FFF2-40B4-BE49-F238E27FC236}">
              <a16:creationId xmlns="" xmlns:a16="http://schemas.microsoft.com/office/drawing/2014/main" id="{15866B02-04DB-4027-946B-23EDCEADF098}"/>
            </a:ext>
          </a:extLst>
        </xdr:cNvPr>
        <xdr:cNvSpPr/>
      </xdr:nvSpPr>
      <xdr:spPr>
        <a:xfrm rot="10800000" flipV="1">
          <a:off x="3024093" y="10376647"/>
          <a:ext cx="270435" cy="584948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127</xdr:row>
      <xdr:rowOff>67236</xdr:rowOff>
    </xdr:from>
    <xdr:to>
      <xdr:col>7</xdr:col>
      <xdr:colOff>537882</xdr:colOff>
      <xdr:row>142</xdr:row>
      <xdr:rowOff>8965</xdr:rowOff>
    </xdr:to>
    <xdr:graphicFrame macro="">
      <xdr:nvGraphicFramePr>
        <xdr:cNvPr id="36" name="Chart 35">
          <a:extLst>
            <a:ext uri="{FF2B5EF4-FFF2-40B4-BE49-F238E27FC236}">
              <a16:creationId xmlns="" xmlns:a16="http://schemas.microsoft.com/office/drawing/2014/main" id="{99D37E3A-4F98-454B-A0B0-786AFFF9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11</xdr:col>
      <xdr:colOff>84418</xdr:colOff>
      <xdr:row>90</xdr:row>
      <xdr:rowOff>88153</xdr:rowOff>
    </xdr:from>
    <xdr:ext cx="4504118" cy="4794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=""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𝜏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@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𝑓𝑢𝑠𝑒𝑙𝑎𝑔𝑒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𝑓𝑜𝑟𝑒𝑏𝑜𝑑𝑦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𝑓𝑖𝑛𝑠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𝑅</m:t>
                    </m:r>
                    <m:nary>
                      <m:naryPr>
                        <m:chr m:val="∑"/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𝑎𝑡𝑢𝑚</m:t>
                        </m:r>
                      </m:sub>
                      <m:sup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𝐹𝑢𝑠𝑒𝑙𝑎𝑔𝑒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𝑝𝑜𝑠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.</m:t>
                        </m:r>
                      </m:sup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𝐶𝐺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𝜏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@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𝑓𝑢𝑠𝑒𝑙𝑎𝑔𝑒)=𝐿_𝑓𝑜𝑟𝑒𝑏𝑜𝑑𝑦+𝐿_𝑓𝑖𝑛𝑠−𝑎_𝑦 𝑚_𝑡𝑜𝑡𝑎𝑙−𝑅∑24_𝑑𝑎𝑡𝑢𝑚^(𝐹𝑢𝑠𝑒𝑙𝑎𝑔𝑒 𝑝𝑜𝑠.)▒〖(𝑋_𝐶𝐺−𝑋_𝑀)〗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166595</xdr:colOff>
      <xdr:row>94</xdr:row>
      <xdr:rowOff>73212</xdr:rowOff>
    </xdr:from>
    <xdr:ext cx="3184270" cy="8009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=""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num>
                          <m:den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2∗</m:t>
                            </m:r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𝐼𝑛𝑒𝑟𝑡𝑖𝑎</m:t>
                            </m:r>
                          </m:den>
                        </m:f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𝜌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𝑉𝑆𝑑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  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</m:oMath>
                </m:oMathPara>
              </a14:m>
              <a:endParaRPr lang="es-419" sz="1100" b="0"/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𝛼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𝑒𝑎𝑐h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 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𝑐𝑜𝑚𝑝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.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𝑒𝑎𝑎𝑐h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 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𝑐𝑜𝑚𝑝</m:t>
                                </m:r>
                              </m:sub>
                            </m:sSub>
                          </m:e>
                        </m:d>
                        <m:r>
                          <m:rPr>
                            <m:nor/>
                          </m:rPr>
                          <a:rPr lang="es-419" sz="1100" b="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nary>
                  </m:oMath>
                </m:oMathPara>
              </a14:m>
              <a:endParaRPr lang="es-419" sz="1100" b="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𝑅=(9/(2∗𝐼𝑛𝑒𝑟𝑡𝑖𝑎))𝜌𝑉𝑆𝑑(𝑆𝑡𝑎𝑡𝑖𝑐 𝑚𝑎𝑟𝑔𝑖𝑛)    𝑤ℎ𝑒𝑟𝑒</a:t>
              </a:r>
              <a:endParaRPr lang="es-419" sz="1100" b="0"/>
            </a:p>
            <a:p>
              <a:r>
                <a:rPr lang="es-419" sz="1100" b="0" i="0">
                  <a:latin typeface="Cambria Math" panose="02040503050406030204" pitchFamily="18" charset="0"/>
                </a:rPr>
                <a:t>(𝑆𝑡𝑎𝑡𝑖𝑐 𝑚𝑎𝑟𝑔𝑖𝑛)=∑▒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((𝑑𝐶_𝐿)/(𝑑𝛼_(𝑒𝑎𝑐ℎ 𝑐𝑜𝑚𝑝.) )∗𝐿_(𝑒𝑎𝑎𝑐ℎ 𝑐𝑜𝑚𝑝) )" 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endParaRPr lang="es-419" sz="1100" b="0"/>
            </a:p>
          </xdr:txBody>
        </xdr:sp>
      </mc:Fallback>
    </mc:AlternateContent>
    <xdr:clientData/>
  </xdr:oneCellAnchor>
  <xdr:oneCellAnchor>
    <xdr:from>
      <xdr:col>11</xdr:col>
      <xdr:colOff>196476</xdr:colOff>
      <xdr:row>99</xdr:row>
      <xdr:rowOff>20918</xdr:rowOff>
    </xdr:from>
    <xdr:ext cx="950132" cy="3504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=""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𝐿𝑖𝑓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num>
                      <m:den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𝑚𝑎𝑠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𝑎_𝑦=(𝐿𝑖𝑓𝑡_𝑡𝑜𝑡𝑎𝑙)/(𝑚𝑎𝑠𝑠_𝑡𝑜𝑡𝑎𝑙 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382493</xdr:colOff>
      <xdr:row>65</xdr:row>
      <xdr:rowOff>179294</xdr:rowOff>
    </xdr:from>
    <xdr:to>
      <xdr:col>3</xdr:col>
      <xdr:colOff>638734</xdr:colOff>
      <xdr:row>69</xdr:row>
      <xdr:rowOff>1495</xdr:rowOff>
    </xdr:to>
    <xdr:sp macro="" textlink="">
      <xdr:nvSpPr>
        <xdr:cNvPr id="40" name="Arrow: Up 39">
          <a:extLst>
            <a:ext uri="{FF2B5EF4-FFF2-40B4-BE49-F238E27FC236}">
              <a16:creationId xmlns="" xmlns:a16="http://schemas.microsoft.com/office/drawing/2014/main" id="{12A296D1-77AF-480C-A839-2F37869B3895}"/>
            </a:ext>
          </a:extLst>
        </xdr:cNvPr>
        <xdr:cNvSpPr/>
      </xdr:nvSpPr>
      <xdr:spPr>
        <a:xfrm rot="10800000" flipV="1">
          <a:off x="1996140" y="10399059"/>
          <a:ext cx="256241" cy="561789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273422</xdr:colOff>
      <xdr:row>66</xdr:row>
      <xdr:rowOff>0</xdr:rowOff>
    </xdr:from>
    <xdr:to>
      <xdr:col>4</xdr:col>
      <xdr:colOff>537882</xdr:colOff>
      <xdr:row>69</xdr:row>
      <xdr:rowOff>19424</xdr:rowOff>
    </xdr:to>
    <xdr:sp macro="" textlink="">
      <xdr:nvSpPr>
        <xdr:cNvPr id="41" name="Arrow: Up 40">
          <a:extLst>
            <a:ext uri="{FF2B5EF4-FFF2-40B4-BE49-F238E27FC236}">
              <a16:creationId xmlns="" xmlns:a16="http://schemas.microsoft.com/office/drawing/2014/main" id="{05B89336-A58A-4966-AA10-BA3BEE7CE33F}"/>
            </a:ext>
          </a:extLst>
        </xdr:cNvPr>
        <xdr:cNvSpPr/>
      </xdr:nvSpPr>
      <xdr:spPr>
        <a:xfrm rot="10800000" flipV="1">
          <a:off x="2615451" y="10410265"/>
          <a:ext cx="264460" cy="568512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605571</xdr:colOff>
      <xdr:row>65</xdr:row>
      <xdr:rowOff>189038</xdr:rowOff>
    </xdr:from>
    <xdr:to>
      <xdr:col>8</xdr:col>
      <xdr:colOff>147624</xdr:colOff>
      <xdr:row>69</xdr:row>
      <xdr:rowOff>34398</xdr:rowOff>
    </xdr:to>
    <xdr:sp macro="" textlink="">
      <xdr:nvSpPr>
        <xdr:cNvPr id="29" name="Arrow: Up 34">
          <a:extLst>
            <a:ext uri="{FF2B5EF4-FFF2-40B4-BE49-F238E27FC236}">
              <a16:creationId xmlns="" xmlns:a16="http://schemas.microsoft.com/office/drawing/2014/main" id="{15866B02-04DB-4027-946B-23EDCEADF098}"/>
            </a:ext>
          </a:extLst>
        </xdr:cNvPr>
        <xdr:cNvSpPr/>
      </xdr:nvSpPr>
      <xdr:spPr>
        <a:xfrm rot="10800000" flipV="1">
          <a:off x="5177571" y="10542299"/>
          <a:ext cx="279205" cy="590795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84535</xdr:colOff>
      <xdr:row>67</xdr:row>
      <xdr:rowOff>82153</xdr:rowOff>
    </xdr:from>
    <xdr:to>
      <xdr:col>9</xdr:col>
      <xdr:colOff>714703</xdr:colOff>
      <xdr:row>70</xdr:row>
      <xdr:rowOff>109539</xdr:rowOff>
    </xdr:to>
    <xdr:grpSp>
      <xdr:nvGrpSpPr>
        <xdr:cNvPr id="28" name="Group 27"/>
        <xdr:cNvGrpSpPr/>
      </xdr:nvGrpSpPr>
      <xdr:grpSpPr>
        <a:xfrm>
          <a:off x="6068476" y="10682918"/>
          <a:ext cx="630168" cy="565268"/>
          <a:chOff x="4602956" y="9523809"/>
          <a:chExt cx="630168" cy="563167"/>
        </a:xfrm>
      </xdr:grpSpPr>
      <xdr:grpSp>
        <xdr:nvGrpSpPr>
          <xdr:cNvPr id="27" name="Group 26"/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/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/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/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/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/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10</xdr:col>
      <xdr:colOff>489233</xdr:colOff>
      <xdr:row>131</xdr:row>
      <xdr:rowOff>44824</xdr:rowOff>
    </xdr:from>
    <xdr:to>
      <xdr:col>18</xdr:col>
      <xdr:colOff>598913</xdr:colOff>
      <xdr:row>148</xdr:row>
      <xdr:rowOff>140122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92057" y="22232471"/>
          <a:ext cx="5578150" cy="314329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=""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=""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=""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=""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=""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=""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=""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=""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=""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=""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=""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=""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=""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=""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=""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=""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=""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=""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=""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id="1" name="Table1" displayName="Table1" ref="B76:G81" totalsRowShown="0" headerRowDxfId="9" dataDxfId="8">
  <autoFilter ref="B76:G81"/>
  <tableColumns count="6">
    <tableColumn id="1" name="Fin type" dataDxfId="7"/>
    <tableColumn id="2" name="Sweeped" dataDxfId="6">
      <calculatedColumnFormula>I64</calculatedColumnFormula>
    </tableColumn>
    <tableColumn id="3" name="Tapered 1/4" dataDxfId="5">
      <calculatedColumnFormula>K64</calculatedColumnFormula>
    </tableColumn>
    <tableColumn id="4" name="Tapered sweeped" dataDxfId="4"/>
    <tableColumn id="5" name="Column4" dataDxfId="3"/>
    <tableColumn id="6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courses.hardhatengineer.com/courses" TargetMode="External"/><Relationship Id="rId5" Type="http://schemas.openxmlformats.org/officeDocument/2006/relationships/comments" Target="../comments4.xml"/><Relationship Id="rId4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2" customWidth="1"/>
    <col min="2" max="9" width="7.25" style="112" customWidth="1"/>
    <col min="10" max="16384" width="8.87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.5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.5" thickBot="1"/>
    <row r="105" spans="1:12" ht="13.5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.5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.5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76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76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.5" thickBot="1">
      <c r="A110" s="376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2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.5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.5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.5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.5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76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76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.5" thickBot="1">
      <c r="A162" s="376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.5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.5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.5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.5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.5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.5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76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76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.5" thickBot="1">
      <c r="A214" s="376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>
      <c r="A216" s="134" t="s">
        <v>90</v>
      </c>
    </row>
    <row r="217" spans="1:12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.5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.5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.5" thickBot="1"/>
    <row r="243" spans="1:7" ht="15" customHeight="1" thickBot="1">
      <c r="C243" s="377" t="s">
        <v>113</v>
      </c>
      <c r="D243" s="378"/>
      <c r="E243" s="378"/>
      <c r="F243" s="378"/>
      <c r="G243" s="379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.5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77" t="s">
        <v>123</v>
      </c>
      <c r="D247" s="378"/>
      <c r="E247" s="378"/>
      <c r="F247" s="378"/>
      <c r="G247" s="379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.5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.5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80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81"/>
    </row>
    <row r="259" spans="1:12" ht="13.5" thickBot="1"/>
    <row r="260" spans="1:12" ht="13.5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.5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.5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25">
      <c r="A263" s="376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25">
      <c r="A264" s="376"/>
      <c r="B264" s="158" t="s">
        <v>136</v>
      </c>
      <c r="L264" s="149"/>
    </row>
    <row r="265" spans="1:12" ht="13.5" thickBot="1">
      <c r="A265" s="376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>
      <c r="A267" s="134" t="s">
        <v>137</v>
      </c>
    </row>
    <row r="268" spans="1:12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21"/>
  <sheetViews>
    <sheetView workbookViewId="0">
      <selection activeCell="D21" sqref="D21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4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4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4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4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4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4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4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4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4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4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4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  <row r="21" spans="1:14" ht="15">
      <c r="C21" s="306"/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382" t="s">
        <v>182</v>
      </c>
      <c r="C2" s="383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86" t="s">
        <v>185</v>
      </c>
      <c r="D12" s="387"/>
      <c r="E12" s="387"/>
      <c r="F12" s="387"/>
      <c r="G12" s="388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86" t="s">
        <v>189</v>
      </c>
      <c r="P12" s="387"/>
      <c r="Q12" s="387"/>
      <c r="R12" s="387"/>
      <c r="S12" s="388"/>
      <c r="T12" s="1" t="s">
        <v>186</v>
      </c>
      <c r="U12" s="1" t="s">
        <v>187</v>
      </c>
      <c r="V12" s="1" t="s">
        <v>188</v>
      </c>
    </row>
    <row r="13" spans="2:22">
      <c r="B13" s="384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384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385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385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85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385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85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385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85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385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85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385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85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385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85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385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85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385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85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389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393" t="s">
        <v>191</v>
      </c>
      <c r="C23" s="65"/>
      <c r="D23" s="64" t="s">
        <v>186</v>
      </c>
      <c r="E23" s="64"/>
      <c r="F23" s="64"/>
      <c r="G23" s="64"/>
      <c r="K23" s="391"/>
      <c r="N23" s="392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393"/>
      <c r="C24" s="66" t="s">
        <v>193</v>
      </c>
      <c r="D24" s="1">
        <f>(F25/2)/(F26)</f>
        <v>0.13333333333333333</v>
      </c>
      <c r="K24" s="391"/>
      <c r="N24" s="393"/>
      <c r="O24" s="66" t="s">
        <v>193</v>
      </c>
      <c r="P24" s="1" t="s">
        <v>194</v>
      </c>
    </row>
    <row r="25" spans="2:22">
      <c r="B25" s="393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91"/>
      <c r="N25" s="393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393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91"/>
      <c r="N26" s="393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45" customHeight="1">
      <c r="B27" s="2" t="s">
        <v>199</v>
      </c>
      <c r="C27" s="394" t="s">
        <v>200</v>
      </c>
      <c r="D27" s="394"/>
      <c r="E27" s="394"/>
      <c r="F27" s="394"/>
      <c r="G27" s="394"/>
      <c r="L27" s="63"/>
      <c r="M27" s="63"/>
      <c r="N27" s="2" t="s">
        <v>199</v>
      </c>
      <c r="O27" s="394" t="s">
        <v>200</v>
      </c>
      <c r="P27" s="394"/>
      <c r="Q27" s="394"/>
      <c r="R27" s="394"/>
      <c r="S27" s="394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84" t="s">
        <v>203</v>
      </c>
      <c r="C31" s="382"/>
      <c r="D31" s="395"/>
      <c r="E31" s="395"/>
      <c r="F31" s="395"/>
      <c r="G31" s="383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85"/>
      <c r="C32" s="396"/>
      <c r="D32" s="390"/>
      <c r="E32" s="390"/>
      <c r="F32" s="390"/>
      <c r="G32" s="397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85"/>
      <c r="C33" s="396"/>
      <c r="D33" s="390"/>
      <c r="E33" s="390"/>
      <c r="F33" s="390"/>
      <c r="G33" s="397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85"/>
      <c r="C34" s="396"/>
      <c r="D34" s="390"/>
      <c r="E34" s="390"/>
      <c r="F34" s="390"/>
      <c r="G34" s="397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85"/>
      <c r="C35" s="396"/>
      <c r="D35" s="390"/>
      <c r="E35" s="390"/>
      <c r="F35" s="390"/>
      <c r="G35" s="397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85"/>
      <c r="C36" s="396"/>
      <c r="D36" s="390"/>
      <c r="E36" s="390"/>
      <c r="F36" s="390"/>
      <c r="G36" s="397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85"/>
      <c r="C37" s="396"/>
      <c r="D37" s="390"/>
      <c r="E37" s="390"/>
      <c r="F37" s="390"/>
      <c r="G37" s="397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85"/>
      <c r="C38" s="396"/>
      <c r="D38" s="390"/>
      <c r="E38" s="390"/>
      <c r="F38" s="390"/>
      <c r="G38" s="397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385"/>
      <c r="C39" s="396"/>
      <c r="D39" s="390"/>
      <c r="E39" s="390"/>
      <c r="F39" s="390"/>
      <c r="G39" s="397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89"/>
      <c r="C40" s="398"/>
      <c r="D40" s="399"/>
      <c r="E40" s="399"/>
      <c r="F40" s="399"/>
      <c r="G40" s="400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394" t="s">
        <v>191</v>
      </c>
      <c r="C41" s="1" t="s">
        <v>204</v>
      </c>
      <c r="H41" s="12"/>
    </row>
    <row r="42" spans="2:24">
      <c r="B42" s="390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90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90" t="s">
        <v>206</v>
      </c>
      <c r="D44" s="390"/>
      <c r="E44" s="390"/>
      <c r="F44" s="390"/>
      <c r="G44" s="390"/>
    </row>
    <row r="45" spans="2:24">
      <c r="B45" s="390" t="s">
        <v>201</v>
      </c>
    </row>
    <row r="46" spans="2:24">
      <c r="B46" s="390"/>
    </row>
    <row r="47" spans="2:24" ht="15" thickBot="1">
      <c r="B47" s="390"/>
    </row>
    <row r="48" spans="2:24" ht="15" customHeight="1" thickBot="1">
      <c r="K48" s="401" t="s">
        <v>207</v>
      </c>
      <c r="L48" s="403"/>
      <c r="W48" s="391" t="s">
        <v>207</v>
      </c>
      <c r="X48" s="391"/>
    </row>
    <row r="49" spans="2:24" ht="15" thickBot="1">
      <c r="B49" s="8" t="s">
        <v>184</v>
      </c>
      <c r="C49" s="401" t="s">
        <v>208</v>
      </c>
      <c r="D49" s="402"/>
      <c r="E49" s="402"/>
      <c r="F49" s="402"/>
      <c r="G49" s="403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401" t="s">
        <v>212</v>
      </c>
      <c r="P49" s="402"/>
      <c r="Q49" s="402"/>
      <c r="R49" s="402"/>
      <c r="S49" s="403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84" t="s">
        <v>214</v>
      </c>
      <c r="C50" s="382"/>
      <c r="D50" s="395"/>
      <c r="E50" s="395"/>
      <c r="F50" s="395"/>
      <c r="G50" s="383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384" t="s">
        <v>214</v>
      </c>
      <c r="O50" s="382"/>
      <c r="P50" s="395"/>
      <c r="Q50" s="395"/>
      <c r="R50" s="395"/>
      <c r="S50" s="383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85"/>
      <c r="C51" s="396"/>
      <c r="D51" s="390"/>
      <c r="E51" s="390"/>
      <c r="F51" s="390"/>
      <c r="G51" s="397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385"/>
      <c r="O51" s="396"/>
      <c r="P51" s="390"/>
      <c r="Q51" s="390"/>
      <c r="R51" s="390"/>
      <c r="S51" s="397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85"/>
      <c r="C52" s="396"/>
      <c r="D52" s="390"/>
      <c r="E52" s="390"/>
      <c r="F52" s="390"/>
      <c r="G52" s="397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385"/>
      <c r="O52" s="396"/>
      <c r="P52" s="390"/>
      <c r="Q52" s="390"/>
      <c r="R52" s="390"/>
      <c r="S52" s="397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85"/>
      <c r="C53" s="396"/>
      <c r="D53" s="390"/>
      <c r="E53" s="390"/>
      <c r="F53" s="390"/>
      <c r="G53" s="397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385"/>
      <c r="O53" s="396"/>
      <c r="P53" s="390"/>
      <c r="Q53" s="390"/>
      <c r="R53" s="390"/>
      <c r="S53" s="397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85"/>
      <c r="C54" s="396"/>
      <c r="D54" s="390"/>
      <c r="E54" s="390"/>
      <c r="F54" s="390"/>
      <c r="G54" s="397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385"/>
      <c r="O54" s="396"/>
      <c r="P54" s="390"/>
      <c r="Q54" s="390"/>
      <c r="R54" s="390"/>
      <c r="S54" s="397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85"/>
      <c r="C55" s="396"/>
      <c r="D55" s="390"/>
      <c r="E55" s="390"/>
      <c r="F55" s="390"/>
      <c r="G55" s="397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385"/>
      <c r="O55" s="396"/>
      <c r="P55" s="390"/>
      <c r="Q55" s="390"/>
      <c r="R55" s="390"/>
      <c r="S55" s="397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85"/>
      <c r="C56" s="396"/>
      <c r="D56" s="390"/>
      <c r="E56" s="390"/>
      <c r="F56" s="390"/>
      <c r="G56" s="397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385"/>
      <c r="O56" s="396"/>
      <c r="P56" s="390"/>
      <c r="Q56" s="390"/>
      <c r="R56" s="390"/>
      <c r="S56" s="397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85"/>
      <c r="C57" s="396"/>
      <c r="D57" s="390"/>
      <c r="E57" s="390"/>
      <c r="F57" s="390"/>
      <c r="G57" s="397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385"/>
      <c r="O57" s="396"/>
      <c r="P57" s="390"/>
      <c r="Q57" s="390"/>
      <c r="R57" s="390"/>
      <c r="S57" s="397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85"/>
      <c r="C58" s="396"/>
      <c r="D58" s="390"/>
      <c r="E58" s="390"/>
      <c r="F58" s="390"/>
      <c r="G58" s="397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385"/>
      <c r="O58" s="396"/>
      <c r="P58" s="390"/>
      <c r="Q58" s="390"/>
      <c r="R58" s="390"/>
      <c r="S58" s="397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89"/>
      <c r="C59" s="404"/>
      <c r="D59" s="405"/>
      <c r="E59" s="405"/>
      <c r="F59" s="405"/>
      <c r="G59" s="406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389"/>
      <c r="O59" s="398"/>
      <c r="P59" s="399"/>
      <c r="Q59" s="399"/>
      <c r="R59" s="399"/>
      <c r="S59" s="400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07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412" t="s">
        <v>218</v>
      </c>
      <c r="I60" s="413"/>
      <c r="J60" s="414"/>
      <c r="K60" s="81" t="s">
        <v>219</v>
      </c>
      <c r="L60" s="57">
        <f>K67^2/K68</f>
        <v>1.1707317073170729</v>
      </c>
      <c r="N60" s="394" t="s">
        <v>191</v>
      </c>
      <c r="O60" s="1" t="s">
        <v>220</v>
      </c>
    </row>
    <row r="61" spans="2:24" ht="16.149999999999999" customHeight="1" thickBot="1">
      <c r="B61" s="408"/>
      <c r="C61" s="80" t="s">
        <v>221</v>
      </c>
      <c r="D61" s="82">
        <f>-I50+D60*H50</f>
        <v>23.499999999999979</v>
      </c>
      <c r="E61" s="77"/>
      <c r="F61" s="61"/>
      <c r="G61" s="62"/>
      <c r="H61" s="415"/>
      <c r="I61" s="416"/>
      <c r="J61" s="417"/>
      <c r="K61" s="80"/>
      <c r="L61" s="62"/>
      <c r="N61" s="394"/>
    </row>
    <row r="62" spans="2:24" ht="27.6" customHeight="1">
      <c r="B62" s="408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94"/>
    </row>
    <row r="63" spans="2:24" ht="27.6" customHeight="1">
      <c r="B63" s="408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94"/>
    </row>
    <row r="64" spans="2:24">
      <c r="B64" s="409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94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10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90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10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90"/>
    </row>
    <row r="67" spans="2:19">
      <c r="B67" s="410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90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411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90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394" t="s">
        <v>237</v>
      </c>
      <c r="D69" s="394"/>
      <c r="E69" s="394"/>
      <c r="F69" s="394"/>
      <c r="G69" s="394"/>
      <c r="N69" s="2" t="s">
        <v>199</v>
      </c>
      <c r="O69" s="390" t="s">
        <v>238</v>
      </c>
      <c r="P69" s="390"/>
      <c r="Q69" s="390"/>
      <c r="R69" s="390"/>
      <c r="S69" s="390"/>
    </row>
    <row r="70" spans="2:19">
      <c r="B70" s="390" t="s">
        <v>201</v>
      </c>
      <c r="C70" s="65"/>
      <c r="D70" s="64"/>
      <c r="E70" s="64"/>
      <c r="F70" s="64"/>
      <c r="G70" s="93"/>
      <c r="N70" s="390" t="s">
        <v>201</v>
      </c>
    </row>
    <row r="71" spans="2:19">
      <c r="B71" s="390"/>
      <c r="C71" s="66"/>
      <c r="G71" s="94"/>
      <c r="N71" s="390"/>
    </row>
    <row r="72" spans="2:19">
      <c r="B72" s="390"/>
      <c r="C72" s="67"/>
      <c r="D72" s="68"/>
      <c r="E72" s="68"/>
      <c r="F72" s="68"/>
      <c r="G72" s="95"/>
      <c r="N72" s="390"/>
    </row>
    <row r="73" spans="2:19" ht="15" thickBot="1"/>
    <row r="74" spans="2:19" ht="15" thickBot="1">
      <c r="B74" s="84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84" t="s">
        <v>246</v>
      </c>
      <c r="C88" s="382"/>
      <c r="D88" s="395"/>
      <c r="E88" s="395"/>
      <c r="F88" s="395"/>
      <c r="G88" s="383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85"/>
      <c r="C89" s="396"/>
      <c r="D89" s="390"/>
      <c r="E89" s="390"/>
      <c r="F89" s="390"/>
      <c r="G89" s="397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85"/>
      <c r="C90" s="396"/>
      <c r="D90" s="390"/>
      <c r="E90" s="390"/>
      <c r="F90" s="390"/>
      <c r="G90" s="397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85"/>
      <c r="C91" s="396"/>
      <c r="D91" s="390"/>
      <c r="E91" s="390"/>
      <c r="F91" s="390"/>
      <c r="G91" s="397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85"/>
      <c r="C92" s="396"/>
      <c r="D92" s="390"/>
      <c r="E92" s="390"/>
      <c r="F92" s="390"/>
      <c r="G92" s="397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85"/>
      <c r="C93" s="396"/>
      <c r="D93" s="390"/>
      <c r="E93" s="390"/>
      <c r="F93" s="390"/>
      <c r="G93" s="397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85"/>
      <c r="C94" s="396"/>
      <c r="D94" s="390"/>
      <c r="E94" s="390"/>
      <c r="F94" s="390"/>
      <c r="G94" s="397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85"/>
      <c r="C95" s="396"/>
      <c r="D95" s="390"/>
      <c r="E95" s="390"/>
      <c r="F95" s="390"/>
      <c r="G95" s="397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85"/>
      <c r="C96" s="396"/>
      <c r="D96" s="390"/>
      <c r="E96" s="390"/>
      <c r="F96" s="390"/>
      <c r="G96" s="397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89"/>
      <c r="C97" s="398"/>
      <c r="D97" s="399"/>
      <c r="E97" s="399"/>
      <c r="F97" s="399"/>
      <c r="G97" s="400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394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390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90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390" t="s">
        <v>249</v>
      </c>
      <c r="D101" s="390"/>
      <c r="E101" s="390"/>
      <c r="F101" s="390"/>
      <c r="G101" s="390"/>
    </row>
    <row r="102" spans="2:10">
      <c r="B102" s="390" t="s">
        <v>201</v>
      </c>
    </row>
    <row r="103" spans="2:10">
      <c r="B103" s="390"/>
    </row>
    <row r="104" spans="2:10">
      <c r="B104" s="390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8"/>
  <sheetViews>
    <sheetView zoomScale="70" zoomScaleNormal="70" workbookViewId="0">
      <selection activeCell="H60" sqref="H60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21" t="s">
        <v>252</v>
      </c>
      <c r="U15" s="422"/>
      <c r="V15" s="423"/>
    </row>
    <row r="16" spans="2:22" ht="15.7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24" t="s">
        <v>252</v>
      </c>
      <c r="U23" s="425"/>
      <c r="V23" s="426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.7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27" t="s">
        <v>712</v>
      </c>
      <c r="L33" s="428"/>
      <c r="M33" s="428"/>
      <c r="N33" s="428"/>
      <c r="O33" s="428"/>
      <c r="P33" s="428"/>
      <c r="Q33" s="428"/>
      <c r="R33" s="428"/>
      <c r="S33" s="429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27" t="s">
        <v>713</v>
      </c>
      <c r="L44" s="428"/>
      <c r="M44" s="428"/>
      <c r="N44" s="428"/>
      <c r="O44" s="428"/>
      <c r="P44" s="428"/>
      <c r="Q44" s="428"/>
      <c r="R44" s="428"/>
      <c r="S44" s="429"/>
    </row>
    <row r="45" spans="2:19" ht="15" thickBot="1">
      <c r="B45" s="418" t="s">
        <v>311</v>
      </c>
      <c r="C45" s="419"/>
      <c r="D45" s="419"/>
      <c r="E45" s="419"/>
      <c r="F45" s="420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2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2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O233"/>
  <sheetViews>
    <sheetView tabSelected="1" view="pageBreakPreview" topLeftCell="A121" zoomScale="85" zoomScaleNormal="100" zoomScaleSheetLayoutView="85" workbookViewId="0">
      <selection activeCell="Q124" sqref="Q124"/>
    </sheetView>
  </sheetViews>
  <sheetFormatPr defaultRowHeight="14.25" outlineLevelRow="1"/>
  <cols>
    <col min="1" max="1" width="2" customWidth="1"/>
    <col min="2" max="9" width="9.625" customWidth="1"/>
    <col min="10" max="10" width="12.125" customWidth="1"/>
    <col min="11" max="11" width="10.875" customWidth="1"/>
    <col min="12" max="13" width="8.375" customWidth="1"/>
    <col min="14" max="14" width="10.625" customWidth="1"/>
    <col min="15" max="20" width="8.375" customWidth="1"/>
    <col min="21" max="21" width="8.75" customWidth="1"/>
  </cols>
  <sheetData>
    <row r="2" spans="2:13" ht="20.45" customHeight="1">
      <c r="E2" s="354" t="s">
        <v>714</v>
      </c>
      <c r="F2" s="351"/>
    </row>
    <row r="3" spans="2:13">
      <c r="E3" s="430" t="s">
        <v>728</v>
      </c>
      <c r="F3" s="430"/>
      <c r="G3" s="430"/>
      <c r="H3" s="430"/>
    </row>
    <row r="4" spans="2:13">
      <c r="E4" s="430"/>
      <c r="F4" s="430"/>
      <c r="G4" s="430"/>
      <c r="H4" s="430"/>
    </row>
    <row r="6" spans="2:13">
      <c r="B6" t="s">
        <v>705</v>
      </c>
      <c r="G6" t="s">
        <v>684</v>
      </c>
      <c r="H6" s="352">
        <v>45910</v>
      </c>
    </row>
    <row r="7" spans="2:13" hidden="1" outlineLevel="1">
      <c r="B7" t="s">
        <v>685</v>
      </c>
    </row>
    <row r="8" spans="2:13" hidden="1" outlineLevel="1">
      <c r="B8" s="352">
        <v>45902</v>
      </c>
      <c r="C8" t="s">
        <v>686</v>
      </c>
    </row>
    <row r="9" spans="2:13" hidden="1" outlineLevel="1"/>
    <row r="10" spans="2:13" hidden="1" outlineLevel="1">
      <c r="B10" t="s">
        <v>409</v>
      </c>
    </row>
    <row r="11" spans="2:13" hidden="1" outlineLevel="1">
      <c r="B11" t="s">
        <v>769</v>
      </c>
    </row>
    <row r="12" spans="2:13" hidden="1" outlineLevel="1">
      <c r="B12" t="s">
        <v>702</v>
      </c>
    </row>
    <row r="13" spans="2:13" hidden="1" outlineLevel="1">
      <c r="B13" s="366" t="s">
        <v>701</v>
      </c>
    </row>
    <row r="14" spans="2:13" hidden="1" outlineLevel="1"/>
    <row r="15" spans="2:13" hidden="1" outlineLevel="1">
      <c r="B15" t="s">
        <v>703</v>
      </c>
    </row>
    <row r="16" spans="2:13" collapsed="1">
      <c r="M16" t="s">
        <v>757</v>
      </c>
    </row>
    <row r="17" spans="2:10" ht="15">
      <c r="B17" s="358" t="s">
        <v>747</v>
      </c>
      <c r="C17" s="186"/>
      <c r="D17" s="186"/>
      <c r="H17" t="s">
        <v>734</v>
      </c>
      <c r="J17" t="s">
        <v>735</v>
      </c>
    </row>
    <row r="18" spans="2:10" ht="15">
      <c r="B18" t="s">
        <v>716</v>
      </c>
      <c r="D18" s="14">
        <v>1790</v>
      </c>
      <c r="E18" t="s">
        <v>314</v>
      </c>
      <c r="F18" s="359">
        <v>0.6</v>
      </c>
      <c r="G18" t="s">
        <v>729</v>
      </c>
      <c r="H18">
        <v>4400</v>
      </c>
      <c r="I18" t="s">
        <v>730</v>
      </c>
      <c r="J18" s="362">
        <v>1.7999999999999999E-2</v>
      </c>
    </row>
    <row r="19" spans="2:10">
      <c r="B19" t="s">
        <v>717</v>
      </c>
      <c r="D19" s="14">
        <v>1090</v>
      </c>
      <c r="E19" t="s">
        <v>314</v>
      </c>
      <c r="F19" s="359">
        <f>1-F18</f>
        <v>0.4</v>
      </c>
      <c r="G19" t="s">
        <v>764</v>
      </c>
      <c r="I19" t="s">
        <v>765</v>
      </c>
    </row>
    <row r="20" spans="2:10" ht="15">
      <c r="B20" t="s">
        <v>748</v>
      </c>
      <c r="D20" s="190">
        <f>(H18/J18)/1000</f>
        <v>244.44444444444446</v>
      </c>
      <c r="E20" t="s">
        <v>758</v>
      </c>
      <c r="F20" s="357"/>
      <c r="G20" t="s">
        <v>732</v>
      </c>
      <c r="H20">
        <v>1.34</v>
      </c>
      <c r="I20" t="s">
        <v>733</v>
      </c>
      <c r="J20" s="363">
        <v>1.9E-2</v>
      </c>
    </row>
    <row r="21" spans="2:10" ht="15">
      <c r="B21" t="s">
        <v>749</v>
      </c>
      <c r="D21" s="190">
        <f>(H21/J21)/1000</f>
        <v>0.155</v>
      </c>
      <c r="E21" t="s">
        <v>758</v>
      </c>
      <c r="G21" t="s">
        <v>731</v>
      </c>
      <c r="H21">
        <v>4.34</v>
      </c>
      <c r="I21" t="s">
        <v>745</v>
      </c>
      <c r="J21" s="363">
        <f>2.8/100</f>
        <v>2.7999999999999997E-2</v>
      </c>
    </row>
    <row r="22" spans="2:10" ht="15">
      <c r="D22" s="190"/>
      <c r="G22" t="s">
        <v>739</v>
      </c>
      <c r="H22">
        <v>12.39</v>
      </c>
      <c r="I22" t="s">
        <v>746</v>
      </c>
      <c r="J22" s="363">
        <f>0.4/100</f>
        <v>4.0000000000000001E-3</v>
      </c>
    </row>
    <row r="24" spans="2:10">
      <c r="B24" s="186" t="s">
        <v>727</v>
      </c>
      <c r="C24" s="186"/>
      <c r="D24" s="186"/>
      <c r="G24" s="186" t="s">
        <v>736</v>
      </c>
      <c r="H24" s="186"/>
    </row>
    <row r="25" spans="2:10">
      <c r="B25" t="s">
        <v>718</v>
      </c>
      <c r="D25">
        <f>D18*(F18)+D19*(F19)</f>
        <v>1510</v>
      </c>
      <c r="E25" t="s">
        <v>314</v>
      </c>
      <c r="G25" t="s">
        <v>740</v>
      </c>
      <c r="H25" s="281">
        <f>H26/(H27+H26)</f>
        <v>0.8771929824561403</v>
      </c>
    </row>
    <row r="26" spans="2:10">
      <c r="B26" t="s">
        <v>766</v>
      </c>
      <c r="D26">
        <f>D20*F18+D21*F19</f>
        <v>146.72866666666667</v>
      </c>
      <c r="E26" t="s">
        <v>758</v>
      </c>
      <c r="G26" t="s">
        <v>737</v>
      </c>
      <c r="H26" s="281">
        <v>100</v>
      </c>
      <c r="I26" t="s">
        <v>741</v>
      </c>
    </row>
    <row r="27" spans="2:10">
      <c r="B27" t="s">
        <v>750</v>
      </c>
      <c r="D27">
        <f>IF(J20=J18,C32,IF(J20&lt;J18,B32,D32))</f>
        <v>2641.116</v>
      </c>
      <c r="E27" t="s">
        <v>734</v>
      </c>
      <c r="G27" t="s">
        <v>738</v>
      </c>
      <c r="H27" s="281">
        <v>14</v>
      </c>
      <c r="I27" t="s">
        <v>741</v>
      </c>
    </row>
    <row r="28" spans="2:10">
      <c r="B28" t="s">
        <v>751</v>
      </c>
      <c r="D28">
        <f>H18*F18+H21*F19</f>
        <v>2641.7359999999999</v>
      </c>
      <c r="E28" t="s">
        <v>734</v>
      </c>
      <c r="G28" s="263" t="s">
        <v>742</v>
      </c>
      <c r="H28" s="360">
        <v>1000</v>
      </c>
      <c r="I28" s="263" t="s">
        <v>741</v>
      </c>
      <c r="J28" s="263"/>
    </row>
    <row r="29" spans="2:10" ht="15">
      <c r="B29" t="s">
        <v>752</v>
      </c>
      <c r="D29">
        <f>H22</f>
        <v>12.39</v>
      </c>
      <c r="E29" t="s">
        <v>734</v>
      </c>
      <c r="H29" s="361">
        <f>H28*H25</f>
        <v>877.19298245614027</v>
      </c>
      <c r="I29" t="s">
        <v>743</v>
      </c>
    </row>
    <row r="30" spans="2:10" ht="15">
      <c r="H30" s="361">
        <f>H28-H29</f>
        <v>122.80701754385973</v>
      </c>
      <c r="I30" t="s">
        <v>744</v>
      </c>
    </row>
    <row r="31" spans="2:10">
      <c r="B31" t="s">
        <v>763</v>
      </c>
    </row>
    <row r="32" spans="2:10">
      <c r="B32">
        <f>(F18*(D20/D21)+(1-F18))*H20</f>
        <v>1268.4929892473119</v>
      </c>
      <c r="C32">
        <f>F18*H18+F19*H20</f>
        <v>2640.5360000000001</v>
      </c>
      <c r="D32">
        <f>(F18+F19*(D21/D20))*H18</f>
        <v>2641.116</v>
      </c>
    </row>
    <row r="33" spans="2:4">
      <c r="B33" s="363">
        <f>J20</f>
        <v>1.9E-2</v>
      </c>
      <c r="C33" s="365">
        <f>F18*J18+F19*J20</f>
        <v>1.84E-2</v>
      </c>
      <c r="D33" s="363">
        <f>J18</f>
        <v>1.7999999999999999E-2</v>
      </c>
    </row>
    <row r="34" spans="2:4">
      <c r="B34" t="s">
        <v>759</v>
      </c>
      <c r="C34" t="s">
        <v>760</v>
      </c>
      <c r="D34" t="s">
        <v>761</v>
      </c>
    </row>
    <row r="35" spans="2:4">
      <c r="B35" t="s">
        <v>254</v>
      </c>
      <c r="C35" t="s">
        <v>255</v>
      </c>
    </row>
    <row r="36" spans="2:4">
      <c r="B36" s="364">
        <v>0</v>
      </c>
      <c r="C36">
        <v>0</v>
      </c>
      <c r="D36" t="s">
        <v>753</v>
      </c>
    </row>
    <row r="37" spans="2:4">
      <c r="B37" s="364">
        <f>J18</f>
        <v>1.7999999999999999E-2</v>
      </c>
      <c r="C37">
        <f>H18</f>
        <v>4400</v>
      </c>
    </row>
    <row r="38" spans="2:4">
      <c r="B38" s="364">
        <v>0</v>
      </c>
      <c r="C38">
        <v>0</v>
      </c>
      <c r="D38" t="s">
        <v>754</v>
      </c>
    </row>
    <row r="39" spans="2:4">
      <c r="B39" s="364">
        <f>J20</f>
        <v>1.9E-2</v>
      </c>
      <c r="C39">
        <f>H20</f>
        <v>1.34</v>
      </c>
      <c r="D39" t="s">
        <v>755</v>
      </c>
    </row>
    <row r="40" spans="2:4">
      <c r="B40" s="364">
        <f>J21</f>
        <v>2.7999999999999997E-2</v>
      </c>
      <c r="C40">
        <f>H21</f>
        <v>4.34</v>
      </c>
      <c r="D40" t="s">
        <v>756</v>
      </c>
    </row>
    <row r="41" spans="2:4">
      <c r="B41" s="364">
        <v>0</v>
      </c>
      <c r="C41">
        <v>0</v>
      </c>
      <c r="D41" t="s">
        <v>762</v>
      </c>
    </row>
    <row r="42" spans="2:4">
      <c r="B42" s="364">
        <f>IF(J20=J18,C33,IF(J20&lt;J18,B33,D33))</f>
        <v>1.7999999999999999E-2</v>
      </c>
      <c r="C42">
        <f>D27</f>
        <v>2641.116</v>
      </c>
    </row>
    <row r="48" spans="2:4">
      <c r="B48" s="186" t="s">
        <v>767</v>
      </c>
      <c r="C48" s="186"/>
      <c r="D48" s="186"/>
    </row>
    <row r="62" spans="2:4">
      <c r="B62" s="186" t="s">
        <v>706</v>
      </c>
      <c r="C62" s="186"/>
      <c r="D62" s="186"/>
    </row>
    <row r="63" spans="2:4">
      <c r="B63" t="s">
        <v>815</v>
      </c>
    </row>
    <row r="64" spans="2:4" ht="15">
      <c r="D64" s="368"/>
    </row>
    <row r="65" spans="2:10" ht="15">
      <c r="D65" s="368"/>
    </row>
    <row r="66" spans="2:10" ht="15">
      <c r="D66" s="368"/>
    </row>
    <row r="67" spans="2:10" ht="15">
      <c r="D67" s="368"/>
    </row>
    <row r="75" spans="2:10" ht="15">
      <c r="B75" s="306" t="s">
        <v>796</v>
      </c>
      <c r="G75" s="306" t="s">
        <v>797</v>
      </c>
    </row>
    <row r="76" spans="2:10">
      <c r="B76" t="s">
        <v>787</v>
      </c>
      <c r="D76">
        <v>3.5</v>
      </c>
      <c r="E76" t="s">
        <v>770</v>
      </c>
      <c r="G76" t="s">
        <v>205</v>
      </c>
      <c r="I76">
        <v>1800</v>
      </c>
      <c r="J76" t="s">
        <v>227</v>
      </c>
    </row>
    <row r="77" spans="2:10">
      <c r="D77" s="281">
        <f>D76*25.4</f>
        <v>88.899999999999991</v>
      </c>
      <c r="E77" t="s">
        <v>227</v>
      </c>
      <c r="G77" t="s">
        <v>226</v>
      </c>
      <c r="I77">
        <v>1.8</v>
      </c>
      <c r="J77" t="s">
        <v>227</v>
      </c>
    </row>
    <row r="78" spans="2:10">
      <c r="B78" t="s">
        <v>788</v>
      </c>
      <c r="D78" t="s">
        <v>774</v>
      </c>
      <c r="G78" t="s">
        <v>707</v>
      </c>
      <c r="I78">
        <f>I79+2*2</f>
        <v>77.024999999999991</v>
      </c>
      <c r="J78" t="s">
        <v>227</v>
      </c>
    </row>
    <row r="79" spans="2:10">
      <c r="B79" t="s">
        <v>795</v>
      </c>
      <c r="D79">
        <v>20</v>
      </c>
      <c r="E79" t="s">
        <v>792</v>
      </c>
      <c r="G79" t="s">
        <v>708</v>
      </c>
      <c r="I79">
        <f>25.4*2.875</f>
        <v>73.024999999999991</v>
      </c>
      <c r="J79" t="s">
        <v>227</v>
      </c>
    </row>
    <row r="80" spans="2:10">
      <c r="B80" t="s">
        <v>791</v>
      </c>
      <c r="D80">
        <v>100</v>
      </c>
      <c r="E80" t="s">
        <v>792</v>
      </c>
      <c r="G80" t="s">
        <v>709</v>
      </c>
      <c r="I80">
        <f>(I78+I79)*0.5</f>
        <v>75.024999999999991</v>
      </c>
      <c r="J80" t="s">
        <v>227</v>
      </c>
    </row>
    <row r="81" spans="2:12">
      <c r="D81">
        <f>CONVERT(D80,"C","F")</f>
        <v>212</v>
      </c>
      <c r="E81" t="s">
        <v>793</v>
      </c>
      <c r="G81" t="s">
        <v>323</v>
      </c>
      <c r="I81">
        <f>I76/2</f>
        <v>900</v>
      </c>
      <c r="J81" t="s">
        <v>227</v>
      </c>
      <c r="L81" t="s">
        <v>811</v>
      </c>
    </row>
    <row r="82" spans="2:12">
      <c r="B82" t="s">
        <v>789</v>
      </c>
      <c r="D82">
        <f>VLOOKUP(D78,B227:C233,2,)</f>
        <v>23.2</v>
      </c>
      <c r="E82" t="s">
        <v>794</v>
      </c>
      <c r="G82" t="s">
        <v>768</v>
      </c>
      <c r="I82">
        <f>((PI()*I78^2)/4)-((PI()*I79^2)/4)</f>
        <v>471.39597767114901</v>
      </c>
      <c r="L82" t="s">
        <v>812</v>
      </c>
    </row>
    <row r="83" spans="2:12">
      <c r="B83" t="s">
        <v>790</v>
      </c>
      <c r="D83">
        <f>D77+((D80-D79)*(D82/1000))</f>
        <v>90.755999999999986</v>
      </c>
      <c r="E83" t="s">
        <v>227</v>
      </c>
      <c r="L83" t="s">
        <v>813</v>
      </c>
    </row>
    <row r="84" spans="2:12">
      <c r="G84" t="s">
        <v>837</v>
      </c>
    </row>
    <row r="87" spans="2:12">
      <c r="L87" t="s">
        <v>814</v>
      </c>
    </row>
    <row r="88" spans="2:12" ht="15">
      <c r="B88" s="306" t="s">
        <v>798</v>
      </c>
    </row>
    <row r="89" spans="2:12">
      <c r="B89" s="186" t="s">
        <v>817</v>
      </c>
      <c r="C89" s="186" t="s">
        <v>816</v>
      </c>
      <c r="D89" s="186" t="s">
        <v>800</v>
      </c>
      <c r="E89" s="186" t="s">
        <v>409</v>
      </c>
      <c r="F89" s="186"/>
      <c r="G89" s="186"/>
      <c r="H89" s="186"/>
      <c r="I89" s="186"/>
      <c r="J89" s="186"/>
    </row>
    <row r="90" spans="2:12">
      <c r="B90" t="s">
        <v>799</v>
      </c>
      <c r="D90" t="s">
        <v>801</v>
      </c>
      <c r="E90" t="s">
        <v>802</v>
      </c>
      <c r="L90" t="s">
        <v>828</v>
      </c>
    </row>
    <row r="91" spans="2:12">
      <c r="B91">
        <v>6</v>
      </c>
      <c r="D91">
        <v>0</v>
      </c>
      <c r="E91" t="s">
        <v>803</v>
      </c>
    </row>
    <row r="92" spans="2:12" ht="15">
      <c r="B92">
        <f>2.5*9.81</f>
        <v>24.525000000000002</v>
      </c>
      <c r="D92">
        <v>0</v>
      </c>
      <c r="E92" t="s">
        <v>804</v>
      </c>
      <c r="I92" s="306" t="s">
        <v>829</v>
      </c>
      <c r="J92" s="306">
        <v>4.62</v>
      </c>
    </row>
    <row r="93" spans="2:12" ht="15">
      <c r="E93" t="s">
        <v>805</v>
      </c>
      <c r="I93" s="306" t="s">
        <v>829</v>
      </c>
      <c r="J93" s="306">
        <v>4.62</v>
      </c>
    </row>
    <row r="94" spans="2:12" ht="15">
      <c r="E94" t="s">
        <v>806</v>
      </c>
      <c r="I94" s="306" t="s">
        <v>829</v>
      </c>
      <c r="J94" s="306">
        <v>4.62</v>
      </c>
      <c r="K94" t="s">
        <v>88</v>
      </c>
      <c r="L94" t="s">
        <v>830</v>
      </c>
    </row>
    <row r="95" spans="2:12">
      <c r="D95" t="s">
        <v>88</v>
      </c>
      <c r="E95" t="s">
        <v>807</v>
      </c>
    </row>
    <row r="97" spans="2:10">
      <c r="B97" s="186" t="s">
        <v>818</v>
      </c>
      <c r="C97" s="186" t="s">
        <v>816</v>
      </c>
      <c r="D97" s="186" t="s">
        <v>234</v>
      </c>
      <c r="E97" s="186" t="s">
        <v>409</v>
      </c>
      <c r="F97" s="186"/>
      <c r="G97" s="186"/>
      <c r="H97" s="186"/>
      <c r="I97" s="186"/>
      <c r="J97" s="186"/>
    </row>
    <row r="98" spans="2:10">
      <c r="B98" t="s">
        <v>799</v>
      </c>
      <c r="C98" t="s">
        <v>822</v>
      </c>
      <c r="D98" t="s">
        <v>801</v>
      </c>
      <c r="E98" t="s">
        <v>802</v>
      </c>
    </row>
    <row r="99" spans="2:10">
      <c r="B99" s="281">
        <v>2</v>
      </c>
      <c r="C99" s="371" t="s">
        <v>821</v>
      </c>
      <c r="D99">
        <v>100</v>
      </c>
      <c r="E99" t="s">
        <v>808</v>
      </c>
    </row>
    <row r="100" spans="2:10" ht="15">
      <c r="B100" s="281">
        <f>J100*J101</f>
        <v>34</v>
      </c>
      <c r="C100" s="369" t="s">
        <v>194</v>
      </c>
      <c r="D100">
        <f>I81</f>
        <v>900</v>
      </c>
      <c r="E100" t="s">
        <v>810</v>
      </c>
      <c r="I100" s="306" t="s">
        <v>832</v>
      </c>
      <c r="J100" s="306">
        <v>4.62</v>
      </c>
    </row>
    <row r="101" spans="2:10" ht="15">
      <c r="B101" s="281">
        <v>32</v>
      </c>
      <c r="C101" s="372" t="s">
        <v>821</v>
      </c>
      <c r="D101">
        <v>1700</v>
      </c>
      <c r="E101" t="s">
        <v>809</v>
      </c>
      <c r="I101" s="375" t="s">
        <v>831</v>
      </c>
      <c r="J101" s="281">
        <f>(B101+B99)/J100</f>
        <v>7.3593073593073592</v>
      </c>
    </row>
    <row r="102" spans="2:10" ht="15">
      <c r="C102" s="374" t="s">
        <v>194</v>
      </c>
      <c r="E102" t="s">
        <v>825</v>
      </c>
      <c r="I102" s="306" t="s">
        <v>829</v>
      </c>
      <c r="J102" s="306">
        <v>0.2</v>
      </c>
    </row>
    <row r="103" spans="2:10" ht="15">
      <c r="C103" s="370" t="s">
        <v>194</v>
      </c>
      <c r="E103" t="s">
        <v>826</v>
      </c>
      <c r="I103" s="306" t="s">
        <v>829</v>
      </c>
      <c r="J103" s="306">
        <v>1.1000000000000001</v>
      </c>
    </row>
    <row r="104" spans="2:10" ht="15">
      <c r="C104" s="373" t="s">
        <v>194</v>
      </c>
      <c r="E104" t="s">
        <v>827</v>
      </c>
      <c r="I104" s="306" t="s">
        <v>829</v>
      </c>
      <c r="J104" s="306">
        <v>1.2</v>
      </c>
    </row>
    <row r="106" spans="2:10">
      <c r="B106" t="s">
        <v>835</v>
      </c>
    </row>
    <row r="107" spans="2:10">
      <c r="B107">
        <f>(-B99*(D100-D99))+(B101*(D101-D100))</f>
        <v>24000</v>
      </c>
      <c r="C107" t="s">
        <v>836</v>
      </c>
    </row>
    <row r="113" spans="12:15">
      <c r="L113" t="s">
        <v>823</v>
      </c>
    </row>
    <row r="114" spans="12:15">
      <c r="L114" t="s">
        <v>819</v>
      </c>
      <c r="M114" t="s">
        <v>834</v>
      </c>
    </row>
    <row r="115" spans="12:15">
      <c r="L115">
        <f>D99</f>
        <v>100</v>
      </c>
      <c r="M115">
        <v>0</v>
      </c>
    </row>
    <row r="116" spans="12:15">
      <c r="L116">
        <f>L115</f>
        <v>100</v>
      </c>
      <c r="M116">
        <f>B99</f>
        <v>2</v>
      </c>
      <c r="N116" t="s">
        <v>820</v>
      </c>
    </row>
    <row r="117" spans="12:15">
      <c r="L117">
        <f>D100</f>
        <v>900</v>
      </c>
      <c r="M117">
        <f>M116</f>
        <v>2</v>
      </c>
    </row>
    <row r="118" spans="12:15">
      <c r="L118">
        <f>L117</f>
        <v>900</v>
      </c>
      <c r="M118">
        <f>M117-B100</f>
        <v>-32</v>
      </c>
    </row>
    <row r="119" spans="12:15">
      <c r="L119">
        <f>D101</f>
        <v>1700</v>
      </c>
      <c r="M119">
        <f>M118</f>
        <v>-32</v>
      </c>
    </row>
    <row r="120" spans="12:15">
      <c r="L120">
        <f>L119</f>
        <v>1700</v>
      </c>
      <c r="M120">
        <f>M118+B101</f>
        <v>0</v>
      </c>
    </row>
    <row r="125" spans="12:15">
      <c r="L125" t="s">
        <v>824</v>
      </c>
    </row>
    <row r="126" spans="12:15">
      <c r="L126" t="s">
        <v>819</v>
      </c>
      <c r="M126" t="s">
        <v>833</v>
      </c>
      <c r="N126" t="s">
        <v>838</v>
      </c>
      <c r="O126" t="s">
        <v>724</v>
      </c>
    </row>
    <row r="127" spans="12:15">
      <c r="L127">
        <f>L115</f>
        <v>100</v>
      </c>
      <c r="M127">
        <f>M115</f>
        <v>0</v>
      </c>
    </row>
    <row r="128" spans="12:15">
      <c r="L128">
        <f>L117</f>
        <v>900</v>
      </c>
      <c r="M128">
        <f>N128*O128</f>
        <v>1600</v>
      </c>
      <c r="N128">
        <f>L117-L116</f>
        <v>800</v>
      </c>
      <c r="O128">
        <f>M117</f>
        <v>2</v>
      </c>
    </row>
    <row r="129" spans="12:15">
      <c r="L129">
        <f>L119</f>
        <v>1700</v>
      </c>
      <c r="M129">
        <f>M128+N129*O129</f>
        <v>-24000</v>
      </c>
      <c r="N129">
        <f>L119-L118</f>
        <v>800</v>
      </c>
      <c r="O129">
        <f>M119</f>
        <v>-32</v>
      </c>
    </row>
    <row r="163" spans="2:6">
      <c r="B163" s="186" t="s">
        <v>715</v>
      </c>
      <c r="C163" s="186"/>
      <c r="D163" s="186"/>
      <c r="E163" s="186"/>
      <c r="F163" s="186"/>
    </row>
    <row r="164" spans="2:6">
      <c r="D164" s="14"/>
      <c r="F164" s="356"/>
    </row>
    <row r="165" spans="2:6">
      <c r="D165" s="14"/>
      <c r="F165" s="356"/>
    </row>
    <row r="166" spans="2:6">
      <c r="F166" s="357"/>
    </row>
    <row r="172" spans="2:6">
      <c r="B172" t="s">
        <v>719</v>
      </c>
      <c r="E172" t="s">
        <v>197</v>
      </c>
    </row>
    <row r="173" spans="2:6">
      <c r="B173" t="s">
        <v>720</v>
      </c>
      <c r="E173" t="s">
        <v>197</v>
      </c>
    </row>
    <row r="174" spans="2:6">
      <c r="B174" t="s">
        <v>721</v>
      </c>
      <c r="E174" t="s">
        <v>197</v>
      </c>
    </row>
    <row r="175" spans="2:6">
      <c r="B175" t="s">
        <v>722</v>
      </c>
      <c r="E175" t="s">
        <v>223</v>
      </c>
    </row>
    <row r="176" spans="2:6">
      <c r="B176" t="s">
        <v>723</v>
      </c>
      <c r="E176" t="s">
        <v>724</v>
      </c>
    </row>
    <row r="177" spans="2:2">
      <c r="B177" t="s">
        <v>725</v>
      </c>
    </row>
    <row r="178" spans="2:2">
      <c r="B178" t="s">
        <v>726</v>
      </c>
    </row>
    <row r="182" spans="2:2">
      <c r="B182" t="s">
        <v>710</v>
      </c>
    </row>
    <row r="198" spans="2:2">
      <c r="B198" t="s">
        <v>711</v>
      </c>
    </row>
    <row r="210" spans="2:9" ht="15">
      <c r="B210" s="291" t="s">
        <v>687</v>
      </c>
      <c r="C210" s="186"/>
      <c r="D210" s="186"/>
      <c r="E210" s="186"/>
    </row>
    <row r="211" spans="2:9" ht="42.75">
      <c r="B211" t="s">
        <v>690</v>
      </c>
      <c r="C211" t="s">
        <v>688</v>
      </c>
      <c r="D211" t="s">
        <v>691</v>
      </c>
      <c r="E211" t="s">
        <v>692</v>
      </c>
      <c r="F211" s="353" t="s">
        <v>696</v>
      </c>
      <c r="G211" t="s">
        <v>689</v>
      </c>
      <c r="H211" t="s">
        <v>694</v>
      </c>
      <c r="I211" t="s">
        <v>695</v>
      </c>
    </row>
    <row r="212" spans="2:9">
      <c r="B212">
        <v>2</v>
      </c>
      <c r="C212">
        <v>2.375</v>
      </c>
      <c r="D212">
        <f>C212-2*E212</f>
        <v>2.0670000000000002</v>
      </c>
      <c r="E212">
        <v>0.154</v>
      </c>
      <c r="F212" t="s">
        <v>697</v>
      </c>
      <c r="G212">
        <f>C212*25.4</f>
        <v>60.324999999999996</v>
      </c>
      <c r="H212">
        <f t="shared" ref="H212:I212" si="0">D212*25.4</f>
        <v>52.501800000000003</v>
      </c>
      <c r="I212">
        <f t="shared" si="0"/>
        <v>3.9115999999999995</v>
      </c>
    </row>
    <row r="213" spans="2:9">
      <c r="B213">
        <v>2</v>
      </c>
      <c r="C213">
        <v>2.375</v>
      </c>
      <c r="D213">
        <f t="shared" ref="D213:D221" si="1">C213-2*E213</f>
        <v>1.9390000000000001</v>
      </c>
      <c r="E213">
        <v>0.218</v>
      </c>
      <c r="F213" t="s">
        <v>698</v>
      </c>
      <c r="G213">
        <f t="shared" ref="G213:G221" si="2">C213*25.4</f>
        <v>60.324999999999996</v>
      </c>
      <c r="H213">
        <f t="shared" ref="H213:H221" si="3">D213*25.4</f>
        <v>49.250599999999999</v>
      </c>
      <c r="I213">
        <f t="shared" ref="I213:I221" si="4">E213*25.4</f>
        <v>5.5371999999999995</v>
      </c>
    </row>
    <row r="214" spans="2:9">
      <c r="B214">
        <v>2.5</v>
      </c>
      <c r="C214">
        <v>2.875</v>
      </c>
      <c r="D214">
        <f t="shared" si="1"/>
        <v>2.4689999999999999</v>
      </c>
      <c r="E214">
        <v>0.20300000000000001</v>
      </c>
      <c r="F214" t="s">
        <v>697</v>
      </c>
      <c r="G214">
        <f t="shared" si="2"/>
        <v>73.024999999999991</v>
      </c>
      <c r="H214">
        <f t="shared" si="3"/>
        <v>62.712599999999995</v>
      </c>
      <c r="I214">
        <f t="shared" si="4"/>
        <v>5.1562000000000001</v>
      </c>
    </row>
    <row r="215" spans="2:9">
      <c r="B215">
        <v>2.5</v>
      </c>
      <c r="C215">
        <v>2.875</v>
      </c>
      <c r="D215">
        <f t="shared" si="1"/>
        <v>2.323</v>
      </c>
      <c r="E215">
        <v>0.27600000000000002</v>
      </c>
      <c r="F215" t="s">
        <v>698</v>
      </c>
      <c r="G215">
        <f t="shared" si="2"/>
        <v>73.024999999999991</v>
      </c>
      <c r="H215">
        <f t="shared" si="3"/>
        <v>59.004199999999997</v>
      </c>
      <c r="I215">
        <f t="shared" si="4"/>
        <v>7.0104000000000006</v>
      </c>
    </row>
    <row r="216" spans="2:9">
      <c r="B216">
        <v>3</v>
      </c>
      <c r="C216">
        <v>3.5</v>
      </c>
      <c r="D216">
        <f t="shared" si="1"/>
        <v>3.0680000000000001</v>
      </c>
      <c r="E216">
        <v>0.216</v>
      </c>
      <c r="F216" t="s">
        <v>697</v>
      </c>
      <c r="G216">
        <f t="shared" si="2"/>
        <v>88.899999999999991</v>
      </c>
      <c r="H216">
        <f t="shared" si="3"/>
        <v>77.927199999999999</v>
      </c>
      <c r="I216">
        <f t="shared" si="4"/>
        <v>5.4863999999999997</v>
      </c>
    </row>
    <row r="217" spans="2:9">
      <c r="B217">
        <v>3</v>
      </c>
      <c r="C217">
        <v>3.5</v>
      </c>
      <c r="D217">
        <f t="shared" si="1"/>
        <v>2.9</v>
      </c>
      <c r="E217">
        <v>0.3</v>
      </c>
      <c r="F217" t="s">
        <v>698</v>
      </c>
      <c r="G217">
        <f t="shared" si="2"/>
        <v>88.899999999999991</v>
      </c>
      <c r="H217">
        <f t="shared" si="3"/>
        <v>73.66</v>
      </c>
      <c r="I217">
        <f t="shared" si="4"/>
        <v>7.6199999999999992</v>
      </c>
    </row>
    <row r="218" spans="2:9">
      <c r="B218">
        <v>3.5</v>
      </c>
      <c r="C218">
        <v>4</v>
      </c>
      <c r="D218">
        <f t="shared" si="1"/>
        <v>3.548</v>
      </c>
      <c r="E218">
        <v>0.22600000000000001</v>
      </c>
      <c r="F218" t="s">
        <v>697</v>
      </c>
      <c r="G218">
        <f t="shared" si="2"/>
        <v>101.6</v>
      </c>
      <c r="H218">
        <f t="shared" si="3"/>
        <v>90.119199999999992</v>
      </c>
      <c r="I218">
        <f t="shared" si="4"/>
        <v>5.7404000000000002</v>
      </c>
    </row>
    <row r="219" spans="2:9">
      <c r="B219">
        <v>3.5</v>
      </c>
      <c r="C219">
        <v>4</v>
      </c>
      <c r="D219">
        <f t="shared" si="1"/>
        <v>3.3639999999999999</v>
      </c>
      <c r="E219">
        <v>0.318</v>
      </c>
      <c r="F219" t="s">
        <v>698</v>
      </c>
      <c r="G219">
        <f t="shared" si="2"/>
        <v>101.6</v>
      </c>
      <c r="H219">
        <f t="shared" si="3"/>
        <v>85.445599999999999</v>
      </c>
      <c r="I219">
        <f t="shared" si="4"/>
        <v>8.0771999999999995</v>
      </c>
    </row>
    <row r="220" spans="2:9">
      <c r="B220">
        <v>4</v>
      </c>
      <c r="C220">
        <v>4.5</v>
      </c>
      <c r="D220">
        <f t="shared" si="1"/>
        <v>4.0259999999999998</v>
      </c>
      <c r="E220">
        <v>0.23699999999999999</v>
      </c>
      <c r="F220" t="s">
        <v>697</v>
      </c>
      <c r="G220">
        <f t="shared" si="2"/>
        <v>114.3</v>
      </c>
      <c r="H220">
        <f t="shared" si="3"/>
        <v>102.26039999999999</v>
      </c>
      <c r="I220">
        <f t="shared" si="4"/>
        <v>6.0197999999999992</v>
      </c>
    </row>
    <row r="221" spans="2:9">
      <c r="B221">
        <v>4</v>
      </c>
      <c r="C221">
        <v>4.5</v>
      </c>
      <c r="D221">
        <f t="shared" si="1"/>
        <v>3.8260000000000001</v>
      </c>
      <c r="E221">
        <v>0.33700000000000002</v>
      </c>
      <c r="F221" t="s">
        <v>698</v>
      </c>
      <c r="G221">
        <f t="shared" si="2"/>
        <v>114.3</v>
      </c>
      <c r="H221">
        <f t="shared" si="3"/>
        <v>97.180399999999992</v>
      </c>
      <c r="I221">
        <f t="shared" si="4"/>
        <v>8.5597999999999992</v>
      </c>
    </row>
    <row r="223" spans="2:9">
      <c r="B223" t="s">
        <v>693</v>
      </c>
      <c r="C223" t="s">
        <v>699</v>
      </c>
    </row>
    <row r="224" spans="2:9">
      <c r="B224" t="s">
        <v>704</v>
      </c>
      <c r="C224" t="s">
        <v>700</v>
      </c>
    </row>
    <row r="226" spans="2:4" ht="78.95" customHeight="1">
      <c r="B226" s="353" t="s">
        <v>771</v>
      </c>
      <c r="C226" s="353" t="s">
        <v>786</v>
      </c>
      <c r="D226" t="s">
        <v>409</v>
      </c>
    </row>
    <row r="227" spans="2:4" ht="28.5">
      <c r="B227" s="63" t="s">
        <v>772</v>
      </c>
      <c r="C227" s="63">
        <v>23.6</v>
      </c>
      <c r="D227" s="367" t="s">
        <v>773</v>
      </c>
    </row>
    <row r="228" spans="2:4">
      <c r="B228" s="63" t="s">
        <v>774</v>
      </c>
      <c r="C228" s="63">
        <v>23.2</v>
      </c>
      <c r="D228" s="367" t="s">
        <v>775</v>
      </c>
    </row>
    <row r="229" spans="2:4">
      <c r="B229" s="63" t="s">
        <v>776</v>
      </c>
      <c r="C229" s="63">
        <v>22</v>
      </c>
      <c r="D229" s="367" t="s">
        <v>777</v>
      </c>
    </row>
    <row r="230" spans="2:4">
      <c r="B230" s="63" t="s">
        <v>778</v>
      </c>
      <c r="C230" s="63">
        <v>23.6</v>
      </c>
      <c r="D230" s="367" t="s">
        <v>779</v>
      </c>
    </row>
    <row r="231" spans="2:4">
      <c r="B231" s="63" t="s">
        <v>780</v>
      </c>
      <c r="C231" s="63">
        <v>23.5</v>
      </c>
      <c r="D231" s="367" t="s">
        <v>781</v>
      </c>
    </row>
    <row r="232" spans="2:4" ht="28.5">
      <c r="B232" s="63" t="s">
        <v>782</v>
      </c>
      <c r="C232" s="63">
        <v>21.5</v>
      </c>
      <c r="D232" s="367" t="s">
        <v>783</v>
      </c>
    </row>
    <row r="233" spans="2:4" ht="28.5">
      <c r="B233" s="63" t="s">
        <v>784</v>
      </c>
      <c r="C233" s="63">
        <v>21.5</v>
      </c>
      <c r="D233" s="367" t="s">
        <v>785</v>
      </c>
    </row>
  </sheetData>
  <mergeCells count="1">
    <mergeCell ref="E3:H4"/>
  </mergeCells>
  <dataValidations disablePrompts="1" count="2">
    <dataValidation type="list" allowBlank="1" showInputMessage="1" showErrorMessage="1" sqref="D76">
      <formula1>$C$212:$C$221</formula1>
    </dataValidation>
    <dataValidation type="list" allowBlank="1" showInputMessage="1" showErrorMessage="1" sqref="D78">
      <formula1>$B$227:$B$233</formula1>
    </dataValidation>
  </dataValidations>
  <hyperlinks>
    <hyperlink ref="B13" r:id="rId1"/>
  </hyperlinks>
  <pageMargins left="0.25" right="0.25" top="0.75" bottom="0.75" header="0.3" footer="0.3"/>
  <pageSetup paperSize="9" orientation="portrait" r:id="rId2"/>
  <drawing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2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2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2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2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2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2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2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2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ht="15.75" thickBot="1">
      <c r="A14" s="267" t="s">
        <v>484</v>
      </c>
    </row>
    <row r="15" spans="1:11" ht="14.2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2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2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2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2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2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2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25" outlineLevel="1">
      <c r="A22" t="s">
        <v>347</v>
      </c>
    </row>
    <row r="23" spans="1:11" ht="14.25" outlineLevel="1">
      <c r="A23" t="s">
        <v>348</v>
      </c>
    </row>
    <row r="24" spans="1:11" ht="14.25" outlineLevel="1">
      <c r="A24" t="s">
        <v>349</v>
      </c>
    </row>
    <row r="25" spans="1:11" ht="14.2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2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2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2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2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2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ht="15.75" thickBot="1">
      <c r="A32" s="267" t="s">
        <v>350</v>
      </c>
    </row>
    <row r="33" spans="1:11" ht="14.2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2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2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2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2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2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2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2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2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2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2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2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2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2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ht="15.75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2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2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2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2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2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2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2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2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2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2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2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2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2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2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2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2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2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2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2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2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2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2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2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2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2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2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2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2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2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2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2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2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2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2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2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2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2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2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>
      <c r="A92" s="264" t="s">
        <v>371</v>
      </c>
    </row>
    <row r="93" spans="1:11" s="166" customFormat="1" ht="14.2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2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2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2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2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25" hidden="1" outlineLevel="1"/>
    <row r="99" spans="1:11" ht="14.2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2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2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2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2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2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2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2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2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2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2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2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2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2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2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25">
      <c r="A118" s="270" t="s">
        <v>526</v>
      </c>
    </row>
    <row r="119" spans="1:11" ht="14.2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2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2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2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2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25" collapsed="1"/>
    <row r="125" spans="1:11" s="186" customFormat="1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2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125" defaultRowHeight="15" customHeight="1" outlineLevelRow="2"/>
  <cols>
    <col min="1" max="1" width="43.25" customWidth="1"/>
    <col min="2" max="2" width="12.75" style="190" customWidth="1"/>
    <col min="3" max="3" width="12.875" style="318" customWidth="1"/>
    <col min="4" max="11" width="12.875" style="190" customWidth="1"/>
    <col min="12" max="12" width="12.875" customWidth="1"/>
    <col min="13" max="13" width="4.5" style="330" customWidth="1"/>
    <col min="14" max="31" width="4.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2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2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2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2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25" outlineLevel="1">
      <c r="A6" t="s">
        <v>334</v>
      </c>
      <c r="B6" s="190">
        <v>0</v>
      </c>
    </row>
    <row r="7" spans="1:13" ht="14.25" outlineLevel="1">
      <c r="A7" t="s">
        <v>345</v>
      </c>
      <c r="B7" s="190">
        <f>B34</f>
        <v>5.0265482457436689E-3</v>
      </c>
    </row>
    <row r="8" spans="1:13" ht="14.25" outlineLevel="1">
      <c r="A8" t="s">
        <v>612</v>
      </c>
      <c r="B8" s="190">
        <f>B33</f>
        <v>17706.008941658431</v>
      </c>
    </row>
    <row r="9" spans="1:13" ht="14.25" outlineLevel="1">
      <c r="A9" t="s">
        <v>613</v>
      </c>
      <c r="B9" s="190">
        <f>B545</f>
        <v>1.35</v>
      </c>
    </row>
    <row r="10" spans="1:13" s="283" customFormat="1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2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2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2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2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ht="15.75" thickBot="1">
      <c r="A18" s="267" t="s">
        <v>484</v>
      </c>
    </row>
    <row r="19" spans="1:11" ht="14.2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2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2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2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2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2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2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25" hidden="1" outlineLevel="1">
      <c r="A26" t="s">
        <v>347</v>
      </c>
    </row>
    <row r="27" spans="1:11" ht="14.25" hidden="1" outlineLevel="1">
      <c r="A27" t="s">
        <v>348</v>
      </c>
    </row>
    <row r="28" spans="1:11" ht="14.25" hidden="1" outlineLevel="1">
      <c r="A28" t="s">
        <v>349</v>
      </c>
    </row>
    <row r="29" spans="1:11" ht="14.2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2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2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2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2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2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t="15.75" hidden="1" outlineLevel="1" thickBot="1">
      <c r="A38" s="267" t="s">
        <v>350</v>
      </c>
    </row>
    <row r="39" spans="1:13" ht="14.2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2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2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2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2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2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2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2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2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2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2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2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2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2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t="15.75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2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2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2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2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2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2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2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2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2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2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2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2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2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2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2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2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2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2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2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2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2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2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2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2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2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2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2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2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2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2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2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2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2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2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2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2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2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2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idden="1" outlineLevel="1">
      <c r="A98" s="264" t="s">
        <v>371</v>
      </c>
    </row>
    <row r="99" spans="1:13" s="166" customFormat="1" ht="14.2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2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2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2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2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25" hidden="1" outlineLevel="2"/>
    <row r="105" spans="1:13" ht="14.2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2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2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2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2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2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2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2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2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2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2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2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2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2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2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25" hidden="1" outlineLevel="1">
      <c r="A124" s="270" t="s">
        <v>526</v>
      </c>
    </row>
    <row r="125" spans="1:13" ht="14.2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2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2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2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2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25" hidden="1" outlineLevel="1" collapsed="1"/>
    <row r="131" spans="1:13" ht="14.2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125" defaultRowHeight="14.25"/>
  <cols>
    <col min="1" max="1" width="44.75" style="279" customWidth="1"/>
    <col min="2" max="4" width="9.375" style="280" customWidth="1"/>
    <col min="5" max="5" width="12.5" style="280" customWidth="1"/>
    <col min="6" max="6" width="13.375" style="280" bestFit="1" customWidth="1"/>
    <col min="7" max="7" width="9.375" style="280" customWidth="1"/>
    <col min="8" max="8" width="13.375" style="280" bestFit="1" customWidth="1"/>
    <col min="9" max="9" width="12.25" style="280" customWidth="1"/>
    <col min="10" max="12" width="9.375" style="280" customWidth="1"/>
    <col min="14" max="14" width="17.125" customWidth="1"/>
  </cols>
  <sheetData>
    <row r="1" spans="1:14" ht="15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 ht="15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 ht="15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 ht="15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 ht="15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 ht="15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 ht="15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 ht="15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selection activeCell="K14" sqref="K14"/>
    </sheetView>
  </sheetViews>
  <sheetFormatPr defaultRowHeight="14.25"/>
  <cols>
    <col min="1" max="1" width="10.5" customWidth="1"/>
  </cols>
  <sheetData>
    <row r="1" spans="1:10" ht="42.75" customHeight="1">
      <c r="A1" s="431" t="s">
        <v>539</v>
      </c>
      <c r="B1" s="431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31" t="s">
        <v>540</v>
      </c>
      <c r="B6" s="431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32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32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32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zoomScale="70" zoomScaleNormal="70" workbookViewId="0">
      <selection activeCell="U16" sqref="U16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7" t="s">
        <v>382</v>
      </c>
    </row>
    <row r="4" spans="1:5">
      <c r="A4" s="186" t="s">
        <v>383</v>
      </c>
    </row>
    <row r="5" spans="1:5">
      <c r="B5" s="433"/>
      <c r="C5" s="433"/>
      <c r="D5" s="433"/>
      <c r="E5" s="433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30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 ht="15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Props1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11</vt:i4>
      </vt:variant>
    </vt:vector>
  </HeadingPairs>
  <TitlesOfParts>
    <vt:vector size="26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cp:lastPrinted>2025-09-11T19:44:49Z</cp:lastPrinted>
  <dcterms:created xsi:type="dcterms:W3CDTF">2024-07-02T19:27:32Z</dcterms:created>
  <dcterms:modified xsi:type="dcterms:W3CDTF">2025-09-12T22:05:03Z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