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75" yWindow="-75" windowWidth="19365" windowHeight="1144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25" l="1"/>
  <c r="C65" i="25" s="1"/>
  <c r="C67" i="25" s="1"/>
  <c r="B71" i="25"/>
  <c r="D33" i="25"/>
  <c r="C33" i="25"/>
  <c r="B33" i="25"/>
  <c r="C32" i="25"/>
  <c r="F19" i="25"/>
  <c r="J21" i="25"/>
  <c r="B40" i="25" s="1"/>
  <c r="D21" i="25"/>
  <c r="B32" i="25" s="1"/>
  <c r="D27" i="25" s="1"/>
  <c r="C42" i="25" s="1"/>
  <c r="J22" i="25"/>
  <c r="B39" i="25"/>
  <c r="B37" i="25"/>
  <c r="D20" i="25"/>
  <c r="D28" i="25"/>
  <c r="D29" i="25"/>
  <c r="C40" i="25"/>
  <c r="C39" i="25"/>
  <c r="C37" i="25"/>
  <c r="D26" i="25" l="1"/>
  <c r="D32" i="25"/>
  <c r="B42" i="25"/>
  <c r="H25" i="25"/>
  <c r="H29" i="25" s="1"/>
  <c r="H30" i="25" s="1"/>
  <c r="D25" i="25"/>
  <c r="N37" i="16" l="1"/>
  <c r="C28" i="16" l="1"/>
  <c r="C24" i="16"/>
  <c r="N53" i="16"/>
  <c r="N41" i="16"/>
  <c r="L41" i="16"/>
  <c r="N36" i="16"/>
  <c r="L35" i="16"/>
  <c r="N35" i="16" s="1"/>
  <c r="N39" i="16" s="1"/>
  <c r="N42" i="16" s="1"/>
  <c r="L36" i="16"/>
  <c r="G178" i="25"/>
  <c r="I178" i="25"/>
  <c r="G179" i="25"/>
  <c r="I179" i="25"/>
  <c r="G180" i="25"/>
  <c r="I180" i="25"/>
  <c r="G181" i="25"/>
  <c r="I181" i="25"/>
  <c r="G182" i="25"/>
  <c r="I182" i="25"/>
  <c r="G183" i="25"/>
  <c r="I183" i="25"/>
  <c r="G184" i="25"/>
  <c r="I184" i="25"/>
  <c r="G185" i="25"/>
  <c r="I185" i="25"/>
  <c r="G186" i="25"/>
  <c r="I186" i="25"/>
  <c r="I177" i="25"/>
  <c r="G177" i="25"/>
  <c r="D180" i="25"/>
  <c r="H180" i="25" s="1"/>
  <c r="D181" i="25"/>
  <c r="H181" i="25" s="1"/>
  <c r="D182" i="25"/>
  <c r="H182" i="25" s="1"/>
  <c r="D183" i="25"/>
  <c r="H183" i="25" s="1"/>
  <c r="D184" i="25"/>
  <c r="H184" i="25" s="1"/>
  <c r="D185" i="25"/>
  <c r="H185" i="25" s="1"/>
  <c r="D186" i="25"/>
  <c r="H186" i="25" s="1"/>
  <c r="D178" i="25"/>
  <c r="H178" i="25" s="1"/>
  <c r="D179" i="25"/>
  <c r="H179" i="25" s="1"/>
  <c r="D177" i="25"/>
  <c r="H177" i="25" s="1"/>
  <c r="N52" i="16"/>
  <c r="L52" i="16" s="1"/>
  <c r="B69" i="22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L42" i="16" l="1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B17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<sst xmlns="http://schemas.openxmlformats.org/spreadsheetml/2006/main" count="1230" uniqueCount="779">
  <si>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</si>
  <si>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</si>
  <si>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</si>
  <si>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</si>
  <si>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</si>
  <si>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</si>
  <si>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</si>
  <si>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</si>
  <si>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</si>
  <si>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</si>
  <si>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</si>
  <si>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</si>
  <si>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</si>
  <si>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</si>
  <si>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</si>
  <si>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</si>
  <si>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</si>
  <si>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</si>
  <si>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</si>
  <si>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</si>
  <si>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</si>
  <si>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</si>
  <si>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</si>
  <si>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</si>
  <si>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</si>
  <si>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</si>
  <si>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</si>
  <si>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</si>
  <si>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</si>
  <si>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</si>
  <si>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</si>
  <si>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</si>
  <si>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</si>
  <si>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</si>
  <si>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</si>
  <si>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</si>
  <si>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</si>
  <si>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</si>
  <si>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</si>
  <si>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</si>
  <si>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</si>
  <si>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</si>
  <si>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</si>
  <si>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</si>
  <si>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</si>
  <si>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</si>
  <si>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</si>
  <si>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</si>
  <si>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</si>
  <si>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</si>
  <si>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</si>
  <si>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</si>
  <si>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</si>
  <si>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</si>
  <si>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</si>
  <si>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</si>
  <si>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</si>
  <si>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</si>
  <si>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</si>
  <si>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</si>
  <si>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</si>
  <si>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</si>
  <si>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</si>
  <si>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</si>
  <si>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</si>
  <si>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</si>
  <si>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</si>
  <si>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</si>
  <si>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</si>
  <si>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</si>
  <si>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</si>
  <si>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</si>
  <si>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</si>
  <si>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</si>
  <si>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</si>
  <si>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</si>
  <si>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</si>
  <si>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</si>
  <si>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</si>
  <si>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</si>
  <si>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</si>
  <si>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</si>
  <si>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</si>
  <si>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</si>
  <si>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</si>
  <si>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</si>
  <si>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</si>
  <si>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</si>
  <si>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</si>
  <si>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</si>
  <si>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</si>
  <si>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</si>
  <si>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</si>
  <si>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</si>
  <si>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</si>
  <si>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</si>
  <si>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</si>
  <si>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</si>
  <si>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</si>
  <si>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</si>
  <si>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</si>
  <si>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</si>
  <si>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</si>
  <si>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</si>
  <si>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</si>
  <si>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</si>
  <si>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</si>
  <si>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</si>
  <si>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</si>
  <si>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</si>
  <si>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</si>
  <si>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</si>
  <si>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</si>
  <si>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</si>
  <si>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</si>
  <si>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</si>
  <si>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</si>
  <si>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</si>
  <si>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</si>
  <si>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</si>
  <si>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</si>
  <si>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</si>
  <si>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</si>
  <si>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</si>
  <si>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</si>
  <si>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</si>
  <si>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</si>
  <si>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</si>
  <si>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</si>
  <si>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</si>
  <si>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</si>
  <si>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</si>
  <si>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</si>
  <si>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</si>
  <si>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</si>
  <si>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</si>
  <si>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</si>
  <si>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</si>
  <si>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</si>
  <si>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</si>
  <si>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</si>
  <si>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</si>
  <si>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</si>
  <si>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</si>
  <si>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</si>
  <si>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</si>
  <si>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</si>
  <si>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</si>
  <si>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</si>
  <si>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</si>
  <si>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</si>
  <si>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</si>
  <si>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</si>
  <si>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</si>
  <si>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</si>
  <si>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</si>
  <si>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</si>
  <si>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</si>
  <si>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</si>
  <si>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</si>
  <si>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</si>
  <si>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</si>
  <si>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</si>
  <si>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</si>
  <si>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</si>
  <si>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</si>
  <si>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</si>
  <si>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</si>
  <si>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</si>
  <si>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</si>
  <si>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</si>
  <si>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</si>
  <si>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</si>
  <si>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</si>
  <si>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</si>
  <si>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</si>
  <si>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</si>
  <si>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</si>
  <si>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</si>
  <si>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</si>
  <si>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</si>
  <si>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</si>
  <si>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</si>
  <si>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</si>
  <si>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</si>
  <si>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</si>
  <si>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</si>
  <si>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</si>
  <si>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</si>
  <si>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</si>
  <si>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</si>
  <si>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</si>
  <si>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</si>
  <si>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</si>
  <si>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</si>
  <si>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</si>
  <si>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</si>
  <si>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</si>
  <si>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</si>
  <si>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</si>
  <si>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</si>
  <si>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</si>
  <si>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</si>
  <si>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</si>
  <si>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</si>
  <si>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</si>
  <si>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</si>
  <si>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</si>
  <si>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</si>
  <si>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</si>
  <si>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</si>
  <si>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</si>
  <si>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</si>
  <si>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</si>
  <si>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</si>
  <si>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</si>
  <si>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</si>
  <si>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</si>
  <si>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</si>
  <si>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</si>
  <si>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</si>
  <si>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</si>
  <si>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</si>
  <si>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</si>
  <si>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</si>
  <si>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</si>
  <si>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</si>
  <si>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</si>
  <si>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</si>
  <si>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</si>
  <si>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</si>
  <si>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</si>
  <si>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</si>
  <si>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</si>
  <si>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</si>
  <si>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</si>
  <si>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</si>
  <si>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</si>
  <si>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</si>
  <si>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</si>
  <si>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</si>
  <si>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</si>
  <si>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</si>
  <si>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</si>
  <si>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</si>
  <si>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</si>
  <si>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</si>
  <si>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</si>
  <si>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</si>
  <si>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</si>
  <si>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</si>
  <si>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</si>
  <si>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</si>
  <si>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</si>
  <si>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</si>
  <si>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</si>
  <si>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</si>
  <si>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</si>
  <si>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</si>
  <si>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</si>
  <si>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</si>
  <si>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</si>
  <si>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</si>
  <si>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</si>
  <si>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</si>
  <si>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</si>
  <si>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</si>
  <si>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</si>
  <si>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</si>
  <si>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</si>
  <si>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</si>
  <si>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</si>
  <si>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</si>
  <si>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</si>
  <si>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</si>
  <si>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</si>
  <si>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</si>
  <si>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</si>
  <si>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</si>
  <si>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</si>
  <si>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</si>
  <si>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</si>
  <si>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</si>
  <si>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</si>
  <si>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</si>
  <si>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</si>
  <si>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</si>
  <si>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</si>
  <si>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</si>
  <si>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</si>
  <si>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</si>
  <si>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</si>
  <si>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</si>
  <si>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</si>
  <si>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</si>
  <si>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</si>
  <si>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</si>
  <si>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</si>
  <si>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</si>
  <si>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</si>
  <si>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</si>
  <si>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</si>
  <si>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</si>
  <si>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</si>
  <si>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</si>
  <si>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</si>
  <si>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</si>
  <si>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</si>
  <si>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</si>
  <si>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</si>
  <si>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</si>
  <si>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</si>
  <si>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</si>
  <si>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</si>
  <si>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</si>
  <si>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</si>
  <si>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</si>
  <si>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</si>
  <si>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</si>
  <si>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</si>
  <si>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</si>
  <si>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</si>
  <si>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</si>
  <si>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</si>
  <si>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</si>
  <si>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</si>
  <si>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</si>
  <si>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</si>
  <si>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</si>
  <si>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</si>
  <si>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</si>
  <si>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</si>
  <si>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</si>
  <si>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</si>
  <si>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</si>
  <si>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</si>
  <si>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</si>
  <si>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</si>
  <si>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</si>
  <si>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</si>
  <si>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</si>
  <si>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</si>
  <si>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</si>
  <si>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</si>
  <si>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</si>
  <si>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</si>
  <si>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</si>
  <si>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</si>
  <si>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</si>
  <si>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</si>
  <si>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</si>
  <si>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</si>
  <si>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</si>
  <si>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</si>
  <si>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</si>
  <si>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</si>
  <si>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</si>
  <si>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</si>
  <si>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</si>
  <si>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</si>
  <si>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</si>
  <si>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</si>
  <si>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</si>
  <si>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</si>
  <si>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</si>
  <si>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</si>
  <si>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</si>
  <si>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</si>
  <si>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</si>
  <si>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</si>
  <si>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</si>
  <si>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</si>
  <si>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</si>
  <si>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</si>
  <si>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</si>
  <si>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</si>
  <si>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</si>
  <si>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</si>
  <si>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</si>
  <si>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</si>
  <si>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</si>
  <si>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</si>
  <si>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</si>
  <si>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</si>
  <si>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</si>
  <si>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</si>
  <si>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</si>
  <si>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</si>
  <si>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</si>
  <si>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</si>
  <si>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</si>
  <si>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</si>
  <si>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</si>
  <si>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</si>
  <si>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</si>
  <si>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</si>
  <si>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</si>
  <si>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</si>
  <si>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</si>
  <si>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</si>
  <si>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</si>
  <si>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</si>
  <si>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</si>
  <si>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</si>
  <si>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</si>
  <si>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</si>
  <si>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</si>
  <si>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</si>
  <si>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</si>
  <si>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</si>
  <si>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</si>
  <si>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</si>
  <si>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</si>
  <si>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</si>
  <si>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</si>
  <si>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</si>
  <si>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</si>
  <si>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</si>
  <si>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</si>
  <si>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</si>
  <si>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</si>
  <si>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</si>
  <si>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</si>
  <si>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</si>
  <si>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</si>
  <si>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</si>
  <si>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</si>
  <si>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</si>
  <si>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</si>
  <si>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</si>
  <si>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</si>
  <si>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</si>
  <si>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</si>
  <si>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</si>
  <si>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</si>
  <si>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</si>
  <si>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</si>
  <si>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</si>
  <si>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</si>
  <si>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</si>
  <si>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</si>
  <si>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</si>
  <si>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</si>
  <si>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</si>
  <si>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</si>
  <si>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</si>
  <si>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</si>
  <si>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</si>
  <si>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</si>
  <si>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</si>
  <si>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</si>
  <si>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</si>
  <si>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</si>
  <si>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</si>
  <si>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</si>
  <si>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</si>
  <si>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</si>
  <si>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</si>
  <si>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</si>
  <si>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</si>
  <si>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</si>
  <si>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</si>
  <si>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</si>
  <si>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</si>
  <si>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</si>
  <si>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</si>
  <si>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</si>
  <si>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</si>
  <si>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</si>
  <si>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</si>
  <si>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</si>
  <si>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</si>
  <si>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</si>
  <si>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</si>
  <si>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</si>
  <si>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</si>
  <si>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</si>
  <si>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</si>
  <si>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</si>
  <si>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</si>
  <si>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</si>
  <si>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</si>
  <si>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</si>
  <si>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</si>
  <si>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</si>
  <si>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</si>
  <si>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</si>
  <si>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</si>
  <si>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</si>
  <si>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</si>
  <si>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</si>
  <si>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</si>
  <si>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</si>
  <si>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</si>
  <si>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</si>
  <si>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</si>
  <si>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</si>
  <si>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</si>
  <si>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</si>
  <si>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</si>
  <si>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</si>
  <si>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</si>
  <si>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</si>
  <si>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</si>
  <si>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</si>
  <si>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</si>
  <si>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</si>
  <si>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</si>
  <si>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</si>
  <si>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</si>
  <si>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</si>
  <si>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</si>
  <si>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</si>
  <si>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</si>
  <si>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</si>
  <si>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</si>
  <si>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</si>
  <si>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</si>
  <si>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</si>
  <si>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</si>
  <si>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</si>
  <si>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</si>
  <si>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</si>
  <si>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</si>
  <si>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</si>
  <si>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</si>
  <si>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</si>
  <si>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</si>
  <si>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</si>
  <si>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</si>
  <si>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</si>
  <si>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</si>
  <si>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</si>
  <si>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</si>
  <si>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</si>
  <si>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</si>
  <si>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</si>
  <si>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</si>
  <si>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</si>
  <si>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</si>
  <si>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</si>
  <si>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</si>
  <si>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</si>
  <si>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</si>
  <si>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</si>
  <si>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</si>
  <si>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</si>
  <si>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</si>
  <si>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</si>
  <si>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</si>
  <si>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</si>
  <si>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</si>
  <si>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</si>
  <si>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</si>
  <si>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</si>
  <si>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</si>
  <si>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</si>
  <si>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</si>
  <si>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</si>
  <si>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</si>
  <si>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</si>
  <si>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</si>
  <si>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</si>
  <si>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</si>
  <si>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</si>
  <si>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</si>
  <si>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</si>
  <si>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</si>
  <si>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</si>
  <si>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</si>
  <si>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</si>
  <si>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</si>
  <si>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</si>
  <si>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</si>
  <si>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</si>
  <si>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</si>
  <si>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</si>
  <si>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</si>
  <si>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</si>
  <si>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</si>
  <si>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</si>
  <si>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</si>
  <si>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</si>
  <si>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</si>
  <si>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</si>
  <si>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</si>
  <si>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</si>
  <si>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</si>
  <si>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</si>
  <si>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</si>
  <si>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</si>
  <si>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</si>
  <si>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</si>
  <si>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</si>
  <si>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</si>
  <si>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</si>
  <si>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</si>
  <si>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</si>
  <si>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</si>
  <si>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</si>
  <si>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</si>
  <si>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</si>
  <si>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</si>
  <si>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</si>
  <si>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</si>
  <si>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</si>
  <si>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</si>
  <si>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</si>
  <si>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</si>
  <si>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</si>
  <si>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</si>
  <si>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</si>
  <si>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</si>
  <si>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</si>
  <si>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</si>
  <si>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</si>
  <si>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</si>
  <si>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</si>
  <si>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</si>
  <si>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</si>
  <si>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</si>
  <si>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</si>
  <si>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</si>
  <si>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</si>
  <si>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</si>
  <si>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</si>
  <si>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</si>
  <si>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</si>
  <si>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</si>
  <si>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</si>
  <si>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</si>
  <si>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</si>
  <si>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</si>
  <si>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</si>
  <si>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</si>
  <si>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</si>
  <si>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</si>
  <si>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</si>
  <si>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</si>
  <si>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</si>
  <si>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</si>
  <si>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</si>
  <si>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</si>
  <si>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</si>
  <si>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</si>
  <si>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</si>
  <si>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</si>
  <si>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</si>
  <si>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</si>
  <si>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</si>
  <si>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</si>
  <si>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</si>
  <si>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</si>
  <si>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</si>
  <si>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</si>
  <si>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</si>
  <si>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</si>
  <si>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</si>
  <si>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</si>
  <si>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</si>
  <si>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</si>
  <si>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</si>
  <si>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</si>
  <si>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</si>
  <si>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</si>
  <si>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</si>
  <si>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</si>
  <si>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</si>
  <si>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</si>
  <si>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</si>
  <si>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</si>
  <si>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</si>
  <si>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</si>
  <si>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</si>
  <si>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</si>
  <si>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</si>
  <si>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</si>
  <si>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</si>
  <si>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</si>
  <si>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</si>
  <si>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</si>
  <si>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</si>
  <si>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</si>
  <si>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</si>
  <si>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</si>
  <si>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</si>
  <si>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</si>
  <si>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aluminum tube will be used from supplier "La Paloma Metales"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</si>
  <si>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</si>
  <si>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</si>
  <si>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</si>
  <si>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</si>
  <si>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</si>
  <si>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</si>
  <si>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</si>
  <si>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</si>
  <si>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</si>
  <si>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</si>
  <si>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</si>
  <si>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</si>
  <si>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</si>
  <si>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</si>
  <si>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</si>
  <si>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</si>
  <si>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</si>
  <si>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</si>
  <si>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</si>
  <si>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</si>
  <si>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Radial loads (N)</t>
  </si>
  <si>
    <t>Axial loads (N)</t>
  </si>
  <si>
    <t>Bending moments</t>
  </si>
  <si>
    <t>Location (mm)</t>
  </si>
  <si>
    <t>OD</t>
  </si>
  <si>
    <t>ID</t>
  </si>
  <si>
    <t>Mean D</t>
  </si>
  <si>
    <t>graph for shear</t>
  </si>
  <si>
    <t>graph for bending</t>
  </si>
  <si>
    <t xml:space="preserve">Mechanical joints </t>
  </si>
  <si>
    <t>Shoulder connections and shear pins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</si>
  <si>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</si>
  <si>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</si>
  <si>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</si>
  <si>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</si>
  <si>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</si>
  <si>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Compression and buckling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</si>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</sst>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1" formatCode="0.0%"/>
    <numFmt numFmtId="172" formatCode="0.0000%"/>
  </numFmts>
  <fonts count="2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0" fontId="0" fillId="0" borderId="0" xfId="0" applyFill="1" applyBorder="1"/>
    <xf numFmtId="0" fontId="0" fillId="0" borderId="0" xfId="0" applyBorder="1"/>
    <xf numFmtId="0" fontId="0" fillId="20" borderId="0" xfId="0" applyFill="1" applyBorder="1"/>
    <xf numFmtId="2" fontId="0" fillId="20" borderId="0" xfId="0" applyNumberFormat="1" applyFill="1"/>
    <xf numFmtId="2" fontId="21" fillId="0" borderId="0" xfId="0" applyNumberFormat="1" applyFont="1"/>
    <xf numFmtId="171" fontId="0" fillId="0" borderId="0" xfId="2" applyNumberFormat="1" applyFont="1"/>
    <xf numFmtId="171" fontId="0" fillId="0" borderId="0" xfId="0" applyNumberFormat="1"/>
    <xf numFmtId="10" fontId="0" fillId="0" borderId="0" xfId="2" applyNumberFormat="1" applyFont="1"/>
    <xf numFmtId="172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1688"/>
        <c:axId val="183363256"/>
      </c:scatterChart>
      <c:valAx>
        <c:axId val="183361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3256"/>
        <c:crosses val="autoZero"/>
        <c:crossBetween val="midCat"/>
        <c:majorUnit val="0.30000000000000004"/>
        <c:minorUnit val="0.30000000000000004"/>
      </c:valAx>
      <c:valAx>
        <c:axId val="1833632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1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3648"/>
        <c:axId val="183362864"/>
      </c:scatterChart>
      <c:valAx>
        <c:axId val="1833636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3362864"/>
        <c:crossesAt val="0"/>
        <c:crossBetween val="midCat"/>
      </c:valAx>
      <c:valAx>
        <c:axId val="18336286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3363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64824"/>
        <c:axId val="183364432"/>
      </c:scatterChart>
      <c:valAx>
        <c:axId val="183364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4432"/>
        <c:crosses val="autoZero"/>
        <c:crossBetween val="midCat"/>
      </c:valAx>
      <c:valAx>
        <c:axId val="1833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64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8904"/>
        <c:axId val="185030864"/>
      </c:scatterChart>
      <c:valAx>
        <c:axId val="185028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864"/>
        <c:crosses val="autoZero"/>
        <c:crossBetween val="midCat"/>
      </c:valAx>
      <c:valAx>
        <c:axId val="18503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8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9688"/>
        <c:axId val="185030080"/>
      </c:scatterChart>
      <c:valAx>
        <c:axId val="185029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080"/>
        <c:crosses val="autoZero"/>
        <c:crossBetween val="midCat"/>
      </c:valAx>
      <c:valAx>
        <c:axId val="18503008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9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4200"/>
        <c:axId val="185026944"/>
      </c:scatterChart>
      <c:valAx>
        <c:axId val="185024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6944"/>
        <c:crosses val="autoZero"/>
        <c:crossBetween val="midCat"/>
      </c:valAx>
      <c:valAx>
        <c:axId val="1850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30472"/>
        <c:axId val="185028512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50304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8512"/>
        <c:crosses val="autoZero"/>
        <c:crossBetween val="midCat"/>
      </c:valAx>
      <c:valAx>
        <c:axId val="1850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30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4592"/>
        <c:axId val="185024984"/>
      </c:scatterChart>
      <c:valAx>
        <c:axId val="185024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984"/>
        <c:crosses val="autoZero"/>
        <c:crossBetween val="midCat"/>
      </c:valAx>
      <c:valAx>
        <c:axId val="18502498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4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7728"/>
        <c:axId val="185025768"/>
      </c:scatterChart>
      <c:valAx>
        <c:axId val="185027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5768"/>
        <c:crosses val="autoZero"/>
        <c:crossBetween val="midCat"/>
      </c:valAx>
      <c:valAx>
        <c:axId val="18502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027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4640"/>
        <c:axId val="185487192"/>
      </c:scatterChart>
      <c:valAx>
        <c:axId val="18549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7192"/>
        <c:crosses val="autoZero"/>
        <c:crossBetween val="midCat"/>
      </c:valAx>
      <c:valAx>
        <c:axId val="18548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89544"/>
        <c:axId val="185494248"/>
      </c:scatterChart>
      <c:valAx>
        <c:axId val="185489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4248"/>
        <c:crosses val="autoZero"/>
        <c:crossBetween val="midCat"/>
      </c:valAx>
      <c:valAx>
        <c:axId val="18549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9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3464"/>
        <c:axId val="185487976"/>
      </c:scatterChart>
      <c:valAx>
        <c:axId val="185493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7976"/>
        <c:crosses val="autoZero"/>
        <c:crossBetween val="midCat"/>
      </c:valAx>
      <c:valAx>
        <c:axId val="185487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3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272968"/>
        <c:axId val="576275320"/>
      </c:scatterChart>
      <c:valAx>
        <c:axId val="576272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275320"/>
        <c:crosses val="autoZero"/>
        <c:crossBetween val="midCat"/>
      </c:valAx>
      <c:valAx>
        <c:axId val="57627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272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13712"/>
        <c:axId val="126314104"/>
      </c:scatterChart>
      <c:valAx>
        <c:axId val="126313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14104"/>
        <c:crosses val="autoZero"/>
        <c:crossBetween val="midCat"/>
      </c:valAx>
      <c:valAx>
        <c:axId val="126314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13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88760"/>
        <c:axId val="185493072"/>
      </c:scatterChart>
      <c:valAx>
        <c:axId val="185488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3072"/>
        <c:crosses val="autoZero"/>
        <c:crossBetween val="midCat"/>
      </c:valAx>
      <c:valAx>
        <c:axId val="185493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88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0328"/>
        <c:axId val="185490720"/>
      </c:scatterChart>
      <c:valAx>
        <c:axId val="185490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0720"/>
        <c:crosses val="autoZero"/>
        <c:crossBetween val="midCat"/>
      </c:valAx>
      <c:valAx>
        <c:axId val="18549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0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1504"/>
        <c:axId val="185491896"/>
      </c:scatterChart>
      <c:valAx>
        <c:axId val="18549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1896"/>
        <c:crosses val="autoZero"/>
        <c:crossBetween val="midCat"/>
      </c:valAx>
      <c:valAx>
        <c:axId val="1854918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92680"/>
        <c:axId val="187376912"/>
      </c:scatterChart>
      <c:valAx>
        <c:axId val="18549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6912"/>
        <c:crosses val="autoZero"/>
        <c:crossBetween val="midCat"/>
      </c:valAx>
      <c:valAx>
        <c:axId val="18737691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492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5736"/>
        <c:axId val="187372208"/>
      </c:scatterChart>
      <c:valAx>
        <c:axId val="187375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2208"/>
        <c:crosses val="autoZero"/>
        <c:crossBetween val="midCat"/>
      </c:valAx>
      <c:valAx>
        <c:axId val="18737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5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3384"/>
        <c:axId val="187373776"/>
      </c:scatterChart>
      <c:valAx>
        <c:axId val="187373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3776"/>
        <c:crosses val="autoZero"/>
        <c:crossBetween val="midCat"/>
      </c:valAx>
      <c:valAx>
        <c:axId val="187373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7373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5344"/>
        <c:axId val="187372600"/>
      </c:scatterChart>
      <c:valAx>
        <c:axId val="18737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2600"/>
        <c:crosses val="autoZero"/>
        <c:crossBetween val="midCat"/>
      </c:valAx>
      <c:valAx>
        <c:axId val="187372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5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6128"/>
        <c:axId val="187377304"/>
      </c:scatterChart>
      <c:valAx>
        <c:axId val="18737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7304"/>
        <c:crosses val="autoZero"/>
        <c:crossBetween val="midCat"/>
      </c:valAx>
      <c:valAx>
        <c:axId val="18737730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76520"/>
        <c:axId val="187378088"/>
      </c:scatterChart>
      <c:valAx>
        <c:axId val="187376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8088"/>
        <c:crosses val="autoZero"/>
        <c:crossBetween val="midCat"/>
      </c:valAx>
      <c:valAx>
        <c:axId val="187378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76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72832"/>
        <c:axId val="188366952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367344"/>
        <c:axId val="188368128"/>
      </c:lineChart>
      <c:catAx>
        <c:axId val="18837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66952"/>
        <c:crosses val="autoZero"/>
        <c:auto val="1"/>
        <c:lblAlgn val="ctr"/>
        <c:lblOffset val="100"/>
        <c:noMultiLvlLbl val="0"/>
      </c:catAx>
      <c:valAx>
        <c:axId val="188366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2832"/>
        <c:crosses val="autoZero"/>
        <c:crossBetween val="between"/>
      </c:valAx>
      <c:valAx>
        <c:axId val="18836812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67344"/>
        <c:crosses val="max"/>
        <c:crossBetween val="between"/>
      </c:valAx>
      <c:catAx>
        <c:axId val="1883673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8368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72440"/>
        <c:axId val="188373224"/>
      </c:scatterChart>
      <c:valAx>
        <c:axId val="18837244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3224"/>
        <c:crosses val="autoZero"/>
        <c:crossBetween val="midCat"/>
      </c:valAx>
      <c:valAx>
        <c:axId val="188373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72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chart" Target="../charts/chart20.xml"/><Relationship Id="rId7" Type="http://schemas.openxmlformats.org/officeDocument/2006/relationships/image" Target="../media/image11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chart" Target="../charts/chart24.xml"/><Relationship Id="rId7" Type="http://schemas.openxmlformats.org/officeDocument/2006/relationships/image" Target="../media/image19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chart" Target="../charts/chart25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=""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="" xmlns:a16="http://schemas.microsoft.com/office/drawing/2014/main" id="{8696CF88-4D17-58E0-4547-0F4FEA49BBCA}"/>
            </a:ext>
            <a:ext uri="{147F2762-F138-4A5C-976F-8EAC2B608ADB}">
              <a16:predDERef xmlns=""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=""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10EB7F2F-3037-0F02-65F4-9470FC24037D}"/>
            </a:ext>
            <a:ext uri="{147F2762-F138-4A5C-976F-8EAC2B608ADB}">
              <a16:predDERef xmlns=""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1E1B4768-DDEF-37F2-E2F6-DF6922649F41}"/>
            </a:ext>
            <a:ext uri="{147F2762-F138-4A5C-976F-8EAC2B608ADB}">
              <a16:predDERef xmlns=""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E128D49A-3629-4BBF-9581-DB9D69B8A541}"/>
            </a:ext>
            <a:ext uri="{147F2762-F138-4A5C-976F-8EAC2B608ADB}">
              <a16:predDERef xmlns=""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4705D049-9711-4AD6-8388-EAF961A55C4C}"/>
            </a:ext>
            <a:ext uri="{147F2762-F138-4A5C-976F-8EAC2B608ADB}">
              <a16:predDERef xmlns=""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64CC32F9-70E7-407E-A2B4-7366728088AD}"/>
            </a:ext>
            <a:ext uri="{147F2762-F138-4A5C-976F-8EAC2B608ADB}">
              <a16:predDERef xmlns=""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250CC376-444D-4A69-B396-08361C76F808}"/>
            </a:ext>
            <a:ext uri="{147F2762-F138-4A5C-976F-8EAC2B608ADB}">
              <a16:predDERef xmlns=""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C15CA873-26E1-4AC6-B585-4EB97F3C73DC}"/>
            </a:ext>
            <a:ext uri="{147F2762-F138-4A5C-976F-8EAC2B608ADB}">
              <a16:predDERef xmlns=""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A60D0BB-D2DB-4D29-AC4E-706AD0B20703}"/>
            </a:ext>
            <a:ext uri="{147F2762-F138-4A5C-976F-8EAC2B608ADB}">
              <a16:predDERef xmlns=""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E18AE237-AB9B-443B-9AC6-0A486D849990}"/>
            </a:ext>
            <a:ext uri="{147F2762-F138-4A5C-976F-8EAC2B608ADB}">
              <a16:predDERef xmlns=""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="" xmlns:a16="http://schemas.microsoft.com/office/drawing/2014/main" id="{D877167B-41EB-4438-B309-3687EC1249E9}"/>
            </a:ext>
            <a:ext uri="{6ECC49D1-AA05-4338-93AA-15A1B29DFB0A}">
              <asl:scriptLink xmlns=""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182873</xdr:colOff>
      <xdr:row>50</xdr:row>
      <xdr:rowOff>12235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666530</xdr:colOff>
      <xdr:row>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=""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=""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=""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=""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=""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=""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=""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58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58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58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58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58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58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58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58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58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59" t="s">
        <v>113</v>
      </c>
      <c r="D243" s="360"/>
      <c r="E243" s="360"/>
      <c r="F243" s="360"/>
      <c r="G243" s="361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59" t="s">
        <v>123</v>
      </c>
      <c r="D247" s="360"/>
      <c r="E247" s="360"/>
      <c r="F247" s="360"/>
      <c r="G247" s="361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62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63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58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58"/>
      <c r="B264" s="158" t="s">
        <v>136</v>
      </c>
      <c r="L264" s="149"/>
    </row>
    <row r="265" spans="1:12" ht="13.5" thickBot="1">
      <c r="A265" s="358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64" t="s">
        <v>182</v>
      </c>
      <c r="C2" s="365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8" t="s">
        <v>185</v>
      </c>
      <c r="D12" s="369"/>
      <c r="E12" s="369"/>
      <c r="F12" s="369"/>
      <c r="G12" s="370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68" t="s">
        <v>189</v>
      </c>
      <c r="P12" s="369"/>
      <c r="Q12" s="369"/>
      <c r="R12" s="369"/>
      <c r="S12" s="370"/>
      <c r="T12" s="1" t="s">
        <v>186</v>
      </c>
      <c r="U12" s="1" t="s">
        <v>187</v>
      </c>
      <c r="V12" s="1" t="s">
        <v>188</v>
      </c>
    </row>
    <row r="13" spans="2:22">
      <c r="B13" s="366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66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67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67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7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67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7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67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7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67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7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67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7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67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7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67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7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67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7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71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75" t="s">
        <v>191</v>
      </c>
      <c r="C23" s="65"/>
      <c r="D23" s="64" t="s">
        <v>186</v>
      </c>
      <c r="E23" s="64"/>
      <c r="F23" s="64"/>
      <c r="G23" s="64"/>
      <c r="K23" s="373"/>
      <c r="N23" s="374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75"/>
      <c r="C24" s="66" t="s">
        <v>193</v>
      </c>
      <c r="D24" s="1">
        <f>(F25/2)/(F26)</f>
        <v>0.13333333333333333</v>
      </c>
      <c r="K24" s="373"/>
      <c r="N24" s="375"/>
      <c r="O24" s="66" t="s">
        <v>193</v>
      </c>
      <c r="P24" s="1" t="s">
        <v>194</v>
      </c>
    </row>
    <row r="25" spans="2:22">
      <c r="B25" s="375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73"/>
      <c r="N25" s="375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75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73"/>
      <c r="N26" s="375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76" t="s">
        <v>200</v>
      </c>
      <c r="D27" s="376"/>
      <c r="E27" s="376"/>
      <c r="F27" s="376"/>
      <c r="G27" s="376"/>
      <c r="L27" s="63"/>
      <c r="M27" s="63"/>
      <c r="N27" s="2" t="s">
        <v>199</v>
      </c>
      <c r="O27" s="376" t="s">
        <v>200</v>
      </c>
      <c r="P27" s="376"/>
      <c r="Q27" s="376"/>
      <c r="R27" s="376"/>
      <c r="S27" s="376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66" t="s">
        <v>203</v>
      </c>
      <c r="C31" s="364"/>
      <c r="D31" s="377"/>
      <c r="E31" s="377"/>
      <c r="F31" s="377"/>
      <c r="G31" s="365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7"/>
      <c r="C32" s="378"/>
      <c r="D32" s="372"/>
      <c r="E32" s="372"/>
      <c r="F32" s="372"/>
      <c r="G32" s="379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7"/>
      <c r="C33" s="378"/>
      <c r="D33" s="372"/>
      <c r="E33" s="372"/>
      <c r="F33" s="372"/>
      <c r="G33" s="379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7"/>
      <c r="C34" s="378"/>
      <c r="D34" s="372"/>
      <c r="E34" s="372"/>
      <c r="F34" s="372"/>
      <c r="G34" s="379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7"/>
      <c r="C35" s="378"/>
      <c r="D35" s="372"/>
      <c r="E35" s="372"/>
      <c r="F35" s="372"/>
      <c r="G35" s="379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7"/>
      <c r="C36" s="378"/>
      <c r="D36" s="372"/>
      <c r="E36" s="372"/>
      <c r="F36" s="372"/>
      <c r="G36" s="379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7"/>
      <c r="C37" s="378"/>
      <c r="D37" s="372"/>
      <c r="E37" s="372"/>
      <c r="F37" s="372"/>
      <c r="G37" s="379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7"/>
      <c r="C38" s="378"/>
      <c r="D38" s="372"/>
      <c r="E38" s="372"/>
      <c r="F38" s="372"/>
      <c r="G38" s="379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67"/>
      <c r="C39" s="378"/>
      <c r="D39" s="372"/>
      <c r="E39" s="372"/>
      <c r="F39" s="372"/>
      <c r="G39" s="379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1"/>
      <c r="C40" s="380"/>
      <c r="D40" s="381"/>
      <c r="E40" s="381"/>
      <c r="F40" s="381"/>
      <c r="G40" s="382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76" t="s">
        <v>191</v>
      </c>
      <c r="C41" s="1" t="s">
        <v>204</v>
      </c>
      <c r="H41" s="12"/>
    </row>
    <row r="42" spans="2:24">
      <c r="B42" s="372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72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72" t="s">
        <v>206</v>
      </c>
      <c r="D44" s="372"/>
      <c r="E44" s="372"/>
      <c r="F44" s="372"/>
      <c r="G44" s="372"/>
    </row>
    <row r="45" spans="2:24">
      <c r="B45" s="372" t="s">
        <v>201</v>
      </c>
    </row>
    <row r="46" spans="2:24">
      <c r="B46" s="372"/>
    </row>
    <row r="47" spans="2:24" ht="15" thickBot="1">
      <c r="B47" s="372"/>
    </row>
    <row r="48" spans="2:24" ht="15" customHeight="1" thickBot="1">
      <c r="K48" s="383" t="s">
        <v>207</v>
      </c>
      <c r="L48" s="385"/>
      <c r="W48" s="373" t="s">
        <v>207</v>
      </c>
      <c r="X48" s="373"/>
    </row>
    <row r="49" spans="2:24" ht="15" thickBot="1">
      <c r="B49" s="8" t="s">
        <v>184</v>
      </c>
      <c r="C49" s="383" t="s">
        <v>208</v>
      </c>
      <c r="D49" s="384"/>
      <c r="E49" s="384"/>
      <c r="F49" s="384"/>
      <c r="G49" s="385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83" t="s">
        <v>212</v>
      </c>
      <c r="P49" s="384"/>
      <c r="Q49" s="384"/>
      <c r="R49" s="384"/>
      <c r="S49" s="385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66" t="s">
        <v>214</v>
      </c>
      <c r="C50" s="364"/>
      <c r="D50" s="377"/>
      <c r="E50" s="377"/>
      <c r="F50" s="377"/>
      <c r="G50" s="365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66" t="s">
        <v>214</v>
      </c>
      <c r="O50" s="364"/>
      <c r="P50" s="377"/>
      <c r="Q50" s="377"/>
      <c r="R50" s="377"/>
      <c r="S50" s="365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7"/>
      <c r="C51" s="378"/>
      <c r="D51" s="372"/>
      <c r="E51" s="372"/>
      <c r="F51" s="372"/>
      <c r="G51" s="379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67"/>
      <c r="O51" s="378"/>
      <c r="P51" s="372"/>
      <c r="Q51" s="372"/>
      <c r="R51" s="372"/>
      <c r="S51" s="379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7"/>
      <c r="C52" s="378"/>
      <c r="D52" s="372"/>
      <c r="E52" s="372"/>
      <c r="F52" s="372"/>
      <c r="G52" s="379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67"/>
      <c r="O52" s="378"/>
      <c r="P52" s="372"/>
      <c r="Q52" s="372"/>
      <c r="R52" s="372"/>
      <c r="S52" s="379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7"/>
      <c r="C53" s="378"/>
      <c r="D53" s="372"/>
      <c r="E53" s="372"/>
      <c r="F53" s="372"/>
      <c r="G53" s="379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67"/>
      <c r="O53" s="378"/>
      <c r="P53" s="372"/>
      <c r="Q53" s="372"/>
      <c r="R53" s="372"/>
      <c r="S53" s="379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7"/>
      <c r="C54" s="378"/>
      <c r="D54" s="372"/>
      <c r="E54" s="372"/>
      <c r="F54" s="372"/>
      <c r="G54" s="379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67"/>
      <c r="O54" s="378"/>
      <c r="P54" s="372"/>
      <c r="Q54" s="372"/>
      <c r="R54" s="372"/>
      <c r="S54" s="379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7"/>
      <c r="C55" s="378"/>
      <c r="D55" s="372"/>
      <c r="E55" s="372"/>
      <c r="F55" s="372"/>
      <c r="G55" s="379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67"/>
      <c r="O55" s="378"/>
      <c r="P55" s="372"/>
      <c r="Q55" s="372"/>
      <c r="R55" s="372"/>
      <c r="S55" s="379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7"/>
      <c r="C56" s="378"/>
      <c r="D56" s="372"/>
      <c r="E56" s="372"/>
      <c r="F56" s="372"/>
      <c r="G56" s="379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67"/>
      <c r="O56" s="378"/>
      <c r="P56" s="372"/>
      <c r="Q56" s="372"/>
      <c r="R56" s="372"/>
      <c r="S56" s="379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7"/>
      <c r="C57" s="378"/>
      <c r="D57" s="372"/>
      <c r="E57" s="372"/>
      <c r="F57" s="372"/>
      <c r="G57" s="379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67"/>
      <c r="O57" s="378"/>
      <c r="P57" s="372"/>
      <c r="Q57" s="372"/>
      <c r="R57" s="372"/>
      <c r="S57" s="379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7"/>
      <c r="C58" s="378"/>
      <c r="D58" s="372"/>
      <c r="E58" s="372"/>
      <c r="F58" s="372"/>
      <c r="G58" s="379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67"/>
      <c r="O58" s="378"/>
      <c r="P58" s="372"/>
      <c r="Q58" s="372"/>
      <c r="R58" s="372"/>
      <c r="S58" s="379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1"/>
      <c r="C59" s="386"/>
      <c r="D59" s="387"/>
      <c r="E59" s="387"/>
      <c r="F59" s="387"/>
      <c r="G59" s="388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71"/>
      <c r="O59" s="380"/>
      <c r="P59" s="381"/>
      <c r="Q59" s="381"/>
      <c r="R59" s="381"/>
      <c r="S59" s="382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9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94" t="s">
        <v>218</v>
      </c>
      <c r="I60" s="395"/>
      <c r="J60" s="396"/>
      <c r="K60" s="81" t="s">
        <v>219</v>
      </c>
      <c r="L60" s="57">
        <f>K67^2/K68</f>
        <v>1.1707317073170729</v>
      </c>
      <c r="N60" s="376" t="s">
        <v>191</v>
      </c>
      <c r="O60" s="1" t="s">
        <v>220</v>
      </c>
    </row>
    <row r="61" spans="2:24" ht="16.149999999999999" customHeight="1" thickBot="1">
      <c r="B61" s="390"/>
      <c r="C61" s="80" t="s">
        <v>221</v>
      </c>
      <c r="D61" s="82">
        <f>-I50+D60*H50</f>
        <v>23.499999999999979</v>
      </c>
      <c r="E61" s="77"/>
      <c r="F61" s="61"/>
      <c r="G61" s="62"/>
      <c r="H61" s="397"/>
      <c r="I61" s="398"/>
      <c r="J61" s="399"/>
      <c r="K61" s="80"/>
      <c r="L61" s="62"/>
      <c r="N61" s="376"/>
    </row>
    <row r="62" spans="2:24" ht="27.6" customHeight="1">
      <c r="B62" s="390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76"/>
    </row>
    <row r="63" spans="2:24" ht="27.6" customHeight="1">
      <c r="B63" s="390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76"/>
    </row>
    <row r="64" spans="2:24">
      <c r="B64" s="391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76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92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72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92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72"/>
    </row>
    <row r="67" spans="2:19">
      <c r="B67" s="392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72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93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72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76" t="s">
        <v>237</v>
      </c>
      <c r="D69" s="376"/>
      <c r="E69" s="376"/>
      <c r="F69" s="376"/>
      <c r="G69" s="376"/>
      <c r="N69" s="2" t="s">
        <v>199</v>
      </c>
      <c r="O69" s="372" t="s">
        <v>238</v>
      </c>
      <c r="P69" s="372"/>
      <c r="Q69" s="372"/>
      <c r="R69" s="372"/>
      <c r="S69" s="372"/>
    </row>
    <row r="70" spans="2:19">
      <c r="B70" s="372" t="s">
        <v>201</v>
      </c>
      <c r="C70" s="65"/>
      <c r="D70" s="64"/>
      <c r="E70" s="64"/>
      <c r="F70" s="64"/>
      <c r="G70" s="93"/>
      <c r="N70" s="372" t="s">
        <v>201</v>
      </c>
    </row>
    <row r="71" spans="2:19">
      <c r="B71" s="372"/>
      <c r="C71" s="66"/>
      <c r="G71" s="94"/>
      <c r="N71" s="372"/>
    </row>
    <row r="72" spans="2:19">
      <c r="B72" s="372"/>
      <c r="C72" s="67"/>
      <c r="D72" s="68"/>
      <c r="E72" s="68"/>
      <c r="F72" s="68"/>
      <c r="G72" s="95"/>
      <c r="N72" s="372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66" t="s">
        <v>246</v>
      </c>
      <c r="C88" s="364"/>
      <c r="D88" s="377"/>
      <c r="E88" s="377"/>
      <c r="F88" s="377"/>
      <c r="G88" s="365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7"/>
      <c r="C89" s="378"/>
      <c r="D89" s="372"/>
      <c r="E89" s="372"/>
      <c r="F89" s="372"/>
      <c r="G89" s="379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7"/>
      <c r="C90" s="378"/>
      <c r="D90" s="372"/>
      <c r="E90" s="372"/>
      <c r="F90" s="372"/>
      <c r="G90" s="379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7"/>
      <c r="C91" s="378"/>
      <c r="D91" s="372"/>
      <c r="E91" s="372"/>
      <c r="F91" s="372"/>
      <c r="G91" s="379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7"/>
      <c r="C92" s="378"/>
      <c r="D92" s="372"/>
      <c r="E92" s="372"/>
      <c r="F92" s="372"/>
      <c r="G92" s="379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7"/>
      <c r="C93" s="378"/>
      <c r="D93" s="372"/>
      <c r="E93" s="372"/>
      <c r="F93" s="372"/>
      <c r="G93" s="379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7"/>
      <c r="C94" s="378"/>
      <c r="D94" s="372"/>
      <c r="E94" s="372"/>
      <c r="F94" s="372"/>
      <c r="G94" s="379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7"/>
      <c r="C95" s="378"/>
      <c r="D95" s="372"/>
      <c r="E95" s="372"/>
      <c r="F95" s="372"/>
      <c r="G95" s="379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7"/>
      <c r="C96" s="378"/>
      <c r="D96" s="372"/>
      <c r="E96" s="372"/>
      <c r="F96" s="372"/>
      <c r="G96" s="379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1"/>
      <c r="C97" s="380"/>
      <c r="D97" s="381"/>
      <c r="E97" s="381"/>
      <c r="F97" s="381"/>
      <c r="G97" s="382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76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72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72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72" t="s">
        <v>249</v>
      </c>
      <c r="D101" s="372"/>
      <c r="E101" s="372"/>
      <c r="F101" s="372"/>
      <c r="G101" s="372"/>
    </row>
    <row r="102" spans="2:10">
      <c r="B102" s="372" t="s">
        <v>201</v>
      </c>
    </row>
    <row r="103" spans="2:10">
      <c r="B103" s="372"/>
    </row>
    <row r="104" spans="2:10">
      <c r="B104" s="372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03" t="s">
        <v>252</v>
      </c>
      <c r="U15" s="404"/>
      <c r="V15" s="405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06" t="s">
        <v>252</v>
      </c>
      <c r="U23" s="407"/>
      <c r="V23" s="408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09" t="s">
        <v>721</v>
      </c>
      <c r="L33" s="410"/>
      <c r="M33" s="410"/>
      <c r="N33" s="410"/>
      <c r="O33" s="410"/>
      <c r="P33" s="410"/>
      <c r="Q33" s="410"/>
      <c r="R33" s="410"/>
      <c r="S33" s="411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09" t="s">
        <v>722</v>
      </c>
      <c r="L44" s="410"/>
      <c r="M44" s="410"/>
      <c r="N44" s="410"/>
      <c r="O44" s="410"/>
      <c r="P44" s="410"/>
      <c r="Q44" s="410"/>
      <c r="R44" s="410"/>
      <c r="S44" s="411"/>
    </row>
    <row r="45" spans="2:19" ht="15" thickBot="1">
      <c r="B45" s="400" t="s">
        <v>311</v>
      </c>
      <c r="C45" s="401"/>
      <c r="D45" s="401"/>
      <c r="E45" s="401"/>
      <c r="F45" s="402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M199"/>
  <sheetViews>
    <sheetView tabSelected="1" view="pageBreakPreview" topLeftCell="A40" zoomScale="85" zoomScaleNormal="100" zoomScaleSheetLayoutView="85" workbookViewId="0">
      <selection activeCell="I49" sqref="I49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8.75" customWidth="1"/>
    <col min="15" max="15" width="4.125" customWidth="1"/>
    <col min="16" max="16" width="10.375" customWidth="1"/>
  </cols>
  <sheetData>
    <row r="2" spans="2:13" ht="20.45" customHeight="1">
      <c r="E2" s="354" t="s">
        <v>723</v>
      </c>
      <c r="F2" s="351"/>
    </row>
    <row r="3" spans="2:13">
      <c r="E3" s="412" t="s">
        <v>738</v>
      </c>
      <c r="F3" s="412"/>
      <c r="G3" s="412"/>
      <c r="H3" s="412"/>
    </row>
    <row r="4" spans="2:13">
      <c r="E4" s="412"/>
      <c r="F4" s="412"/>
      <c r="G4" s="412"/>
      <c r="H4" s="412"/>
    </row>
    <row r="6" spans="2:13">
      <c r="B6" t="s">
        <v>706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687</v>
      </c>
    </row>
    <row r="12" spans="2:13" hidden="1" outlineLevel="1">
      <c r="B12" t="s">
        <v>703</v>
      </c>
    </row>
    <row r="13" spans="2:13" hidden="1" outlineLevel="1">
      <c r="B13" t="s">
        <v>702</v>
      </c>
    </row>
    <row r="14" spans="2:13" hidden="1" outlineLevel="1"/>
    <row r="15" spans="2:13" hidden="1" outlineLevel="1">
      <c r="B15" t="s">
        <v>704</v>
      </c>
    </row>
    <row r="16" spans="2:13" collapsed="1">
      <c r="M16" t="s">
        <v>767</v>
      </c>
    </row>
    <row r="17" spans="2:10" ht="15">
      <c r="B17" s="416" t="s">
        <v>757</v>
      </c>
      <c r="C17" s="186"/>
      <c r="D17" s="186"/>
      <c r="E17" s="419"/>
      <c r="H17" t="s">
        <v>744</v>
      </c>
      <c r="J17" t="s">
        <v>745</v>
      </c>
    </row>
    <row r="18" spans="2:10" ht="15">
      <c r="B18" t="s">
        <v>726</v>
      </c>
      <c r="D18" s="14">
        <v>1790</v>
      </c>
      <c r="E18" t="s">
        <v>314</v>
      </c>
      <c r="F18" s="417">
        <v>0.6</v>
      </c>
      <c r="G18" t="s">
        <v>739</v>
      </c>
      <c r="H18">
        <v>4400</v>
      </c>
      <c r="I18" t="s">
        <v>740</v>
      </c>
      <c r="J18" s="423">
        <v>1.7999999999999999E-2</v>
      </c>
    </row>
    <row r="19" spans="2:10">
      <c r="B19" t="s">
        <v>727</v>
      </c>
      <c r="D19" s="14">
        <v>1090</v>
      </c>
      <c r="E19" t="s">
        <v>314</v>
      </c>
      <c r="F19" s="417">
        <f>1-F18</f>
        <v>0.4</v>
      </c>
      <c r="G19" t="s">
        <v>774</v>
      </c>
      <c r="I19" t="s">
        <v>775</v>
      </c>
    </row>
    <row r="20" spans="2:10" ht="15">
      <c r="B20" t="s">
        <v>758</v>
      </c>
      <c r="D20" s="190">
        <f>(H18/J18)/1000</f>
        <v>244.44444444444446</v>
      </c>
      <c r="E20" t="s">
        <v>768</v>
      </c>
      <c r="F20" s="357"/>
      <c r="G20" t="s">
        <v>742</v>
      </c>
      <c r="H20">
        <v>1.34</v>
      </c>
      <c r="I20" t="s">
        <v>743</v>
      </c>
      <c r="J20" s="424">
        <v>1.9E-2</v>
      </c>
    </row>
    <row r="21" spans="2:10" ht="15">
      <c r="B21" t="s">
        <v>759</v>
      </c>
      <c r="D21" s="190">
        <f>(H21/J21)/1000</f>
        <v>0.155</v>
      </c>
      <c r="E21" t="s">
        <v>768</v>
      </c>
      <c r="G21" t="s">
        <v>741</v>
      </c>
      <c r="H21">
        <v>4.34</v>
      </c>
      <c r="I21" t="s">
        <v>755</v>
      </c>
      <c r="J21" s="424">
        <f>2.8/100</f>
        <v>2.7999999999999997E-2</v>
      </c>
    </row>
    <row r="22" spans="2:10" ht="15">
      <c r="D22" s="190"/>
      <c r="G22" t="s">
        <v>749</v>
      </c>
      <c r="H22">
        <v>12.39</v>
      </c>
      <c r="I22" t="s">
        <v>756</v>
      </c>
      <c r="J22" s="424">
        <f>0.4/100</f>
        <v>4.0000000000000001E-3</v>
      </c>
    </row>
    <row r="23" spans="2:10">
      <c r="H23" s="419"/>
    </row>
    <row r="24" spans="2:10">
      <c r="B24" s="186" t="s">
        <v>737</v>
      </c>
      <c r="C24" s="186"/>
      <c r="D24" s="186"/>
      <c r="G24" s="186" t="s">
        <v>746</v>
      </c>
      <c r="H24" s="186"/>
    </row>
    <row r="25" spans="2:10">
      <c r="B25" t="s">
        <v>728</v>
      </c>
      <c r="D25">
        <f>D18*(F18)+D19*(F19)</f>
        <v>1510</v>
      </c>
      <c r="E25" t="s">
        <v>314</v>
      </c>
      <c r="G25" s="418" t="s">
        <v>750</v>
      </c>
      <c r="H25" s="281">
        <f>H26/(H27+H26)</f>
        <v>0.8771929824561403</v>
      </c>
    </row>
    <row r="26" spans="2:10">
      <c r="B26" t="s">
        <v>776</v>
      </c>
      <c r="D26">
        <f>D20*F18+D21*F19</f>
        <v>146.72866666666667</v>
      </c>
      <c r="E26" t="s">
        <v>768</v>
      </c>
      <c r="G26" s="418" t="s">
        <v>747</v>
      </c>
      <c r="H26" s="281">
        <v>100</v>
      </c>
      <c r="I26" t="s">
        <v>751</v>
      </c>
    </row>
    <row r="27" spans="2:10">
      <c r="B27" t="s">
        <v>760</v>
      </c>
      <c r="D27">
        <f>IF(J20=J18,C32,IF(J20&lt;J18,B32,D32))</f>
        <v>2641.116</v>
      </c>
      <c r="E27" t="s">
        <v>744</v>
      </c>
      <c r="G27" s="418" t="s">
        <v>748</v>
      </c>
      <c r="H27" s="281">
        <v>14</v>
      </c>
      <c r="I27" t="s">
        <v>751</v>
      </c>
    </row>
    <row r="28" spans="2:10">
      <c r="B28" t="s">
        <v>761</v>
      </c>
      <c r="D28">
        <f>H18*F18+H21*F19</f>
        <v>2641.7359999999999</v>
      </c>
      <c r="E28" t="s">
        <v>744</v>
      </c>
      <c r="G28" s="420" t="s">
        <v>752</v>
      </c>
      <c r="H28" s="421">
        <v>1000</v>
      </c>
      <c r="I28" s="263" t="s">
        <v>751</v>
      </c>
      <c r="J28" s="263"/>
    </row>
    <row r="29" spans="2:10" ht="15">
      <c r="B29" t="s">
        <v>762</v>
      </c>
      <c r="D29">
        <f>H22</f>
        <v>12.39</v>
      </c>
      <c r="E29" t="s">
        <v>744</v>
      </c>
      <c r="H29" s="422">
        <f>H28*H25</f>
        <v>877.19298245614027</v>
      </c>
      <c r="I29" t="s">
        <v>753</v>
      </c>
    </row>
    <row r="30" spans="2:10" ht="15">
      <c r="H30" s="422">
        <f>H28-H29</f>
        <v>122.80701754385973</v>
      </c>
      <c r="I30" t="s">
        <v>754</v>
      </c>
    </row>
    <row r="31" spans="2:10">
      <c r="B31" t="s">
        <v>773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424">
        <f>J20</f>
        <v>1.9E-2</v>
      </c>
      <c r="C33" s="426">
        <f>F18*J18+F19*J20</f>
        <v>1.84E-2</v>
      </c>
      <c r="D33" s="424">
        <f>J18</f>
        <v>1.7999999999999999E-2</v>
      </c>
    </row>
    <row r="34" spans="2:4">
      <c r="B34" t="s">
        <v>769</v>
      </c>
      <c r="C34" t="s">
        <v>770</v>
      </c>
      <c r="D34" t="s">
        <v>771</v>
      </c>
    </row>
    <row r="35" spans="2:4">
      <c r="B35" t="s">
        <v>254</v>
      </c>
      <c r="C35" t="s">
        <v>255</v>
      </c>
    </row>
    <row r="36" spans="2:4">
      <c r="B36" s="425">
        <v>0</v>
      </c>
      <c r="C36">
        <v>0</v>
      </c>
      <c r="D36" t="s">
        <v>763</v>
      </c>
    </row>
    <row r="37" spans="2:4">
      <c r="B37" s="425">
        <f>J18</f>
        <v>1.7999999999999999E-2</v>
      </c>
      <c r="C37">
        <f>H18</f>
        <v>4400</v>
      </c>
    </row>
    <row r="38" spans="2:4">
      <c r="B38" s="425">
        <v>0</v>
      </c>
      <c r="C38">
        <v>0</v>
      </c>
      <c r="D38" t="s">
        <v>764</v>
      </c>
    </row>
    <row r="39" spans="2:4">
      <c r="B39" s="425">
        <f>J20</f>
        <v>1.9E-2</v>
      </c>
      <c r="C39">
        <f>H20</f>
        <v>1.34</v>
      </c>
      <c r="D39" t="s">
        <v>765</v>
      </c>
    </row>
    <row r="40" spans="2:4">
      <c r="B40" s="425">
        <f>J21</f>
        <v>2.7999999999999997E-2</v>
      </c>
      <c r="C40">
        <f>H21</f>
        <v>4.34</v>
      </c>
      <c r="D40" t="s">
        <v>766</v>
      </c>
    </row>
    <row r="41" spans="2:4">
      <c r="B41" s="425">
        <v>0</v>
      </c>
      <c r="C41">
        <v>0</v>
      </c>
      <c r="D41" t="s">
        <v>772</v>
      </c>
    </row>
    <row r="42" spans="2:4">
      <c r="B42" s="425">
        <f>IF(J20=J18,C33,IF(J20&lt;J18,B33,D33))</f>
        <v>1.7999999999999999E-2</v>
      </c>
      <c r="C42">
        <f>D27</f>
        <v>2641.116</v>
      </c>
    </row>
    <row r="49" spans="2:6">
      <c r="B49" s="186" t="s">
        <v>777</v>
      </c>
      <c r="C49" s="186"/>
      <c r="D49" s="186"/>
    </row>
    <row r="63" spans="2:6">
      <c r="B63" s="186" t="s">
        <v>707</v>
      </c>
      <c r="C63" s="186"/>
      <c r="D63" s="186"/>
    </row>
    <row r="64" spans="2:6">
      <c r="B64" t="s">
        <v>205</v>
      </c>
      <c r="C64">
        <v>100</v>
      </c>
      <c r="D64" t="s">
        <v>196</v>
      </c>
      <c r="F64" t="s">
        <v>715</v>
      </c>
    </row>
    <row r="65" spans="2:11">
      <c r="B65" t="s">
        <v>712</v>
      </c>
      <c r="C65">
        <f>C66+2*2</f>
        <v>77.024999999999991</v>
      </c>
      <c r="D65" t="s">
        <v>227</v>
      </c>
    </row>
    <row r="66" spans="2:11">
      <c r="B66" t="s">
        <v>713</v>
      </c>
      <c r="C66">
        <f>25.4*2.875</f>
        <v>73.024999999999991</v>
      </c>
      <c r="D66" t="s">
        <v>227</v>
      </c>
    </row>
    <row r="67" spans="2:11">
      <c r="B67" t="s">
        <v>714</v>
      </c>
      <c r="C67">
        <f>(C65+C66)*0.5</f>
        <v>75.024999999999991</v>
      </c>
      <c r="D67" t="s">
        <v>227</v>
      </c>
    </row>
    <row r="68" spans="2:11">
      <c r="B68" t="s">
        <v>323</v>
      </c>
      <c r="D68" t="s">
        <v>227</v>
      </c>
    </row>
    <row r="69" spans="2:11">
      <c r="B69" t="s">
        <v>709</v>
      </c>
      <c r="D69" t="s">
        <v>711</v>
      </c>
      <c r="K69" t="s">
        <v>88</v>
      </c>
    </row>
    <row r="70" spans="2:11">
      <c r="B70">
        <v>6</v>
      </c>
      <c r="D70">
        <v>0</v>
      </c>
    </row>
    <row r="71" spans="2:11">
      <c r="B71">
        <f>2.5*9.81</f>
        <v>24.525000000000002</v>
      </c>
      <c r="D71">
        <v>0</v>
      </c>
    </row>
    <row r="73" spans="2:11">
      <c r="B73" t="s">
        <v>708</v>
      </c>
      <c r="D73" t="s">
        <v>711</v>
      </c>
    </row>
    <row r="74" spans="2:11">
      <c r="B74">
        <v>20</v>
      </c>
      <c r="D74">
        <v>10</v>
      </c>
    </row>
    <row r="75" spans="2:11">
      <c r="B75">
        <v>50</v>
      </c>
      <c r="D75">
        <v>70</v>
      </c>
      <c r="F75" t="s">
        <v>88</v>
      </c>
    </row>
    <row r="77" spans="2:11">
      <c r="B77" t="s">
        <v>710</v>
      </c>
      <c r="F77" t="s">
        <v>716</v>
      </c>
    </row>
    <row r="86" spans="2:2">
      <c r="B86" t="s">
        <v>724</v>
      </c>
    </row>
    <row r="101" spans="2:2">
      <c r="B101" t="s">
        <v>718</v>
      </c>
    </row>
    <row r="116" spans="2:6">
      <c r="B116" t="s">
        <v>717</v>
      </c>
    </row>
    <row r="128" spans="2:6">
      <c r="B128" s="186" t="s">
        <v>725</v>
      </c>
      <c r="C128" s="186"/>
      <c r="D128" s="186"/>
      <c r="E128" s="186"/>
      <c r="F128" s="186"/>
    </row>
    <row r="129" spans="2:6">
      <c r="D129" s="14"/>
      <c r="F129" s="356"/>
    </row>
    <row r="130" spans="2:6">
      <c r="D130" s="14"/>
      <c r="F130" s="356"/>
    </row>
    <row r="131" spans="2:6">
      <c r="F131" s="357"/>
    </row>
    <row r="137" spans="2:6">
      <c r="B137" t="s">
        <v>729</v>
      </c>
      <c r="E137" t="s">
        <v>197</v>
      </c>
    </row>
    <row r="138" spans="2:6">
      <c r="B138" t="s">
        <v>730</v>
      </c>
      <c r="E138" t="s">
        <v>197</v>
      </c>
    </row>
    <row r="139" spans="2:6">
      <c r="B139" t="s">
        <v>731</v>
      </c>
      <c r="E139" t="s">
        <v>197</v>
      </c>
    </row>
    <row r="140" spans="2:6">
      <c r="B140" t="s">
        <v>732</v>
      </c>
      <c r="E140" t="s">
        <v>223</v>
      </c>
    </row>
    <row r="141" spans="2:6">
      <c r="B141" t="s">
        <v>733</v>
      </c>
      <c r="E141" t="s">
        <v>734</v>
      </c>
    </row>
    <row r="142" spans="2:6">
      <c r="B142" t="s">
        <v>735</v>
      </c>
    </row>
    <row r="143" spans="2:6">
      <c r="B143" t="s">
        <v>736</v>
      </c>
    </row>
    <row r="147" spans="2:2">
      <c r="B147" t="s">
        <v>719</v>
      </c>
    </row>
    <row r="163" spans="2:9">
      <c r="B163" t="s">
        <v>720</v>
      </c>
    </row>
    <row r="175" spans="2:9" ht="15">
      <c r="B175" s="291" t="s">
        <v>688</v>
      </c>
      <c r="C175" s="186"/>
      <c r="D175" s="186"/>
      <c r="E175" s="186"/>
      <c r="F175" s="186"/>
      <c r="G175" s="186"/>
      <c r="H175" s="186"/>
      <c r="I175" s="186"/>
    </row>
    <row r="176" spans="2:9" ht="28.5">
      <c r="B176" t="s">
        <v>691</v>
      </c>
      <c r="C176" t="s">
        <v>689</v>
      </c>
      <c r="D176" t="s">
        <v>692</v>
      </c>
      <c r="E176" t="s">
        <v>693</v>
      </c>
      <c r="F176" s="353" t="s">
        <v>697</v>
      </c>
      <c r="G176" t="s">
        <v>690</v>
      </c>
      <c r="H176" t="s">
        <v>695</v>
      </c>
      <c r="I176" t="s">
        <v>696</v>
      </c>
    </row>
    <row r="177" spans="2:9">
      <c r="B177">
        <v>2</v>
      </c>
      <c r="C177">
        <v>2.375</v>
      </c>
      <c r="D177">
        <f>C177-2*E177</f>
        <v>2.0670000000000002</v>
      </c>
      <c r="E177">
        <v>0.154</v>
      </c>
      <c r="F177" t="s">
        <v>698</v>
      </c>
      <c r="G177">
        <f>C177*25.4</f>
        <v>60.324999999999996</v>
      </c>
      <c r="H177">
        <f t="shared" ref="H177:I177" si="0">D177*25.4</f>
        <v>52.501800000000003</v>
      </c>
      <c r="I177">
        <f t="shared" si="0"/>
        <v>3.9115999999999995</v>
      </c>
    </row>
    <row r="178" spans="2:9">
      <c r="B178">
        <v>2</v>
      </c>
      <c r="C178">
        <v>2.375</v>
      </c>
      <c r="D178">
        <f t="shared" ref="D178:D186" si="1">C178-2*E178</f>
        <v>1.9390000000000001</v>
      </c>
      <c r="E178">
        <v>0.218</v>
      </c>
      <c r="F178" t="s">
        <v>699</v>
      </c>
      <c r="G178">
        <f t="shared" ref="G178:G186" si="2">C178*25.4</f>
        <v>60.324999999999996</v>
      </c>
      <c r="H178">
        <f t="shared" ref="H178:H186" si="3">D178*25.4</f>
        <v>49.250599999999999</v>
      </c>
      <c r="I178">
        <f t="shared" ref="I178:I186" si="4">E178*25.4</f>
        <v>5.5371999999999995</v>
      </c>
    </row>
    <row r="179" spans="2:9">
      <c r="B179">
        <v>2.5</v>
      </c>
      <c r="C179">
        <v>2.875</v>
      </c>
      <c r="D179">
        <f t="shared" si="1"/>
        <v>2.4689999999999999</v>
      </c>
      <c r="E179">
        <v>0.20300000000000001</v>
      </c>
      <c r="F179" t="s">
        <v>698</v>
      </c>
      <c r="G179">
        <f t="shared" si="2"/>
        <v>73.024999999999991</v>
      </c>
      <c r="H179">
        <f t="shared" si="3"/>
        <v>62.712599999999995</v>
      </c>
      <c r="I179">
        <f t="shared" si="4"/>
        <v>5.1562000000000001</v>
      </c>
    </row>
    <row r="180" spans="2:9">
      <c r="B180">
        <v>2.5</v>
      </c>
      <c r="C180">
        <v>2.875</v>
      </c>
      <c r="D180">
        <f t="shared" si="1"/>
        <v>2.323</v>
      </c>
      <c r="E180">
        <v>0.27600000000000002</v>
      </c>
      <c r="F180" t="s">
        <v>699</v>
      </c>
      <c r="G180">
        <f t="shared" si="2"/>
        <v>73.024999999999991</v>
      </c>
      <c r="H180">
        <f t="shared" si="3"/>
        <v>59.004199999999997</v>
      </c>
      <c r="I180">
        <f t="shared" si="4"/>
        <v>7.0104000000000006</v>
      </c>
    </row>
    <row r="181" spans="2:9">
      <c r="B181">
        <v>3</v>
      </c>
      <c r="C181">
        <v>3.5</v>
      </c>
      <c r="D181">
        <f t="shared" si="1"/>
        <v>3.0680000000000001</v>
      </c>
      <c r="E181">
        <v>0.216</v>
      </c>
      <c r="F181" t="s">
        <v>698</v>
      </c>
      <c r="G181">
        <f t="shared" si="2"/>
        <v>88.899999999999991</v>
      </c>
      <c r="H181">
        <f t="shared" si="3"/>
        <v>77.927199999999999</v>
      </c>
      <c r="I181">
        <f t="shared" si="4"/>
        <v>5.4863999999999997</v>
      </c>
    </row>
    <row r="182" spans="2:9">
      <c r="B182">
        <v>3</v>
      </c>
      <c r="C182">
        <v>3.5</v>
      </c>
      <c r="D182">
        <f t="shared" si="1"/>
        <v>2.9</v>
      </c>
      <c r="E182">
        <v>0.3</v>
      </c>
      <c r="F182" t="s">
        <v>699</v>
      </c>
      <c r="G182">
        <f t="shared" si="2"/>
        <v>88.899999999999991</v>
      </c>
      <c r="H182">
        <f t="shared" si="3"/>
        <v>73.66</v>
      </c>
      <c r="I182">
        <f t="shared" si="4"/>
        <v>7.6199999999999992</v>
      </c>
    </row>
    <row r="183" spans="2:9">
      <c r="B183">
        <v>3.5</v>
      </c>
      <c r="C183">
        <v>4</v>
      </c>
      <c r="D183">
        <f t="shared" si="1"/>
        <v>3.548</v>
      </c>
      <c r="E183">
        <v>0.22600000000000001</v>
      </c>
      <c r="F183" t="s">
        <v>698</v>
      </c>
      <c r="G183">
        <f t="shared" si="2"/>
        <v>101.6</v>
      </c>
      <c r="H183">
        <f t="shared" si="3"/>
        <v>90.119199999999992</v>
      </c>
      <c r="I183">
        <f t="shared" si="4"/>
        <v>5.7404000000000002</v>
      </c>
    </row>
    <row r="184" spans="2:9">
      <c r="B184">
        <v>3.5</v>
      </c>
      <c r="C184">
        <v>4</v>
      </c>
      <c r="D184">
        <f t="shared" si="1"/>
        <v>3.3639999999999999</v>
      </c>
      <c r="E184">
        <v>0.318</v>
      </c>
      <c r="F184" t="s">
        <v>699</v>
      </c>
      <c r="G184">
        <f t="shared" si="2"/>
        <v>101.6</v>
      </c>
      <c r="H184">
        <f t="shared" si="3"/>
        <v>85.445599999999999</v>
      </c>
      <c r="I184">
        <f t="shared" si="4"/>
        <v>8.0771999999999995</v>
      </c>
    </row>
    <row r="185" spans="2:9">
      <c r="B185">
        <v>4</v>
      </c>
      <c r="C185">
        <v>4.5</v>
      </c>
      <c r="D185">
        <f t="shared" si="1"/>
        <v>4.0259999999999998</v>
      </c>
      <c r="E185">
        <v>0.23699999999999999</v>
      </c>
      <c r="F185" t="s">
        <v>698</v>
      </c>
      <c r="G185">
        <f t="shared" si="2"/>
        <v>114.3</v>
      </c>
      <c r="H185">
        <f t="shared" si="3"/>
        <v>102.26039999999999</v>
      </c>
      <c r="I185">
        <f t="shared" si="4"/>
        <v>6.0197999999999992</v>
      </c>
    </row>
    <row r="186" spans="2:9">
      <c r="B186">
        <v>4</v>
      </c>
      <c r="C186">
        <v>4.5</v>
      </c>
      <c r="D186">
        <f t="shared" si="1"/>
        <v>3.8260000000000001</v>
      </c>
      <c r="E186">
        <v>0.33700000000000002</v>
      </c>
      <c r="F186" t="s">
        <v>699</v>
      </c>
      <c r="G186">
        <f t="shared" si="2"/>
        <v>114.3</v>
      </c>
      <c r="H186">
        <f t="shared" si="3"/>
        <v>97.180399999999992</v>
      </c>
      <c r="I186">
        <f t="shared" si="4"/>
        <v>8.5597999999999992</v>
      </c>
    </row>
    <row r="188" spans="2:9">
      <c r="B188" t="s">
        <v>694</v>
      </c>
      <c r="C188" t="s">
        <v>700</v>
      </c>
    </row>
    <row r="189" spans="2:9">
      <c r="B189" t="s">
        <v>705</v>
      </c>
      <c r="C189" t="s">
        <v>701</v>
      </c>
    </row>
    <row r="199" spans="2:2">
      <c r="B199" t="s">
        <v>778</v>
      </c>
    </row>
  </sheetData>
  <mergeCells count="1">
    <mergeCell ref="E3:H4"/>
  </mergeCells>
  <pageMargins left="0.25" right="0.25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13" t="s">
        <v>539</v>
      </c>
      <c r="B1" s="413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13" t="s">
        <v>540</v>
      </c>
      <c r="B6" s="413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14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14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14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15"/>
      <c r="C5" s="415"/>
      <c r="D5" s="415"/>
      <c r="E5" s="415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2025-09-10T21:36:48Z</cp:lastPrinted>
  <dcterms:created xsi:type="dcterms:W3CDTF">2024-07-02T19:27:32Z</dcterms:created>
  <dcterms:modified xsi:type="dcterms:W3CDTF">2025-09-10T22:08:49Z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