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28635" yWindow="1725" windowWidth="29130" windowHeight="15810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1" i="25" l="1"/>
  <c r="C279" i="25"/>
  <c r="S220" i="25" l="1"/>
  <c r="Q226" i="25"/>
  <c r="P224" i="25"/>
  <c r="Q224" i="25"/>
  <c r="Q223" i="25"/>
  <c r="P223" i="25"/>
  <c r="S213" i="25"/>
  <c r="S215" i="25" s="1"/>
  <c r="R221" i="25" s="1"/>
  <c r="S221" i="25" s="1"/>
  <c r="N221" i="25"/>
  <c r="N220" i="25"/>
  <c r="N218" i="25"/>
  <c r="N217" i="25"/>
  <c r="N216" i="25"/>
  <c r="C274" i="25"/>
  <c r="C275" i="25"/>
  <c r="C276" i="25"/>
  <c r="C277" i="25"/>
  <c r="C278" i="25"/>
  <c r="C269" i="25"/>
  <c r="C270" i="25"/>
  <c r="C271" i="25"/>
  <c r="C272" i="25"/>
  <c r="C273" i="25"/>
  <c r="C268" i="25"/>
  <c r="I94" i="25"/>
  <c r="I85" i="25"/>
  <c r="I90" i="25" s="1"/>
  <c r="F202" i="25"/>
  <c r="G192" i="25"/>
  <c r="F192" i="25"/>
  <c r="D191" i="25"/>
  <c r="H22" i="25"/>
  <c r="H31" i="25"/>
  <c r="H29" i="25"/>
  <c r="H165" i="25"/>
  <c r="H164" i="25" s="1"/>
  <c r="G172" i="25" s="1"/>
  <c r="I93" i="25" l="1"/>
  <c r="I95" i="25" s="1"/>
  <c r="D92" i="25" s="1"/>
  <c r="H163" i="25"/>
  <c r="B161" i="25" s="1"/>
  <c r="C14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07" i="25" l="1"/>
  <c r="D108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50" i="25"/>
  <c r="B52" i="25"/>
  <c r="D89" i="25"/>
  <c r="D93" i="25" s="1"/>
  <c r="D94" i="25" s="1"/>
  <c r="D88" i="25"/>
  <c r="D84" i="25"/>
  <c r="F26" i="25"/>
  <c r="J28" i="25"/>
  <c r="D53" i="25"/>
  <c r="D50" i="25"/>
  <c r="E50" i="25" s="1"/>
  <c r="D90" i="25" l="1"/>
  <c r="D40" i="25"/>
  <c r="D37" i="25"/>
  <c r="B108" i="25"/>
  <c r="B107" i="25" s="1"/>
  <c r="C124" i="25" s="1"/>
  <c r="B132" i="25"/>
  <c r="I108" i="25"/>
  <c r="D122" i="25" s="1"/>
  <c r="B125" i="25" s="1"/>
  <c r="B53" i="25"/>
  <c r="J29" i="25"/>
  <c r="C55" i="25"/>
  <c r="C46" i="25"/>
  <c r="C45" i="25"/>
  <c r="D45" i="25" s="1"/>
  <c r="D39" i="25" s="1"/>
  <c r="D38" i="25" s="1"/>
  <c r="E55" i="25" s="1"/>
  <c r="C44" i="25"/>
  <c r="L137" i="25"/>
  <c r="M137" i="25" s="1"/>
  <c r="M138" i="25" s="1"/>
  <c r="L126" i="25"/>
  <c r="L124" i="25"/>
  <c r="L128" i="25"/>
  <c r="M128" i="25"/>
  <c r="I87" i="25"/>
  <c r="I89" i="25"/>
  <c r="D28" i="25"/>
  <c r="B44" i="25" s="1"/>
  <c r="H34" i="25"/>
  <c r="H38" i="25" s="1"/>
  <c r="H39" i="25" s="1"/>
  <c r="D34" i="25"/>
  <c r="D178" i="25" l="1"/>
  <c r="D181" i="25" s="1"/>
  <c r="D182" i="25" s="1"/>
  <c r="D183" i="25" s="1"/>
  <c r="D185" i="25" s="1"/>
  <c r="I190" i="25"/>
  <c r="I191" i="25"/>
  <c r="I188" i="25"/>
  <c r="I189" i="25"/>
  <c r="D203" i="25"/>
  <c r="D206" i="25" s="1"/>
  <c r="D208" i="25" s="1"/>
  <c r="D189" i="25"/>
  <c r="D192" i="25" s="1"/>
  <c r="D194" i="25" s="1"/>
  <c r="D196" i="25"/>
  <c r="D199" i="25" s="1"/>
  <c r="D201" i="25" s="1"/>
  <c r="D116" i="25"/>
  <c r="D119" i="25" s="1"/>
  <c r="D175" i="25" s="1"/>
  <c r="D179" i="25"/>
  <c r="D180" i="25" s="1"/>
  <c r="D124" i="25"/>
  <c r="D111" i="25"/>
  <c r="D172" i="25" s="1"/>
  <c r="D168" i="25"/>
  <c r="D169" i="25"/>
  <c r="D125" i="25"/>
  <c r="C125" i="25"/>
  <c r="D112" i="25"/>
  <c r="F112" i="25"/>
  <c r="F113" i="25"/>
  <c r="D113" i="25"/>
  <c r="D114" i="25" s="1"/>
  <c r="D132" i="25"/>
  <c r="B126" i="25"/>
  <c r="C53" i="25"/>
  <c r="D30" i="25"/>
  <c r="B45" i="25" s="1"/>
  <c r="B61" i="25"/>
  <c r="B60" i="25"/>
  <c r="D44" i="25"/>
  <c r="D36" i="25" s="1"/>
  <c r="D35" i="25"/>
  <c r="N37" i="16"/>
  <c r="I192" i="25" l="1"/>
  <c r="I193" i="25" s="1"/>
  <c r="G179" i="25" s="1"/>
  <c r="D115" i="25"/>
  <c r="D118" i="25" s="1"/>
  <c r="C132" i="25"/>
  <c r="C126" i="25"/>
  <c r="D126" i="25"/>
  <c r="B127" i="25"/>
  <c r="B59" i="25"/>
  <c r="D117" i="25" s="1"/>
  <c r="D55" i="25"/>
  <c r="C24" i="16"/>
  <c r="C28" i="16" s="1"/>
  <c r="N41" i="16"/>
  <c r="L41" i="16" s="1"/>
  <c r="L36" i="16"/>
  <c r="N36" i="16" s="1"/>
  <c r="G242" i="25"/>
  <c r="I242" i="25"/>
  <c r="G243" i="25"/>
  <c r="I243" i="25"/>
  <c r="G244" i="25"/>
  <c r="I244" i="25"/>
  <c r="G245" i="25"/>
  <c r="I245" i="25"/>
  <c r="G246" i="25"/>
  <c r="I246" i="25"/>
  <c r="G247" i="25"/>
  <c r="I247" i="25"/>
  <c r="G248" i="25"/>
  <c r="I248" i="25"/>
  <c r="G249" i="25"/>
  <c r="I249" i="25"/>
  <c r="G250" i="25"/>
  <c r="I250" i="25"/>
  <c r="I241" i="25"/>
  <c r="G241" i="25"/>
  <c r="D244" i="25"/>
  <c r="H244" i="25" s="1"/>
  <c r="D245" i="25"/>
  <c r="H245" i="25" s="1"/>
  <c r="D246" i="25"/>
  <c r="H246" i="25" s="1"/>
  <c r="D247" i="25"/>
  <c r="H247" i="25" s="1"/>
  <c r="D248" i="25"/>
  <c r="H248" i="25" s="1"/>
  <c r="D249" i="25"/>
  <c r="H249" i="25" s="1"/>
  <c r="D250" i="25"/>
  <c r="H250" i="25" s="1"/>
  <c r="D242" i="25"/>
  <c r="H242" i="25" s="1"/>
  <c r="D243" i="25"/>
  <c r="H243" i="25" s="1"/>
  <c r="D241" i="25"/>
  <c r="H241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170" i="25" l="1"/>
  <c r="D171" i="25" s="1"/>
  <c r="D173" i="25" s="1"/>
  <c r="D174" i="25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128" i="25" l="1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29" i="25" l="1"/>
  <c r="D129" i="25"/>
  <c r="B13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30" i="25" l="1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31" i="25" l="1"/>
  <c r="D131" i="25"/>
  <c r="B13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133" i="25" l="1"/>
  <c r="D133" i="25"/>
  <c r="B134" i="25"/>
  <c r="C9" i="2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138" i="25" l="1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139" i="25" l="1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B141" i="25" l="1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4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39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<sst xmlns="http://schemas.openxmlformats.org/spreadsheetml/2006/main" count="1543" uniqueCount="980">
  <si>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</si>
  <si>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</si>
  <si>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</si>
  <si>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</si>
  <si>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</si>
  <si>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</si>
  <si>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</si>
  <si>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</si>
  <si>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</si>
  <si>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</si>
  <si>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</si>
  <si>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</si>
  <si>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</si>
  <si>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</si>
  <si>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</si>
  <si>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</si>
  <si>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</si>
  <si>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</si>
  <si>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</si>
  <si>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</si>
  <si>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</si>
  <si>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</si>
  <si>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</si>
  <si>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</si>
  <si>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</si>
  <si>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</si>
  <si>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</si>
  <si>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</si>
  <si>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</si>
  <si>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</si>
  <si>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</si>
  <si>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</si>
  <si>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</si>
  <si>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</si>
  <si>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</si>
  <si>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</si>
  <si>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</si>
  <si>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</si>
  <si>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</si>
  <si>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</si>
  <si>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</si>
  <si>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</si>
  <si>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</si>
  <si>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</si>
  <si>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</si>
  <si>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</si>
  <si>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</si>
  <si>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</si>
  <si>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</si>
  <si>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</si>
  <si>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</si>
  <si>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</si>
  <si>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</si>
  <si>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</si>
  <si>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</si>
  <si>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</si>
  <si>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</si>
  <si>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</si>
  <si>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</si>
  <si>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</si>
  <si>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</si>
  <si>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</si>
  <si>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</si>
  <si>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</si>
  <si>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</si>
  <si>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</si>
  <si>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</si>
  <si>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</si>
  <si>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</si>
  <si>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</si>
  <si>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</si>
  <si>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</si>
  <si>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</si>
  <si>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</si>
  <si>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</si>
  <si>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</si>
  <si>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</si>
  <si>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</si>
  <si>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</si>
  <si>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</si>
  <si>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</si>
  <si>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</si>
  <si>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</si>
  <si>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</si>
  <si>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</si>
  <si>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</si>
  <si>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</si>
  <si>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</si>
  <si>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</si>
  <si>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</si>
  <si>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</si>
  <si>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</si>
  <si>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</si>
  <si>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</si>
  <si>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</si>
  <si>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</si>
  <si>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</si>
  <si>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</si>
  <si>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</si>
  <si>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</si>
  <si>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</si>
  <si>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</si>
  <si>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</si>
  <si>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</si>
  <si>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</si>
  <si>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</si>
  <si>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</si>
  <si>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</si>
  <si>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</si>
  <si>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</si>
  <si>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</si>
  <si>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</si>
  <si>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</si>
  <si>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</si>
  <si>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</si>
  <si>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</si>
  <si>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</si>
  <si>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</si>
  <si>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</si>
  <si>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</si>
  <si>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</si>
  <si>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</si>
  <si>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</si>
  <si>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</si>
  <si>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</si>
  <si>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</si>
  <si>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</si>
  <si>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</si>
  <si>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</si>
  <si>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</si>
  <si>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</si>
  <si>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</si>
  <si>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</si>
  <si>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</si>
  <si>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</si>
  <si>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</si>
  <si>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</si>
  <si>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</si>
  <si>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</si>
  <si>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</si>
  <si>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</si>
  <si>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</si>
  <si>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</si>
  <si>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</si>
  <si>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</si>
  <si>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</si>
  <si>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</si>
  <si>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</si>
  <si>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</si>
  <si>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</si>
  <si>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</si>
  <si>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</si>
  <si>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</si>
  <si>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</si>
  <si>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</si>
  <si>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</si>
  <si>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</si>
  <si>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</si>
  <si>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</si>
  <si>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</si>
  <si>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</si>
  <si>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</si>
  <si>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</si>
  <si>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</si>
  <si>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</si>
  <si>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</si>
  <si>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</si>
  <si>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</si>
  <si>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</si>
  <si>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</si>
  <si>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</si>
  <si>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</si>
  <si>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</si>
  <si>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</si>
  <si>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</si>
  <si>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</si>
  <si>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</si>
  <si>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</si>
  <si>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</si>
  <si>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</si>
  <si>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</si>
  <si>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</si>
  <si>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</si>
  <si>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</si>
  <si>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</si>
  <si>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</si>
  <si>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</si>
  <si>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</si>
  <si>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</si>
  <si>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</si>
  <si>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</si>
  <si>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</si>
  <si>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</si>
  <si>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</si>
  <si>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</si>
  <si>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</si>
  <si>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</si>
  <si>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</si>
  <si>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</si>
  <si>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</si>
  <si>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</si>
  <si>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</si>
  <si>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</si>
  <si>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</si>
  <si>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</si>
  <si>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</si>
  <si>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</si>
  <si>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</si>
  <si>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</si>
  <si>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</si>
  <si>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</si>
  <si>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</si>
  <si>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</si>
  <si>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</si>
  <si>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</si>
  <si>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</si>
  <si>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</si>
  <si>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</si>
  <si>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</si>
  <si>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</si>
  <si>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</si>
  <si>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</si>
  <si>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</si>
  <si>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</si>
  <si>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</si>
  <si>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</si>
  <si>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</si>
  <si>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</si>
  <si>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</si>
  <si>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</si>
  <si>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</si>
  <si>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</si>
  <si>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</si>
  <si>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</si>
  <si>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</si>
  <si>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</si>
  <si>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</si>
  <si>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</si>
  <si>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</si>
  <si>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</si>
  <si>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</si>
  <si>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</si>
  <si>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</si>
  <si>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</si>
  <si>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</si>
  <si>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</si>
  <si>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</si>
  <si>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</si>
  <si>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</si>
  <si>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</si>
  <si>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</si>
  <si>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</si>
  <si>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</si>
  <si>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</si>
  <si>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</si>
  <si>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</si>
  <si>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</si>
  <si>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</si>
  <si>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</si>
  <si>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</si>
  <si>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</si>
  <si>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</si>
  <si>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</si>
  <si>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</si>
  <si>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</si>
  <si>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</si>
  <si>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</si>
  <si>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</si>
  <si>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</si>
  <si>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</si>
  <si>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</si>
  <si>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</si>
  <si>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</si>
  <si>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</si>
  <si>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</si>
  <si>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</si>
  <si>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</si>
  <si>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</si>
  <si>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</si>
  <si>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</si>
  <si>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</si>
  <si>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</si>
  <si>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</si>
  <si>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</si>
  <si>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</si>
  <si>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</si>
  <si>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</si>
  <si>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</si>
  <si>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</si>
  <si>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</si>
  <si>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</si>
  <si>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</si>
  <si>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</si>
  <si>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</si>
  <si>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</si>
  <si>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</si>
  <si>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</si>
  <si>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</si>
  <si>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</si>
  <si>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</si>
  <si>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</si>
  <si>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</si>
  <si>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</si>
  <si>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</si>
  <si>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</si>
  <si>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</si>
  <si>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</si>
  <si>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</si>
  <si>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</si>
  <si>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</si>
  <si>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</si>
  <si>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</si>
  <si>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</si>
  <si>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</si>
  <si>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</si>
  <si>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</si>
  <si>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</si>
  <si>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</si>
  <si>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</si>
  <si>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</si>
  <si>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</si>
  <si>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</si>
  <si>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</si>
  <si>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</si>
  <si>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</si>
  <si>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</si>
  <si>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</si>
  <si>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</si>
  <si>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</si>
  <si>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</si>
  <si>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</si>
  <si>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</si>
  <si>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</si>
  <si>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</si>
  <si>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</si>
  <si>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</si>
  <si>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</si>
  <si>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</si>
  <si>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</si>
  <si>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</si>
  <si>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</si>
  <si>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</si>
  <si>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</si>
  <si>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</si>
  <si>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</si>
  <si>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</si>
  <si>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</si>
  <si>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</si>
  <si>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</si>
  <si>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</si>
  <si>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</si>
  <si>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</si>
  <si>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</si>
  <si>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</si>
  <si>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</si>
  <si>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</si>
  <si>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</si>
  <si>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</si>
  <si>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</si>
  <si>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</si>
  <si>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</si>
  <si>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</si>
  <si>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</si>
  <si>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</si>
  <si>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</si>
  <si>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</si>
  <si>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</si>
  <si>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</si>
  <si>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</si>
  <si>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</si>
  <si>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</si>
  <si>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</si>
  <si>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</si>
  <si>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</si>
  <si>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</si>
  <si>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</si>
  <si>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</si>
  <si>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</si>
  <si>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</si>
  <si>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</si>
  <si>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</si>
  <si>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</si>
  <si>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</si>
  <si>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</si>
  <si>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</si>
  <si>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</si>
  <si>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</si>
  <si>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</si>
  <si>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</si>
  <si>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</si>
  <si>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</si>
  <si>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</si>
  <si>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</si>
  <si>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</si>
  <si>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</si>
  <si>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</si>
  <si>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</si>
  <si>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</si>
  <si>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</si>
  <si>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</si>
  <si>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</si>
  <si>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</si>
  <si>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</si>
  <si>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</si>
  <si>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</si>
  <si>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</si>
  <si>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</si>
  <si>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</si>
  <si>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</si>
  <si>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</si>
  <si>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</si>
  <si>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</si>
  <si>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</si>
  <si>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</si>
  <si>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</si>
  <si>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</si>
  <si>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</si>
  <si>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</si>
  <si>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</si>
  <si>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</si>
  <si>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</si>
  <si>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</si>
  <si>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</si>
  <si>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</si>
  <si>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</si>
  <si>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</si>
  <si>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</si>
  <si>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</si>
  <si>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</si>
  <si>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</si>
  <si>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</si>
  <si>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</si>
  <si>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</si>
  <si>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</si>
  <si>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</si>
  <si>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</si>
  <si>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</si>
  <si>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</si>
  <si>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</si>
  <si>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</si>
  <si>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</si>
  <si>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</si>
  <si>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</si>
  <si>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</si>
  <si>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</si>
  <si>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</si>
  <si>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</si>
  <si>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</si>
  <si>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</si>
  <si>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</si>
  <si>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</si>
  <si>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</si>
  <si>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</si>
  <si>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</si>
  <si>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</si>
  <si>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</si>
  <si>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</si>
  <si>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</si>
  <si>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</si>
  <si>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</si>
  <si>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</si>
  <si>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</si>
  <si>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</si>
  <si>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</si>
  <si>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</si>
  <si>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</si>
  <si>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</si>
  <si>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</si>
  <si>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</si>
  <si>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</si>
  <si>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</si>
  <si>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</si>
  <si>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</si>
  <si>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</si>
  <si>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</si>
  <si>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</si>
  <si>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</si>
  <si>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</si>
  <si>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</si>
  <si>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</si>
  <si>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</si>
  <si>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</si>
  <si>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</si>
  <si>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</si>
  <si>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</si>
  <si>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</si>
  <si>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</si>
  <si>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</si>
  <si>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</si>
  <si>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</si>
  <si>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</si>
  <si>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</si>
  <si>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</si>
  <si>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</si>
  <si>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</si>
  <si>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</si>
  <si>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</si>
  <si>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</si>
  <si>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</si>
  <si>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</si>
  <si>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</si>
  <si>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</si>
  <si>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</si>
  <si>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</si>
  <si>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</si>
  <si>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</si>
  <si>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</si>
  <si>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</si>
  <si>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</si>
  <si>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</si>
  <si>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</si>
  <si>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</si>
  <si>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</si>
  <si>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</si>
  <si>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</si>
  <si>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</si>
  <si>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</si>
  <si>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</si>
  <si>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</si>
  <si>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</si>
  <si>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</si>
  <si>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</si>
  <si>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</si>
  <si>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</si>
  <si>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</si>
  <si>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</si>
  <si>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</si>
  <si>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</si>
  <si>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</si>
  <si>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</si>
  <si>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</si>
  <si>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</si>
  <si>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</si>
  <si>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</si>
  <si>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</si>
  <si>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</si>
  <si>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</si>
  <si>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</si>
  <si>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</si>
  <si>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</si>
  <si>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</si>
  <si>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</si>
  <si>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</si>
  <si>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</si>
  <si>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</si>
  <si>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</si>
  <si>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</si>
  <si>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</si>
  <si>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</si>
  <si>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</si>
  <si>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</si>
  <si>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</si>
  <si>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</si>
  <si>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</si>
  <si>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</si>
  <si>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</si>
  <si>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</si>
  <si>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</si>
  <si>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</si>
  <si>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</si>
  <si>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</si>
  <si>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</si>
  <si>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</si>
  <si>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</si>
  <si>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</si>
  <si>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</si>
  <si>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</si>
  <si>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</si>
  <si>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</si>
  <si>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</si>
  <si>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</si>
  <si>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</si>
  <si>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</si>
  <si>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</si>
  <si>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</si>
  <si>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</si>
  <si>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</si>
  <si>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</si>
  <si>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</si>
  <si>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</si>
  <si>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</si>
  <si>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</si>
  <si>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</si>
  <si>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</si>
  <si>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</si>
  <si>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</si>
  <si>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</si>
  <si>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</si>
  <si>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</si>
  <si>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</si>
  <si>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</si>
  <si>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</si>
  <si>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</si>
  <si>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</si>
  <si>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</si>
  <si>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</si>
  <si>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</si>
  <si>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</si>
  <si>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</si>
  <si>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</si>
  <si>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</si>
  <si>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</si>
  <si>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</si>
  <si>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</si>
  <si>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</si>
  <si>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</si>
  <si>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</si>
  <si>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</si>
  <si>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</si>
  <si>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</si>
  <si>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</si>
  <si>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</si>
  <si>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</si>
  <si>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</si>
  <si>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</si>
  <si>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</si>
  <si>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</si>
  <si>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</si>
  <si>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</si>
  <si>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</si>
  <si>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</si>
  <si>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</si>
  <si>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</si>
  <si>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</si>
  <si>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</si>
  <si>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</si>
  <si>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</si>
  <si>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</si>
  <si>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</si>
  <si>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</si>
  <si>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</si>
  <si>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</si>
  <si>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</si>
  <si>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</si>
  <si>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</si>
  <si>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</si>
  <si>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</si>
  <si>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</si>
  <si>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</si>
  <si>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</si>
  <si>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</si>
  <si>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</si>
  <si>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</si>
  <si>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</si>
  <si>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</si>
  <si>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</si>
  <si>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</si>
  <si>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</si>
  <si>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</si>
  <si>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</si>
  <si>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</si>
  <si>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</si>
  <si>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</si>
  <si>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</si>
  <si>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</si>
  <si>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</si>
  <si>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</si>
  <si>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</si>
  <si>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</si>
  <si>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</si>
  <si>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</si>
  <si>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</si>
  <si>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</si>
  <si>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</si>
  <si>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</si>
  <si>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</si>
  <si>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</si>
  <si>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</si>
  <si>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</si>
  <si>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</si>
  <si>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</si>
  <si>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</si>
  <si>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</si>
  <si>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</si>
  <si>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</si>
  <si>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</si>
  <si>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</si>
  <si>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</si>
  <si>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</si>
  <si>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</si>
  <si>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</si>
  <si>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</si>
  <si>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</si>
  <si>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</si>
  <si>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</si>
  <si>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</si>
  <si>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</si>
  <si>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</si>
  <si>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</si>
  <si>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</si>
  <si>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</si>
  <si>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</si>
  <si>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</si>
  <si>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</si>
  <si>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</si>
  <si>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</si>
  <si>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</si>
  <si>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</si>
  <si>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</si>
  <si>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</si>
  <si>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</si>
  <si>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</si>
  <si>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</si>
  <si>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</si>
  <si>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</si>
  <si>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</si>
  <si>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</si>
  <si>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</si>
  <si>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</si>
  <si>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</si>
  <si>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</si>
  <si>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</si>
  <si>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</si>
  <si>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</si>
  <si>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</si>
  <si>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</si>
  <si>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</si>
  <si>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</si>
  <si>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</si>
  <si>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</si>
  <si>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</si>
  <si>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</si>
  <si>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</si>
  <si>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</si>
  <si>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</si>
  <si>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</si>
  <si>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</si>
  <si>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</si>
  <si>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</si>
  <si>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</si>
  <si>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</si>
  <si>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</si>
  <si>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</si>
  <si>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</si>
  <si>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</si>
  <si>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</si>
  <si>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</si>
  <si>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</si>
  <si>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</si>
  <si>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</si>
  <si>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</si>
  <si>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</si>
  <si>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</si>
  <si>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</si>
  <si>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</si>
  <si>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</si>
  <si>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</si>
  <si>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</si>
  <si>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</si>
  <si>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</si>
  <si>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</si>
  <si>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</si>
  <si>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</si>
  <si>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</si>
  <si>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</si>
  <si>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</si>
  <si>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</si>
  <si>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</si>
  <si>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</si>
  <si>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</si>
  <si>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</si>
  <si>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</si>
  <si>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</si>
  <si>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</si>
  <si>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</si>
  <si>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</si>
  <si>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</si>
  <si>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</si>
  <si>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</si>
  <si>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</si>
  <si>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</si>
  <si>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</si>
  <si>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</si>
  <si>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</si>
  <si>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</si>
  <si>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</si>
  <si>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</si>
  <si>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Rocket motor thrust in bulkhead and rocket base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</si>
  <si>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</si>
  <si>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</si>
  <si>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</si>
  <si>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</si>
  <si>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</si>
  <si>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</si>
  <si>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</si>
  <si>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</si>
  <si>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</si>
  <si>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</si>
  <si>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</si>
  <si>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</si>
  <si>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</si>
  <si>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</si>
  <si>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</si>
  <si>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</si>
  <si>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</si>
  <si>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</si>
  <si>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</si>
  <si>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</si>
  <si>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</si>
  <si>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</si>
  <si>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</si>
  <si>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</si>
  <si>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</si>
  <si>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</si>
  <si>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</si>
  <si>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</si>
  <si>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</si>
  <si>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</si>
  <si>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</si>
  <si>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</si>
  <si>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</si>
  <si>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</si>
  <si>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</si>
  <si>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</si>
  <si>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</si>
  <si>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</si>
  <si>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</si>
  <si>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</si>
  <si>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</si>
  <si>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</si>
  <si>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</si>
  <si>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</si>
  <si>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</si>
  <si>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</si>
  <si>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</si>
  <si>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</si>
  <si>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</si>
  <si>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</si>
  <si>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</si>
  <si>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</si>
  <si>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</si>
  <si>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</si>
  <si>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</si>
  <si>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</si>
  <si>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</si>
  <si>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</si>
  <si>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</si>
  <si>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</si>
  <si>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</si>
  <si>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</si>
  <si>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</si>
  <si>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</si>
  <si>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</si>
  <si>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</si>
  <si>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</si>
  <si>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</si>
  <si>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</si>
  <si>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</si>
  <si>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</si>
  <si>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</si>
  <si>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</si>
  <si>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</si>
  <si>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</si>
  <si>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</si>
  <si>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</si>
  <si>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</si>
  <si>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</si>
  <si>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</si>
  <si>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</si>
  <si>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</si>
  <si>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</si>
  <si>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</si>
  <si>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</si>
  <si>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</si>
  <si>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</si>
  <si>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</si>
  <si>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 xml:space="preserve">The loads used were on "worst-case" according to dynamic and CFD simulations </t>
  </si>
  <si>
    <t>Location/Distance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</si>
  <si>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</si>
  <si>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</si>
  <si>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</si>
  <si>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</si>
  <si>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</si>
  <si>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</si>
  <si>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</si>
  <si>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</si>
  <si>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</si>
  <si>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</si>
  <si>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</si>
  <si>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Gmax:</t>
  </si>
  <si>
    <t>MaxMass</t>
  </si>
  <si>
    <t>Dry mass</t>
  </si>
  <si>
    <t>mass grain</t>
  </si>
  <si>
    <t>Max acc</t>
  </si>
  <si>
    <t>Gs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</si>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</sst>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0" xfId="0" applyFont="1"/>
    <xf numFmtId="0" fontId="0" fillId="0" borderId="34" xfId="0" applyFont="1" applyBorder="1"/>
    <xf numFmtId="0" fontId="0" fillId="0" borderId="34" xfId="0" applyBorder="1" applyAlignment="1">
      <alignment wrapText="1"/>
    </xf>
    <xf numFmtId="0" fontId="23" fillId="0" borderId="0" xfId="0" applyFont="1"/>
    <xf numFmtId="0" fontId="0" fillId="0" borderId="0" xfId="0" applyBorder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0" fontId="0" fillId="0" borderId="0" xfId="0" applyFill="1" applyBorder="1"/>
    <xf numFmtId="0" fontId="0" fillId="0" borderId="34" xfId="0" applyFill="1" applyBorder="1"/>
    <xf numFmtId="2" fontId="0" fillId="3" borderId="0" xfId="0" applyNumberFormat="1" applyFill="1"/>
    <xf numFmtId="0" fontId="0" fillId="0" borderId="0" xfId="0" applyFill="1"/>
    <xf numFmtId="0" fontId="0" fillId="10" borderId="0" xfId="0" applyFill="1" applyBorder="1"/>
    <xf numFmtId="9" fontId="0" fillId="0" borderId="0" xfId="2" applyFont="1" applyFill="1"/>
    <xf numFmtId="9" fontId="0" fillId="0" borderId="0" xfId="0" applyNumberFormat="1" applyFill="1"/>
    <xf numFmtId="2" fontId="0" fillId="0" borderId="0" xfId="0" applyNumberFormat="1" applyFill="1"/>
    <xf numFmtId="0" fontId="28" fillId="22" borderId="0" xfId="0" applyFont="1" applyFill="1"/>
    <xf numFmtId="2" fontId="0" fillId="0" borderId="34" xfId="0" applyNumberFormat="1" applyFill="1" applyBorder="1"/>
    <xf numFmtId="2" fontId="0" fillId="0" borderId="0" xfId="0" applyNumberFormat="1" applyFill="1" applyBorder="1"/>
    <xf numFmtId="165" fontId="0" fillId="0" borderId="0" xfId="0" applyNumberFormat="1" applyBorder="1"/>
    <xf numFmtId="2" fontId="0" fillId="0" borderId="0" xfId="0" applyNumberFormat="1" applyBorder="1"/>
    <xf numFmtId="0" fontId="30" fillId="0" borderId="34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31" fillId="0" borderId="34" xfId="0" applyFont="1" applyBorder="1"/>
    <xf numFmtId="0" fontId="32" fillId="0" borderId="34" xfId="0" applyFont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261136"/>
        <c:axId val="408345640"/>
      </c:scatterChart>
      <c:valAx>
        <c:axId val="40826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345640"/>
        <c:crosses val="autoZero"/>
        <c:crossBetween val="midCat"/>
        <c:majorUnit val="0.30000000000000004"/>
        <c:minorUnit val="0.30000000000000004"/>
      </c:valAx>
      <c:valAx>
        <c:axId val="40834564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26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172320"/>
        <c:axId val="409176808"/>
      </c:scatterChart>
      <c:valAx>
        <c:axId val="4091723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176808"/>
        <c:crossesAt val="0"/>
        <c:crossBetween val="midCat"/>
      </c:valAx>
      <c:valAx>
        <c:axId val="40917680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172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48696"/>
        <c:axId val="409249080"/>
      </c:scatterChart>
      <c:valAx>
        <c:axId val="40924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49080"/>
        <c:crosses val="autoZero"/>
        <c:crossBetween val="midCat"/>
      </c:valAx>
      <c:valAx>
        <c:axId val="409249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48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170768"/>
        <c:axId val="409251920"/>
      </c:scatterChart>
      <c:valAx>
        <c:axId val="409170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1920"/>
        <c:crosses val="autoZero"/>
        <c:crossBetween val="midCat"/>
      </c:valAx>
      <c:valAx>
        <c:axId val="4092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170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67824"/>
        <c:axId val="410152744"/>
      </c:scatterChart>
      <c:valAx>
        <c:axId val="407867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152744"/>
        <c:crosses val="autoZero"/>
        <c:crossBetween val="midCat"/>
      </c:valAx>
      <c:valAx>
        <c:axId val="41015274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7867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068328"/>
        <c:axId val="410068712"/>
      </c:scatterChart>
      <c:valAx>
        <c:axId val="410068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068712"/>
        <c:crosses val="autoZero"/>
        <c:crossBetween val="midCat"/>
      </c:valAx>
      <c:valAx>
        <c:axId val="410068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0068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44712"/>
        <c:axId val="196243536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962447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3536"/>
        <c:crosses val="autoZero"/>
        <c:crossBetween val="midCat"/>
      </c:valAx>
      <c:valAx>
        <c:axId val="19624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4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41576"/>
        <c:axId val="196245496"/>
      </c:scatterChart>
      <c:valAx>
        <c:axId val="196241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5496"/>
        <c:crosses val="autoZero"/>
        <c:crossBetween val="midCat"/>
      </c:valAx>
      <c:valAx>
        <c:axId val="19624549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1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39224"/>
        <c:axId val="196245888"/>
      </c:scatterChart>
      <c:valAx>
        <c:axId val="196239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5888"/>
        <c:crosses val="autoZero"/>
        <c:crossBetween val="midCat"/>
      </c:valAx>
      <c:valAx>
        <c:axId val="19624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39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39616"/>
        <c:axId val="196240008"/>
      </c:scatterChart>
      <c:valAx>
        <c:axId val="19623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0008"/>
        <c:crosses val="autoZero"/>
        <c:crossBetween val="midCat"/>
      </c:valAx>
      <c:valAx>
        <c:axId val="196240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3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40792"/>
        <c:axId val="196241184"/>
      </c:scatterChart>
      <c:valAx>
        <c:axId val="196240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1184"/>
        <c:crosses val="autoZero"/>
        <c:crossBetween val="midCat"/>
      </c:valAx>
      <c:valAx>
        <c:axId val="19624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240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3368"/>
        <c:axId val="409052192"/>
      </c:scatterChart>
      <c:valAx>
        <c:axId val="409053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2192"/>
        <c:crosses val="autoZero"/>
        <c:crossBetween val="midCat"/>
      </c:valAx>
      <c:valAx>
        <c:axId val="40905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3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668-49E6-B37F-CC1E0295A8BA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3760"/>
        <c:axId val="409057288"/>
      </c:scatterChart>
      <c:valAx>
        <c:axId val="40905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7288"/>
        <c:crosses val="autoZero"/>
        <c:crossBetween val="midCat"/>
      </c:valAx>
      <c:valAx>
        <c:axId val="409057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3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3658-469D-92B9-CCB9E1E622ED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6112"/>
        <c:axId val="409056504"/>
      </c:scatterChart>
      <c:valAx>
        <c:axId val="40905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6504"/>
        <c:crosses val="autoZero"/>
        <c:crossBetween val="midCat"/>
      </c:valAx>
      <c:valAx>
        <c:axId val="409056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6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2584"/>
        <c:axId val="409057680"/>
      </c:scatterChart>
      <c:valAx>
        <c:axId val="409052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7680"/>
        <c:crosses val="autoZero"/>
        <c:crossBetween val="midCat"/>
      </c:valAx>
      <c:valAx>
        <c:axId val="40905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2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2976"/>
        <c:axId val="409054152"/>
      </c:scatterChart>
      <c:valAx>
        <c:axId val="40905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4152"/>
        <c:crosses val="autoZero"/>
        <c:crossBetween val="midCat"/>
      </c:valAx>
      <c:valAx>
        <c:axId val="40905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0624"/>
        <c:axId val="409051016"/>
      </c:scatterChart>
      <c:valAx>
        <c:axId val="40905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1016"/>
        <c:crosses val="autoZero"/>
        <c:crossBetween val="midCat"/>
      </c:valAx>
      <c:valAx>
        <c:axId val="4090510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05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1064"/>
        <c:axId val="412126160"/>
      </c:scatterChart>
      <c:valAx>
        <c:axId val="412121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6160"/>
        <c:crosses val="autoZero"/>
        <c:crossBetween val="midCat"/>
      </c:valAx>
      <c:valAx>
        <c:axId val="41212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1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1456"/>
        <c:axId val="412123024"/>
      </c:scatterChart>
      <c:valAx>
        <c:axId val="41212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3024"/>
        <c:crosses val="autoZero"/>
        <c:crossBetween val="midCat"/>
      </c:valAx>
      <c:valAx>
        <c:axId val="412123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3416"/>
        <c:axId val="412122632"/>
      </c:scatterChart>
      <c:valAx>
        <c:axId val="412123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2632"/>
        <c:crosses val="autoZero"/>
        <c:crossBetween val="midCat"/>
      </c:valAx>
      <c:valAx>
        <c:axId val="41212263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3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0672"/>
        <c:axId val="412124200"/>
      </c:scatterChart>
      <c:valAx>
        <c:axId val="41212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4200"/>
        <c:crosses val="autoZero"/>
        <c:crossBetween val="midCat"/>
      </c:valAx>
      <c:valAx>
        <c:axId val="412124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2240"/>
        <c:axId val="412123808"/>
      </c:scatterChart>
      <c:valAx>
        <c:axId val="41212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3808"/>
        <c:crosses val="autoZero"/>
        <c:crossBetween val="midCat"/>
      </c:valAx>
      <c:valAx>
        <c:axId val="41212380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212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125768"/>
        <c:axId val="412119888"/>
      </c:scatterChart>
      <c:valAx>
        <c:axId val="412125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119888"/>
        <c:crosses val="autoZero"/>
        <c:crossBetween val="midCat"/>
      </c:valAx>
      <c:valAx>
        <c:axId val="41211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125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056896"/>
        <c:axId val="412715888"/>
      </c:scatterChart>
      <c:valAx>
        <c:axId val="40905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5888"/>
        <c:crosses val="autoZero"/>
        <c:crossBetween val="midCat"/>
      </c:valAx>
      <c:valAx>
        <c:axId val="41271588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568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722552"/>
        <c:axId val="412717456"/>
      </c:scatterChart>
      <c:valAx>
        <c:axId val="41272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7456"/>
        <c:crosses val="autoZero"/>
        <c:crossBetween val="midCat"/>
      </c:valAx>
      <c:valAx>
        <c:axId val="41271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22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719416"/>
        <c:axId val="41271824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719808"/>
        <c:axId val="412722944"/>
      </c:lineChart>
      <c:catAx>
        <c:axId val="412719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8240"/>
        <c:crosses val="autoZero"/>
        <c:auto val="1"/>
        <c:lblAlgn val="ctr"/>
        <c:lblOffset val="100"/>
        <c:noMultiLvlLbl val="0"/>
      </c:catAx>
      <c:valAx>
        <c:axId val="4127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9416"/>
        <c:crosses val="autoZero"/>
        <c:crossBetween val="between"/>
      </c:valAx>
      <c:valAx>
        <c:axId val="412722944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9808"/>
        <c:crosses val="max"/>
        <c:crossBetween val="between"/>
      </c:valAx>
      <c:catAx>
        <c:axId val="4127198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272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720200"/>
        <c:axId val="412718632"/>
      </c:scatterChart>
      <c:valAx>
        <c:axId val="41272020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18632"/>
        <c:crosses val="autoZero"/>
        <c:crossBetween val="midCat"/>
      </c:valAx>
      <c:valAx>
        <c:axId val="412718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720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chart" Target="../charts/chart14.xml"/><Relationship Id="rId7" Type="http://schemas.openxmlformats.org/officeDocument/2006/relationships/image" Target="../media/image7.png"/><Relationship Id="rId2" Type="http://schemas.openxmlformats.org/officeDocument/2006/relationships/chart" Target="../charts/chart13.xml"/><Relationship Id="rId1" Type="http://schemas.openxmlformats.org/officeDocument/2006/relationships/image" Target="../media/image5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chart" Target="../charts/chart16.xml"/><Relationship Id="rId10" Type="http://schemas.openxmlformats.org/officeDocument/2006/relationships/image" Target="../media/image10.png"/><Relationship Id="rId4" Type="http://schemas.openxmlformats.org/officeDocument/2006/relationships/chart" Target="../charts/chart15.xml"/><Relationship Id="rId9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2.xml"/><Relationship Id="rId7" Type="http://schemas.openxmlformats.org/officeDocument/2006/relationships/image" Target="../media/image15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6.xml"/><Relationship Id="rId7" Type="http://schemas.openxmlformats.org/officeDocument/2006/relationships/image" Target="../media/image23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86766" y="12090399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0</xdr:col>
      <xdr:colOff>135031</xdr:colOff>
      <xdr:row>121</xdr:row>
      <xdr:rowOff>8405</xdr:rowOff>
    </xdr:from>
    <xdr:to>
      <xdr:col>7</xdr:col>
      <xdr:colOff>526863</xdr:colOff>
      <xdr:row>136</xdr:row>
      <xdr:rowOff>133724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130175</xdr:colOff>
      <xdr:row>136</xdr:row>
      <xdr:rowOff>143436</xdr:rowOff>
    </xdr:from>
    <xdr:to>
      <xdr:col>7</xdr:col>
      <xdr:colOff>531532</xdr:colOff>
      <xdr:row>151</xdr:row>
      <xdr:rowOff>85165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xmlns="" id="{00000000-0008-0000-0400-00001C000000}"/>
            </a:ext>
          </a:extLst>
        </xdr:cNvPr>
        <xdr:cNvGrpSpPr/>
      </xdr:nvGrpSpPr>
      <xdr:grpSpPr>
        <a:xfrm>
          <a:off x="6068476" y="12005212"/>
          <a:ext cx="630168" cy="565268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xmlns="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xmlns="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xmlns="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xmlns="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xmlns="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xmlns="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264</xdr:row>
      <xdr:rowOff>0</xdr:rowOff>
    </xdr:from>
    <xdr:to>
      <xdr:col>21</xdr:col>
      <xdr:colOff>492661</xdr:colOff>
      <xdr:row>287</xdr:row>
      <xdr:rowOff>140298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285750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xmlns="" id="{3C2DB7E1-74D8-496C-96DB-0C9100686BAE}"/>
            </a:ext>
          </a:extLst>
        </xdr:cNvPr>
        <xdr:cNvGrpSpPr/>
      </xdr:nvGrpSpPr>
      <xdr:grpSpPr>
        <a:xfrm>
          <a:off x="1085290" y="11789709"/>
          <a:ext cx="1783788" cy="266700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xmlns="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xmlns="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xmlns="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xmlns="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xmlns="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xmlns="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xmlns="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xmlns="" id="{86219524-58D5-4E93-8BF3-AD7D38173E37}"/>
            </a:ext>
          </a:extLst>
        </xdr:cNvPr>
        <xdr:cNvGrpSpPr/>
      </xdr:nvGrpSpPr>
      <xdr:grpSpPr>
        <a:xfrm>
          <a:off x="3156138" y="11408709"/>
          <a:ext cx="2328022" cy="5969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xmlns="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xmlns="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xmlns="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xmlns="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xmlns="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xmlns="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xmlns="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xmlns="" id="{123796AF-603C-C960-208F-01DAA693AD4F}"/>
            </a:ext>
          </a:extLst>
        </xdr:cNvPr>
        <xdr:cNvGrpSpPr/>
      </xdr:nvGrpSpPr>
      <xdr:grpSpPr>
        <a:xfrm>
          <a:off x="13324541" y="3596715"/>
          <a:ext cx="4675492" cy="3260028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xmlns="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xmlns="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xmlns="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186</xdr:row>
      <xdr:rowOff>122998</xdr:rowOff>
    </xdr:from>
    <xdr:to>
      <xdr:col>20</xdr:col>
      <xdr:colOff>274339</xdr:colOff>
      <xdr:row>207</xdr:row>
      <xdr:rowOff>159634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xmlns="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9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9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9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400" t="s">
        <v>113</v>
      </c>
      <c r="D243" s="401"/>
      <c r="E243" s="401"/>
      <c r="F243" s="401"/>
      <c r="G243" s="40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400" t="s">
        <v>123</v>
      </c>
      <c r="D247" s="401"/>
      <c r="E247" s="401"/>
      <c r="F247" s="401"/>
      <c r="G247" s="40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40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4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9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99"/>
      <c r="B264" s="158" t="s">
        <v>136</v>
      </c>
      <c r="L264" s="149"/>
    </row>
    <row r="265" spans="1:12" ht="13.5" thickBot="1">
      <c r="A265" s="39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05" t="s">
        <v>182</v>
      </c>
      <c r="C2" s="406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9" t="s">
        <v>185</v>
      </c>
      <c r="D12" s="410"/>
      <c r="E12" s="410"/>
      <c r="F12" s="410"/>
      <c r="G12" s="411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9" t="s">
        <v>189</v>
      </c>
      <c r="P12" s="410"/>
      <c r="Q12" s="410"/>
      <c r="R12" s="410"/>
      <c r="S12" s="411"/>
      <c r="T12" s="1" t="s">
        <v>186</v>
      </c>
      <c r="U12" s="1" t="s">
        <v>187</v>
      </c>
      <c r="V12" s="1" t="s">
        <v>188</v>
      </c>
    </row>
    <row r="13" spans="2:22">
      <c r="B13" s="40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0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0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0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0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0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0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0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0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0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0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0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0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0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0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0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0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1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16" t="s">
        <v>191</v>
      </c>
      <c r="C23" s="65"/>
      <c r="D23" s="64" t="s">
        <v>186</v>
      </c>
      <c r="E23" s="64"/>
      <c r="F23" s="64"/>
      <c r="G23" s="64"/>
      <c r="K23" s="414"/>
      <c r="N23" s="415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16"/>
      <c r="C24" s="66" t="s">
        <v>193</v>
      </c>
      <c r="D24" s="1">
        <f>(F25/2)/(F26)</f>
        <v>0.13333333333333333</v>
      </c>
      <c r="K24" s="414"/>
      <c r="N24" s="416"/>
      <c r="O24" s="66" t="s">
        <v>193</v>
      </c>
      <c r="P24" s="1" t="s">
        <v>194</v>
      </c>
    </row>
    <row r="25" spans="2:22">
      <c r="B25" s="416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14"/>
      <c r="N25" s="416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16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4"/>
      <c r="N26" s="416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417" t="s">
        <v>200</v>
      </c>
      <c r="D27" s="417"/>
      <c r="E27" s="417"/>
      <c r="F27" s="417"/>
      <c r="G27" s="417"/>
      <c r="L27" s="63"/>
      <c r="M27" s="63"/>
      <c r="N27" s="2" t="s">
        <v>199</v>
      </c>
      <c r="O27" s="417" t="s">
        <v>200</v>
      </c>
      <c r="P27" s="417"/>
      <c r="Q27" s="417"/>
      <c r="R27" s="417"/>
      <c r="S27" s="417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7" t="s">
        <v>203</v>
      </c>
      <c r="C31" s="405"/>
      <c r="D31" s="418"/>
      <c r="E31" s="418"/>
      <c r="F31" s="418"/>
      <c r="G31" s="406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08"/>
      <c r="C32" s="419"/>
      <c r="D32" s="413"/>
      <c r="E32" s="413"/>
      <c r="F32" s="413"/>
      <c r="G32" s="420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08"/>
      <c r="C33" s="419"/>
      <c r="D33" s="413"/>
      <c r="E33" s="413"/>
      <c r="F33" s="413"/>
      <c r="G33" s="420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08"/>
      <c r="C34" s="419"/>
      <c r="D34" s="413"/>
      <c r="E34" s="413"/>
      <c r="F34" s="413"/>
      <c r="G34" s="420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08"/>
      <c r="C35" s="419"/>
      <c r="D35" s="413"/>
      <c r="E35" s="413"/>
      <c r="F35" s="413"/>
      <c r="G35" s="420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08"/>
      <c r="C36" s="419"/>
      <c r="D36" s="413"/>
      <c r="E36" s="413"/>
      <c r="F36" s="413"/>
      <c r="G36" s="420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08"/>
      <c r="C37" s="419"/>
      <c r="D37" s="413"/>
      <c r="E37" s="413"/>
      <c r="F37" s="413"/>
      <c r="G37" s="420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08"/>
      <c r="C38" s="419"/>
      <c r="D38" s="413"/>
      <c r="E38" s="413"/>
      <c r="F38" s="413"/>
      <c r="G38" s="420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08"/>
      <c r="C39" s="419"/>
      <c r="D39" s="413"/>
      <c r="E39" s="413"/>
      <c r="F39" s="413"/>
      <c r="G39" s="420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12"/>
      <c r="C40" s="421"/>
      <c r="D40" s="422"/>
      <c r="E40" s="422"/>
      <c r="F40" s="422"/>
      <c r="G40" s="423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417" t="s">
        <v>191</v>
      </c>
      <c r="C41" s="1" t="s">
        <v>204</v>
      </c>
      <c r="H41" s="12"/>
    </row>
    <row r="42" spans="2:24">
      <c r="B42" s="41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1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13" t="s">
        <v>206</v>
      </c>
      <c r="D44" s="413"/>
      <c r="E44" s="413"/>
      <c r="F44" s="413"/>
      <c r="G44" s="413"/>
    </row>
    <row r="45" spans="2:24">
      <c r="B45" s="413" t="s">
        <v>201</v>
      </c>
    </row>
    <row r="46" spans="2:24">
      <c r="B46" s="413"/>
    </row>
    <row r="47" spans="2:24" ht="15" thickBot="1">
      <c r="B47" s="413"/>
    </row>
    <row r="48" spans="2:24" ht="15" customHeight="1" thickBot="1">
      <c r="K48" s="424" t="s">
        <v>207</v>
      </c>
      <c r="L48" s="426"/>
      <c r="W48" s="414" t="s">
        <v>207</v>
      </c>
      <c r="X48" s="414"/>
    </row>
    <row r="49" spans="2:24" ht="15" thickBot="1">
      <c r="B49" s="8" t="s">
        <v>184</v>
      </c>
      <c r="C49" s="424" t="s">
        <v>208</v>
      </c>
      <c r="D49" s="425"/>
      <c r="E49" s="425"/>
      <c r="F49" s="425"/>
      <c r="G49" s="426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24" t="s">
        <v>212</v>
      </c>
      <c r="P49" s="425"/>
      <c r="Q49" s="425"/>
      <c r="R49" s="425"/>
      <c r="S49" s="426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7" t="s">
        <v>214</v>
      </c>
      <c r="C50" s="405"/>
      <c r="D50" s="418"/>
      <c r="E50" s="418"/>
      <c r="F50" s="418"/>
      <c r="G50" s="406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7" t="s">
        <v>214</v>
      </c>
      <c r="O50" s="405"/>
      <c r="P50" s="418"/>
      <c r="Q50" s="418"/>
      <c r="R50" s="418"/>
      <c r="S50" s="406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08"/>
      <c r="C51" s="419"/>
      <c r="D51" s="413"/>
      <c r="E51" s="413"/>
      <c r="F51" s="413"/>
      <c r="G51" s="420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08"/>
      <c r="O51" s="419"/>
      <c r="P51" s="413"/>
      <c r="Q51" s="413"/>
      <c r="R51" s="413"/>
      <c r="S51" s="420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08"/>
      <c r="C52" s="419"/>
      <c r="D52" s="413"/>
      <c r="E52" s="413"/>
      <c r="F52" s="413"/>
      <c r="G52" s="420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08"/>
      <c r="O52" s="419"/>
      <c r="P52" s="413"/>
      <c r="Q52" s="413"/>
      <c r="R52" s="413"/>
      <c r="S52" s="420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08"/>
      <c r="C53" s="419"/>
      <c r="D53" s="413"/>
      <c r="E53" s="413"/>
      <c r="F53" s="413"/>
      <c r="G53" s="420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08"/>
      <c r="O53" s="419"/>
      <c r="P53" s="413"/>
      <c r="Q53" s="413"/>
      <c r="R53" s="413"/>
      <c r="S53" s="420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08"/>
      <c r="C54" s="419"/>
      <c r="D54" s="413"/>
      <c r="E54" s="413"/>
      <c r="F54" s="413"/>
      <c r="G54" s="420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08"/>
      <c r="O54" s="419"/>
      <c r="P54" s="413"/>
      <c r="Q54" s="413"/>
      <c r="R54" s="413"/>
      <c r="S54" s="420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08"/>
      <c r="C55" s="419"/>
      <c r="D55" s="413"/>
      <c r="E55" s="413"/>
      <c r="F55" s="413"/>
      <c r="G55" s="420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08"/>
      <c r="O55" s="419"/>
      <c r="P55" s="413"/>
      <c r="Q55" s="413"/>
      <c r="R55" s="413"/>
      <c r="S55" s="420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08"/>
      <c r="C56" s="419"/>
      <c r="D56" s="413"/>
      <c r="E56" s="413"/>
      <c r="F56" s="413"/>
      <c r="G56" s="420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08"/>
      <c r="O56" s="419"/>
      <c r="P56" s="413"/>
      <c r="Q56" s="413"/>
      <c r="R56" s="413"/>
      <c r="S56" s="420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08"/>
      <c r="C57" s="419"/>
      <c r="D57" s="413"/>
      <c r="E57" s="413"/>
      <c r="F57" s="413"/>
      <c r="G57" s="420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08"/>
      <c r="O57" s="419"/>
      <c r="P57" s="413"/>
      <c r="Q57" s="413"/>
      <c r="R57" s="413"/>
      <c r="S57" s="420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08"/>
      <c r="C58" s="419"/>
      <c r="D58" s="413"/>
      <c r="E58" s="413"/>
      <c r="F58" s="413"/>
      <c r="G58" s="420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08"/>
      <c r="O58" s="419"/>
      <c r="P58" s="413"/>
      <c r="Q58" s="413"/>
      <c r="R58" s="413"/>
      <c r="S58" s="420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12"/>
      <c r="C59" s="427"/>
      <c r="D59" s="428"/>
      <c r="E59" s="428"/>
      <c r="F59" s="428"/>
      <c r="G59" s="429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12"/>
      <c r="O59" s="421"/>
      <c r="P59" s="422"/>
      <c r="Q59" s="422"/>
      <c r="R59" s="422"/>
      <c r="S59" s="42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30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35" t="s">
        <v>218</v>
      </c>
      <c r="I60" s="436"/>
      <c r="J60" s="437"/>
      <c r="K60" s="81" t="s">
        <v>219</v>
      </c>
      <c r="L60" s="57">
        <f>K67^2/K68</f>
        <v>1.1707317073170729</v>
      </c>
      <c r="N60" s="417" t="s">
        <v>191</v>
      </c>
      <c r="O60" s="1" t="s">
        <v>220</v>
      </c>
    </row>
    <row r="61" spans="2:24" ht="16.149999999999999" customHeight="1" thickBot="1">
      <c r="B61" s="431"/>
      <c r="C61" s="80" t="s">
        <v>221</v>
      </c>
      <c r="D61" s="82">
        <f>-I50+D60*H50</f>
        <v>23.499999999999979</v>
      </c>
      <c r="E61" s="77"/>
      <c r="F61" s="61"/>
      <c r="G61" s="62"/>
      <c r="H61" s="438"/>
      <c r="I61" s="439"/>
      <c r="J61" s="440"/>
      <c r="K61" s="80"/>
      <c r="L61" s="62"/>
      <c r="N61" s="417"/>
    </row>
    <row r="62" spans="2:24" ht="27.6" customHeight="1">
      <c r="B62" s="431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7"/>
    </row>
    <row r="63" spans="2:24" ht="27.6" customHeight="1">
      <c r="B63" s="431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7"/>
    </row>
    <row r="64" spans="2:24">
      <c r="B64" s="432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7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3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1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3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13"/>
    </row>
    <row r="67" spans="2:19">
      <c r="B67" s="433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1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34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1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417" t="s">
        <v>237</v>
      </c>
      <c r="D69" s="417"/>
      <c r="E69" s="417"/>
      <c r="F69" s="417"/>
      <c r="G69" s="417"/>
      <c r="N69" s="2" t="s">
        <v>199</v>
      </c>
      <c r="O69" s="413" t="s">
        <v>238</v>
      </c>
      <c r="P69" s="413"/>
      <c r="Q69" s="413"/>
      <c r="R69" s="413"/>
      <c r="S69" s="413"/>
    </row>
    <row r="70" spans="2:19">
      <c r="B70" s="413" t="s">
        <v>201</v>
      </c>
      <c r="C70" s="65"/>
      <c r="D70" s="64"/>
      <c r="E70" s="64"/>
      <c r="F70" s="64"/>
      <c r="G70" s="93"/>
      <c r="N70" s="413" t="s">
        <v>201</v>
      </c>
    </row>
    <row r="71" spans="2:19">
      <c r="B71" s="413"/>
      <c r="C71" s="66"/>
      <c r="G71" s="94"/>
      <c r="N71" s="413"/>
    </row>
    <row r="72" spans="2:19">
      <c r="B72" s="413"/>
      <c r="C72" s="67"/>
      <c r="D72" s="68"/>
      <c r="E72" s="68"/>
      <c r="F72" s="68"/>
      <c r="G72" s="95"/>
      <c r="N72" s="413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7" t="s">
        <v>246</v>
      </c>
      <c r="C88" s="405"/>
      <c r="D88" s="418"/>
      <c r="E88" s="418"/>
      <c r="F88" s="418"/>
      <c r="G88" s="406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08"/>
      <c r="C89" s="419"/>
      <c r="D89" s="413"/>
      <c r="E89" s="413"/>
      <c r="F89" s="413"/>
      <c r="G89" s="420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08"/>
      <c r="C90" s="419"/>
      <c r="D90" s="413"/>
      <c r="E90" s="413"/>
      <c r="F90" s="413"/>
      <c r="G90" s="420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08"/>
      <c r="C91" s="419"/>
      <c r="D91" s="413"/>
      <c r="E91" s="413"/>
      <c r="F91" s="413"/>
      <c r="G91" s="420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08"/>
      <c r="C92" s="419"/>
      <c r="D92" s="413"/>
      <c r="E92" s="413"/>
      <c r="F92" s="413"/>
      <c r="G92" s="420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08"/>
      <c r="C93" s="419"/>
      <c r="D93" s="413"/>
      <c r="E93" s="413"/>
      <c r="F93" s="413"/>
      <c r="G93" s="420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08"/>
      <c r="C94" s="419"/>
      <c r="D94" s="413"/>
      <c r="E94" s="413"/>
      <c r="F94" s="413"/>
      <c r="G94" s="420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08"/>
      <c r="C95" s="419"/>
      <c r="D95" s="413"/>
      <c r="E95" s="413"/>
      <c r="F95" s="413"/>
      <c r="G95" s="420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08"/>
      <c r="C96" s="419"/>
      <c r="D96" s="413"/>
      <c r="E96" s="413"/>
      <c r="F96" s="413"/>
      <c r="G96" s="420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12"/>
      <c r="C97" s="421"/>
      <c r="D97" s="422"/>
      <c r="E97" s="422"/>
      <c r="F97" s="422"/>
      <c r="G97" s="42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417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41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1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413" t="s">
        <v>249</v>
      </c>
      <c r="D101" s="413"/>
      <c r="E101" s="413"/>
      <c r="F101" s="413"/>
      <c r="G101" s="413"/>
    </row>
    <row r="102" spans="2:10">
      <c r="B102" s="413" t="s">
        <v>201</v>
      </c>
    </row>
    <row r="103" spans="2:10">
      <c r="B103" s="413"/>
    </row>
    <row r="104" spans="2:10">
      <c r="B104" s="413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4" t="s">
        <v>252</v>
      </c>
      <c r="U15" s="445"/>
      <c r="V15" s="446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7" t="s">
        <v>252</v>
      </c>
      <c r="U23" s="448"/>
      <c r="V23" s="44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50" t="s">
        <v>712</v>
      </c>
      <c r="L33" s="451"/>
      <c r="M33" s="451"/>
      <c r="N33" s="451"/>
      <c r="O33" s="451"/>
      <c r="P33" s="451"/>
      <c r="Q33" s="451"/>
      <c r="R33" s="451"/>
      <c r="S33" s="45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50" t="s">
        <v>713</v>
      </c>
      <c r="L44" s="451"/>
      <c r="M44" s="451"/>
      <c r="N44" s="451"/>
      <c r="O44" s="451"/>
      <c r="P44" s="451"/>
      <c r="Q44" s="451"/>
      <c r="R44" s="451"/>
      <c r="S44" s="452"/>
    </row>
    <row r="45" spans="2:19" ht="15" thickBot="1">
      <c r="B45" s="441" t="s">
        <v>311</v>
      </c>
      <c r="C45" s="442"/>
      <c r="D45" s="442"/>
      <c r="E45" s="442"/>
      <c r="F45" s="44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T281"/>
  <sheetViews>
    <sheetView tabSelected="1" topLeftCell="A265" zoomScale="85" zoomScaleNormal="85" zoomScaleSheetLayoutView="100" workbookViewId="0">
      <selection activeCell="E274" sqref="E274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9" ht="20.45" customHeight="1">
      <c r="E2" s="354" t="s">
        <v>714</v>
      </c>
      <c r="F2" s="351"/>
    </row>
    <row r="3" spans="2:9">
      <c r="E3" s="453" t="s">
        <v>720</v>
      </c>
      <c r="F3" s="453"/>
      <c r="G3" s="453"/>
      <c r="H3" s="453"/>
    </row>
    <row r="4" spans="2:9">
      <c r="E4" s="453"/>
      <c r="F4" s="453"/>
      <c r="G4" s="453"/>
      <c r="H4" s="453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748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 ht="15">
      <c r="B17" s="356" t="s">
        <v>735</v>
      </c>
      <c r="C17" s="186"/>
      <c r="D17" s="186"/>
    </row>
    <row r="18" spans="2:13" ht="15">
      <c r="B18" s="371" t="s">
        <v>843</v>
      </c>
      <c r="C18" t="s">
        <v>844</v>
      </c>
      <c r="F18" s="306" t="s">
        <v>917</v>
      </c>
      <c r="G18" t="s">
        <v>919</v>
      </c>
    </row>
    <row r="19" spans="2:13" ht="15">
      <c r="B19" s="371" t="s">
        <v>845</v>
      </c>
      <c r="C19" t="s">
        <v>846</v>
      </c>
      <c r="F19" s="306" t="s">
        <v>918</v>
      </c>
    </row>
    <row r="20" spans="2:13">
      <c r="B20" t="s">
        <v>850</v>
      </c>
      <c r="D20">
        <v>191</v>
      </c>
      <c r="E20" t="s">
        <v>848</v>
      </c>
      <c r="F20" t="s">
        <v>850</v>
      </c>
      <c r="H20">
        <v>198</v>
      </c>
      <c r="I20" t="s">
        <v>848</v>
      </c>
    </row>
    <row r="21" spans="2:13">
      <c r="B21" t="s">
        <v>851</v>
      </c>
      <c r="D21">
        <v>0.2</v>
      </c>
      <c r="E21" t="s">
        <v>227</v>
      </c>
      <c r="F21" t="s">
        <v>851</v>
      </c>
      <c r="H21">
        <v>0.25</v>
      </c>
      <c r="I21" t="s">
        <v>227</v>
      </c>
      <c r="L21" t="s">
        <v>797</v>
      </c>
      <c r="M21" t="s">
        <v>801</v>
      </c>
    </row>
    <row r="22" spans="2:13">
      <c r="B22" t="s">
        <v>849</v>
      </c>
      <c r="D22">
        <f>D20/D21</f>
        <v>955</v>
      </c>
      <c r="E22" t="s">
        <v>294</v>
      </c>
      <c r="F22" t="s">
        <v>849</v>
      </c>
      <c r="H22">
        <f>H20/H21</f>
        <v>792</v>
      </c>
      <c r="I22" t="s">
        <v>294</v>
      </c>
      <c r="L22" t="s">
        <v>798</v>
      </c>
      <c r="M22" t="s">
        <v>800</v>
      </c>
    </row>
    <row r="23" spans="2:13">
      <c r="H23" t="s">
        <v>723</v>
      </c>
      <c r="J23" t="s">
        <v>724</v>
      </c>
      <c r="L23" t="s">
        <v>799</v>
      </c>
      <c r="M23" t="s">
        <v>802</v>
      </c>
    </row>
    <row r="24" spans="2:13" ht="15">
      <c r="B24" s="374" t="s">
        <v>920</v>
      </c>
      <c r="G24" t="s">
        <v>806</v>
      </c>
      <c r="H24">
        <v>219</v>
      </c>
      <c r="I24" t="s">
        <v>721</v>
      </c>
      <c r="J24" s="375">
        <v>1.4999999999999999E-2</v>
      </c>
    </row>
    <row r="25" spans="2:13">
      <c r="B25" t="s">
        <v>715</v>
      </c>
      <c r="D25">
        <v>955</v>
      </c>
      <c r="E25" t="s">
        <v>314</v>
      </c>
      <c r="F25" s="357">
        <v>0.55000000000000004</v>
      </c>
      <c r="G25" s="382" t="s">
        <v>807</v>
      </c>
      <c r="H25" s="389">
        <f>H24*0.1</f>
        <v>21.900000000000002</v>
      </c>
      <c r="I25" s="382" t="s">
        <v>746</v>
      </c>
      <c r="J25" s="384">
        <v>1.4999999999999999E-2</v>
      </c>
    </row>
    <row r="26" spans="2:13">
      <c r="B26" s="382" t="s">
        <v>716</v>
      </c>
      <c r="C26" s="382"/>
      <c r="D26" s="382">
        <v>1090</v>
      </c>
      <c r="E26" s="382" t="s">
        <v>314</v>
      </c>
      <c r="F26" s="383">
        <f>1-F25</f>
        <v>0.44999999999999996</v>
      </c>
      <c r="G26" s="386" t="s">
        <v>897</v>
      </c>
      <c r="H26" s="186"/>
      <c r="I26" s="382" t="s">
        <v>898</v>
      </c>
      <c r="J26" s="384">
        <v>1.4999999999999999E-2</v>
      </c>
    </row>
    <row r="27" spans="2:13" ht="15">
      <c r="B27" t="s">
        <v>813</v>
      </c>
      <c r="D27" s="190">
        <f>(H24/J24)/1000</f>
        <v>14.6</v>
      </c>
      <c r="E27" t="s">
        <v>740</v>
      </c>
      <c r="G27" t="s">
        <v>808</v>
      </c>
      <c r="H27" s="389">
        <f>H28*0.8</f>
        <v>34.03921568627451</v>
      </c>
      <c r="I27" t="s">
        <v>722</v>
      </c>
      <c r="J27" s="376">
        <v>1.9E-2</v>
      </c>
    </row>
    <row r="28" spans="2:13" ht="15">
      <c r="B28" s="186" t="s">
        <v>814</v>
      </c>
      <c r="C28" s="186"/>
      <c r="D28" s="277">
        <f>(H28/J28)/1000</f>
        <v>1.5196078431372551</v>
      </c>
      <c r="E28" s="186" t="s">
        <v>740</v>
      </c>
      <c r="G28" t="s">
        <v>809</v>
      </c>
      <c r="H28">
        <f>434*(0.1/1.02)</f>
        <v>42.549019607843135</v>
      </c>
      <c r="I28" t="s">
        <v>733</v>
      </c>
      <c r="J28" s="376">
        <f>2.8/100</f>
        <v>2.7999999999999997E-2</v>
      </c>
    </row>
    <row r="29" spans="2:13" ht="15">
      <c r="B29" t="s">
        <v>815</v>
      </c>
      <c r="D29" s="372">
        <v>0</v>
      </c>
      <c r="E29" t="s">
        <v>740</v>
      </c>
      <c r="G29" t="s">
        <v>810</v>
      </c>
      <c r="H29">
        <f>1239*(0.1/1.02)</f>
        <v>121.47058823529412</v>
      </c>
      <c r="I29" t="s">
        <v>734</v>
      </c>
      <c r="J29" s="376">
        <f>J28</f>
        <v>2.7999999999999997E-2</v>
      </c>
    </row>
    <row r="30" spans="2:13" ht="15">
      <c r="B30" t="s">
        <v>816</v>
      </c>
      <c r="D30" s="190">
        <f>(H29/J29)/1000</f>
        <v>4.3382352941176476</v>
      </c>
      <c r="E30" t="s">
        <v>740</v>
      </c>
      <c r="G30" t="s">
        <v>841</v>
      </c>
      <c r="H30" s="389">
        <f>H29*0.8</f>
        <v>97.176470588235304</v>
      </c>
      <c r="I30" t="s">
        <v>842</v>
      </c>
      <c r="J30" s="376">
        <f>J27</f>
        <v>1.9E-2</v>
      </c>
    </row>
    <row r="31" spans="2:13">
      <c r="D31" s="190"/>
      <c r="G31" t="s">
        <v>905</v>
      </c>
      <c r="H31" s="389">
        <f>819*(0.1/1.02)</f>
        <v>80.294117647058826</v>
      </c>
      <c r="J31" s="376"/>
    </row>
    <row r="33" spans="2:10">
      <c r="B33" s="186" t="s">
        <v>719</v>
      </c>
      <c r="C33" s="186"/>
      <c r="D33" s="186"/>
      <c r="G33" s="186" t="s">
        <v>725</v>
      </c>
      <c r="H33" s="186"/>
    </row>
    <row r="34" spans="2:10">
      <c r="B34" t="s">
        <v>717</v>
      </c>
      <c r="D34">
        <f>D25*(F25)+D26*(F26)</f>
        <v>1015.75</v>
      </c>
      <c r="E34" t="s">
        <v>314</v>
      </c>
      <c r="G34" t="s">
        <v>728</v>
      </c>
      <c r="H34" s="281">
        <f>H35/(H36+H35)</f>
        <v>0.8771929824561403</v>
      </c>
    </row>
    <row r="35" spans="2:10">
      <c r="B35" t="s">
        <v>817</v>
      </c>
      <c r="D35">
        <f>D27*F25+D28*F26</f>
        <v>8.7138235294117656</v>
      </c>
      <c r="E35" t="s">
        <v>740</v>
      </c>
      <c r="G35" t="s">
        <v>726</v>
      </c>
      <c r="H35" s="281">
        <v>100</v>
      </c>
      <c r="I35" t="s">
        <v>729</v>
      </c>
    </row>
    <row r="36" spans="2:10">
      <c r="B36" t="s">
        <v>803</v>
      </c>
      <c r="D36">
        <f>IF(J27=J24,C44,IF(J27&lt;J24,B44,D44))</f>
        <v>130.70735294117648</v>
      </c>
      <c r="E36" t="s">
        <v>723</v>
      </c>
      <c r="G36" t="s">
        <v>727</v>
      </c>
      <c r="H36" s="281">
        <v>14</v>
      </c>
      <c r="I36" t="s">
        <v>729</v>
      </c>
    </row>
    <row r="37" spans="2:10">
      <c r="B37" t="s">
        <v>804</v>
      </c>
      <c r="D37">
        <f>H24*F25+H28*F26</f>
        <v>139.59705882352941</v>
      </c>
      <c r="E37" t="s">
        <v>723</v>
      </c>
      <c r="G37" s="263" t="s">
        <v>730</v>
      </c>
      <c r="H37" s="358">
        <v>1000</v>
      </c>
      <c r="I37" s="263" t="s">
        <v>729</v>
      </c>
      <c r="J37" s="263"/>
    </row>
    <row r="38" spans="2:10" ht="15">
      <c r="B38" t="s">
        <v>819</v>
      </c>
      <c r="D38">
        <f>D39*0.8</f>
        <v>53.365411764705883</v>
      </c>
      <c r="E38" t="s">
        <v>820</v>
      </c>
      <c r="H38" s="359">
        <f>H37*H34</f>
        <v>877.19298245614027</v>
      </c>
      <c r="I38" t="s">
        <v>731</v>
      </c>
    </row>
    <row r="39" spans="2:10" ht="15">
      <c r="B39" t="s">
        <v>805</v>
      </c>
      <c r="D39">
        <f>IF(J27=J24,C45,IF(J27&lt;J24,B45,D45))</f>
        <v>66.70676470588235</v>
      </c>
      <c r="E39" t="s">
        <v>723</v>
      </c>
      <c r="H39" s="359">
        <f>H37-H38</f>
        <v>122.80701754385973</v>
      </c>
      <c r="I39" t="s">
        <v>732</v>
      </c>
    </row>
    <row r="40" spans="2:10" ht="15">
      <c r="B40" t="s">
        <v>899</v>
      </c>
      <c r="D40">
        <f>H26*F25+H31*F26</f>
        <v>36.132352941176471</v>
      </c>
      <c r="E40" t="s">
        <v>723</v>
      </c>
      <c r="H40" s="359"/>
    </row>
    <row r="41" spans="2:10" ht="15">
      <c r="H41" s="359"/>
    </row>
    <row r="43" spans="2:10">
      <c r="B43" t="s">
        <v>745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811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812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741</v>
      </c>
      <c r="C47" t="s">
        <v>742</v>
      </c>
      <c r="D47" t="s">
        <v>743</v>
      </c>
    </row>
    <row r="48" spans="2:10">
      <c r="B48" t="s">
        <v>254</v>
      </c>
      <c r="C48" t="s">
        <v>840</v>
      </c>
      <c r="D48" t="s">
        <v>255</v>
      </c>
      <c r="E48" t="s">
        <v>839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736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737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738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739</v>
      </c>
      <c r="M53" t="s">
        <v>836</v>
      </c>
      <c r="N53" t="s">
        <v>834</v>
      </c>
      <c r="O53" t="s">
        <v>837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744</v>
      </c>
      <c r="M54" t="s">
        <v>833</v>
      </c>
      <c r="N54" t="s">
        <v>834</v>
      </c>
      <c r="O54" t="s">
        <v>835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847</v>
      </c>
      <c r="C58" s="186"/>
      <c r="D58" s="186"/>
    </row>
    <row r="59" spans="2:15">
      <c r="B59">
        <f>D36</f>
        <v>130.70735294117648</v>
      </c>
      <c r="C59" t="s">
        <v>803</v>
      </c>
    </row>
    <row r="60" spans="2:15">
      <c r="B60">
        <f>D38</f>
        <v>53.365411764705883</v>
      </c>
      <c r="C60" t="s">
        <v>819</v>
      </c>
    </row>
    <row r="61" spans="2:15">
      <c r="B61">
        <f>D39</f>
        <v>66.70676470588235</v>
      </c>
      <c r="C61" t="s">
        <v>818</v>
      </c>
    </row>
    <row r="70" spans="2:4" ht="15.75">
      <c r="B70" s="398" t="s">
        <v>706</v>
      </c>
      <c r="C70" s="186"/>
      <c r="D70" s="186"/>
    </row>
    <row r="71" spans="2:4">
      <c r="B71" t="s">
        <v>782</v>
      </c>
    </row>
    <row r="72" spans="2:4" ht="15">
      <c r="D72" s="366"/>
    </row>
    <row r="73" spans="2:4" ht="15">
      <c r="D73" s="366"/>
    </row>
    <row r="74" spans="2:4" ht="15">
      <c r="D74" s="366"/>
    </row>
    <row r="82" spans="2:12">
      <c r="B82" s="379" t="s">
        <v>858</v>
      </c>
      <c r="C82" s="186"/>
      <c r="D82" s="186"/>
      <c r="E82" s="186"/>
      <c r="G82" s="379" t="s">
        <v>942</v>
      </c>
      <c r="H82" s="186"/>
      <c r="I82" s="186"/>
      <c r="J82" s="186"/>
    </row>
    <row r="83" spans="2:12">
      <c r="B83" t="s">
        <v>765</v>
      </c>
      <c r="D83">
        <v>3.5</v>
      </c>
      <c r="E83" t="s">
        <v>749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859</v>
      </c>
      <c r="D85" t="s">
        <v>753</v>
      </c>
      <c r="G85" t="s">
        <v>707</v>
      </c>
      <c r="I85" s="190">
        <f>I86+2*I84</f>
        <v>91.715020310529326</v>
      </c>
      <c r="J85" t="s">
        <v>227</v>
      </c>
    </row>
    <row r="86" spans="2:12">
      <c r="B86" t="s">
        <v>772</v>
      </c>
      <c r="D86">
        <v>20</v>
      </c>
      <c r="E86" t="s">
        <v>769</v>
      </c>
      <c r="G86" t="s">
        <v>708</v>
      </c>
      <c r="I86" s="190">
        <v>88.9</v>
      </c>
      <c r="J86" t="s">
        <v>227</v>
      </c>
    </row>
    <row r="87" spans="2:12">
      <c r="B87" t="s">
        <v>768</v>
      </c>
      <c r="D87">
        <v>100</v>
      </c>
      <c r="E87" t="s">
        <v>769</v>
      </c>
      <c r="G87" t="s">
        <v>709</v>
      </c>
      <c r="I87" s="190">
        <f>(I85+I86)*0.5</f>
        <v>90.307510155264666</v>
      </c>
      <c r="J87" t="s">
        <v>227</v>
      </c>
    </row>
    <row r="88" spans="2:12">
      <c r="D88">
        <f>CONVERT(D87,"C","F")</f>
        <v>212</v>
      </c>
      <c r="E88" t="s">
        <v>770</v>
      </c>
      <c r="G88" t="s">
        <v>323</v>
      </c>
      <c r="I88" s="190">
        <f>1620/2</f>
        <v>810</v>
      </c>
      <c r="J88" t="s">
        <v>227</v>
      </c>
      <c r="L88" t="s">
        <v>779</v>
      </c>
    </row>
    <row r="89" spans="2:12">
      <c r="B89" t="s">
        <v>766</v>
      </c>
      <c r="D89">
        <f>VLOOKUP(D85,B256:C262,2,)</f>
        <v>23.2</v>
      </c>
      <c r="E89" t="s">
        <v>771</v>
      </c>
      <c r="G89" t="s">
        <v>747</v>
      </c>
      <c r="I89" s="190">
        <f>((PI()*I85^2)/4)-((PI()*I86^2)/4)</f>
        <v>399.32387637752981</v>
      </c>
      <c r="J89" t="s">
        <v>872</v>
      </c>
      <c r="L89" t="s">
        <v>780</v>
      </c>
    </row>
    <row r="90" spans="2:12" ht="15">
      <c r="B90" t="s">
        <v>767</v>
      </c>
      <c r="D90">
        <f>D84+((D87-D86)*(D89/1000))</f>
        <v>90.755999999999986</v>
      </c>
      <c r="E90" t="s">
        <v>227</v>
      </c>
      <c r="G90" t="s">
        <v>873</v>
      </c>
      <c r="I90" s="190">
        <f>(PI()/(32*I85))*((I85^4)-I86^4)</f>
        <v>8879.2859383022005</v>
      </c>
      <c r="J90" t="s">
        <v>871</v>
      </c>
      <c r="L90" t="s">
        <v>781</v>
      </c>
    </row>
    <row r="92" spans="2:12">
      <c r="B92" t="s">
        <v>946</v>
      </c>
      <c r="D92" s="281">
        <f>I95</f>
        <v>85.788892562927941</v>
      </c>
      <c r="E92" t="s">
        <v>227</v>
      </c>
      <c r="G92" s="186" t="s">
        <v>943</v>
      </c>
      <c r="H92" s="186"/>
      <c r="I92" s="186"/>
      <c r="J92" s="186"/>
    </row>
    <row r="93" spans="2:12">
      <c r="B93" t="s">
        <v>947</v>
      </c>
      <c r="D93" s="281">
        <f>D92+((D86-D87)*D89/1000)</f>
        <v>83.932892562927947</v>
      </c>
      <c r="E93" t="s">
        <v>227</v>
      </c>
      <c r="G93" s="385" t="s">
        <v>226</v>
      </c>
      <c r="H93" s="382"/>
      <c r="I93" s="397">
        <f>0.5*I86-(0.125*(I86^4)-0.0625*(I85^4))^(1/4)</f>
        <v>1.5555537185360322</v>
      </c>
      <c r="J93" s="382" t="s">
        <v>227</v>
      </c>
    </row>
    <row r="94" spans="2:12">
      <c r="B94" t="s">
        <v>948</v>
      </c>
      <c r="D94" s="281">
        <f>(D92-D93)/2</f>
        <v>0.92799999999999727</v>
      </c>
      <c r="E94" t="s">
        <v>227</v>
      </c>
      <c r="G94" s="385" t="s">
        <v>945</v>
      </c>
      <c r="H94" s="382"/>
      <c r="I94" s="396">
        <f>I86</f>
        <v>88.9</v>
      </c>
      <c r="J94" s="382" t="s">
        <v>227</v>
      </c>
    </row>
    <row r="95" spans="2:12">
      <c r="C95" t="s">
        <v>951</v>
      </c>
      <c r="D95">
        <v>0.2</v>
      </c>
      <c r="E95" t="s">
        <v>787</v>
      </c>
      <c r="G95" s="385" t="s">
        <v>944</v>
      </c>
      <c r="I95">
        <f>I94-2*I93</f>
        <v>85.788892562927941</v>
      </c>
      <c r="J95" t="s">
        <v>227</v>
      </c>
    </row>
    <row r="96" spans="2:12">
      <c r="D96">
        <v>0</v>
      </c>
      <c r="E96" t="s">
        <v>194</v>
      </c>
      <c r="G96" t="s">
        <v>949</v>
      </c>
    </row>
    <row r="97" spans="2:10">
      <c r="G97" t="s">
        <v>950</v>
      </c>
    </row>
    <row r="98" spans="2:10">
      <c r="B98" s="186" t="s">
        <v>860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866</v>
      </c>
    </row>
    <row r="100" spans="2:10">
      <c r="B100" t="s">
        <v>861</v>
      </c>
    </row>
    <row r="101" spans="2:10">
      <c r="B101" t="s">
        <v>84</v>
      </c>
      <c r="C101" t="s">
        <v>862</v>
      </c>
      <c r="D101" t="s">
        <v>863</v>
      </c>
      <c r="E101">
        <v>18</v>
      </c>
      <c r="F101" t="s">
        <v>864</v>
      </c>
      <c r="G101" t="s">
        <v>865</v>
      </c>
      <c r="H101">
        <v>0.5</v>
      </c>
    </row>
    <row r="103" spans="2:10" ht="28.5">
      <c r="B103" s="186" t="s">
        <v>852</v>
      </c>
      <c r="C103" s="186" t="s">
        <v>783</v>
      </c>
      <c r="D103" s="380" t="s">
        <v>867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773</v>
      </c>
      <c r="C104" t="s">
        <v>788</v>
      </c>
      <c r="D104" t="s">
        <v>775</v>
      </c>
      <c r="E104" t="s">
        <v>776</v>
      </c>
    </row>
    <row r="105" spans="2:10">
      <c r="B105" s="190">
        <v>89</v>
      </c>
      <c r="C105" s="368" t="s">
        <v>787</v>
      </c>
      <c r="D105">
        <v>150</v>
      </c>
      <c r="E105" t="s">
        <v>778</v>
      </c>
    </row>
    <row r="106" spans="2:10" ht="15">
      <c r="B106" s="190">
        <v>350</v>
      </c>
      <c r="C106" s="369" t="s">
        <v>787</v>
      </c>
      <c r="D106">
        <v>1500</v>
      </c>
      <c r="E106" t="s">
        <v>855</v>
      </c>
      <c r="I106" s="371"/>
      <c r="J106" s="281"/>
    </row>
    <row r="107" spans="2:10" ht="15">
      <c r="B107" s="190">
        <f>(B105+B106-(B108*D108))/D107</f>
        <v>-7.0269360269360301E-2</v>
      </c>
      <c r="C107" s="370" t="s">
        <v>194</v>
      </c>
      <c r="D107">
        <f>I88-D105</f>
        <v>660</v>
      </c>
      <c r="E107" t="s">
        <v>857</v>
      </c>
      <c r="I107" s="306"/>
      <c r="J107" s="306"/>
    </row>
    <row r="108" spans="2:10" ht="15">
      <c r="B108" s="190">
        <f>(B106*(2*D108+D107)-(B105*D107))/((D108^2)+D107*D108)</f>
        <v>0.70344605475040256</v>
      </c>
      <c r="C108" s="367" t="s">
        <v>194</v>
      </c>
      <c r="D108">
        <f>D106-I88</f>
        <v>690</v>
      </c>
      <c r="E108" t="s">
        <v>856</v>
      </c>
      <c r="H108" t="s">
        <v>877</v>
      </c>
      <c r="I108">
        <f>SUM(D107:D108)</f>
        <v>1350</v>
      </c>
      <c r="J108" s="306"/>
    </row>
    <row r="110" spans="2:10">
      <c r="B110" t="s">
        <v>868</v>
      </c>
      <c r="F110" t="s">
        <v>870</v>
      </c>
    </row>
    <row r="111" spans="2:10">
      <c r="B111" t="s">
        <v>878</v>
      </c>
      <c r="D111" s="281">
        <f>B105-B107*D107</f>
        <v>135.37777777777779</v>
      </c>
      <c r="E111" t="s">
        <v>718</v>
      </c>
    </row>
    <row r="112" spans="2:10">
      <c r="B112" t="s">
        <v>869</v>
      </c>
      <c r="D112" s="281">
        <f>(B105^2)/(2*B107)</f>
        <v>-56361.691423095326</v>
      </c>
      <c r="E112" t="s">
        <v>793</v>
      </c>
      <c r="F112">
        <f>B105/B107</f>
        <v>-1266.5548634403444</v>
      </c>
      <c r="G112" t="s">
        <v>227</v>
      </c>
    </row>
    <row r="113" spans="2:14">
      <c r="B113" t="s">
        <v>875</v>
      </c>
      <c r="D113" s="281">
        <f>((D111^2)/(2*B108))-D111*(I108-D107)+B108*(0.5*I108^2+0.5*D107^2-I108*D107)</f>
        <v>87071.353355919797</v>
      </c>
      <c r="E113" t="s">
        <v>793</v>
      </c>
      <c r="F113">
        <f>(D111/B108)+D107</f>
        <v>852.44940939474407</v>
      </c>
      <c r="G113" t="s">
        <v>227</v>
      </c>
      <c r="H113" s="381" t="s">
        <v>908</v>
      </c>
    </row>
    <row r="114" spans="2:14">
      <c r="B114" t="s">
        <v>796</v>
      </c>
      <c r="D114" s="281">
        <f>MAX(D112:D113)</f>
        <v>87071.353355919797</v>
      </c>
      <c r="E114" t="s">
        <v>793</v>
      </c>
      <c r="H114" s="381" t="s">
        <v>909</v>
      </c>
    </row>
    <row r="115" spans="2:14">
      <c r="B115" t="s">
        <v>874</v>
      </c>
      <c r="D115" s="281">
        <f>D114/tubeZ</f>
        <v>9.8061211184025261</v>
      </c>
      <c r="E115" t="s">
        <v>723</v>
      </c>
    </row>
    <row r="116" spans="2:14">
      <c r="B116" t="s">
        <v>904</v>
      </c>
      <c r="D116" s="281">
        <f>B106/(PI()*I87*I84)</f>
        <v>0.87648152465870166</v>
      </c>
      <c r="E116" t="s">
        <v>723</v>
      </c>
    </row>
    <row r="117" spans="2:14">
      <c r="B117" t="s">
        <v>900</v>
      </c>
      <c r="D117" s="281">
        <f>StyComp/D115</f>
        <v>13.329159548711496</v>
      </c>
    </row>
    <row r="118" spans="2:14">
      <c r="B118" t="s">
        <v>901</v>
      </c>
      <c r="D118" s="281">
        <f>ScyComp/D115</f>
        <v>5.442051053658556</v>
      </c>
    </row>
    <row r="119" spans="2:14">
      <c r="B119" t="s">
        <v>903</v>
      </c>
      <c r="D119" s="281">
        <f>SsyComp/D116</f>
        <v>41.2243178260332</v>
      </c>
      <c r="F119" s="381" t="s">
        <v>906</v>
      </c>
    </row>
    <row r="120" spans="2:14">
      <c r="F120" s="381" t="s">
        <v>907</v>
      </c>
    </row>
    <row r="121" spans="2:14">
      <c r="L121" t="s">
        <v>789</v>
      </c>
    </row>
    <row r="122" spans="2:14">
      <c r="B122" t="s">
        <v>876</v>
      </c>
      <c r="C122">
        <v>15</v>
      </c>
      <c r="D122">
        <f>I108/C122</f>
        <v>90</v>
      </c>
      <c r="L122" t="s">
        <v>785</v>
      </c>
      <c r="M122" t="s">
        <v>792</v>
      </c>
    </row>
    <row r="123" spans="2:14">
      <c r="B123" s="373" t="s">
        <v>794</v>
      </c>
      <c r="C123" s="373" t="s">
        <v>320</v>
      </c>
      <c r="D123" s="373" t="s">
        <v>795</v>
      </c>
      <c r="L123">
        <f>D105</f>
        <v>150</v>
      </c>
      <c r="M123">
        <v>0</v>
      </c>
    </row>
    <row r="124" spans="2:14">
      <c r="B124">
        <v>0</v>
      </c>
      <c r="C124">
        <f t="shared" ref="C124:C140" si="0">IF(B124&lt;$D$107,$B$105-$B$107*B124,$D$111-$B$108*(B124-$D$107))</f>
        <v>89</v>
      </c>
      <c r="D124">
        <f>IF(B124&lt;$D$107,$B$105*B124-$B$107*(B124^2)*0.5,$D$111*B124+$B$108*($D$107*B124+0.5*$I$108^2-0.5*B124^2)-$I$108*($D$111+$B$108*$D$107))</f>
        <v>0</v>
      </c>
      <c r="L124">
        <f>L123</f>
        <v>150</v>
      </c>
      <c r="M124">
        <f>B105</f>
        <v>89</v>
      </c>
      <c r="N124" t="s">
        <v>786</v>
      </c>
    </row>
    <row r="125" spans="2:14">
      <c r="B125">
        <f>D122</f>
        <v>90</v>
      </c>
      <c r="C125">
        <f t="shared" si="0"/>
        <v>95.324242424242428</v>
      </c>
      <c r="D125">
        <f t="shared" ref="D125:D141" si="1">IF(B125&lt;$D$107,$B$105*B125-$B$107*(B125^2)*0.5,$D$111*B125+$B$108*($D$107*B125+0.5*$I$108^2-0.5*B125^2)-$I$108*($D$111+$B$108*$D$107))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si="1"/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D106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M126+B106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D107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IF(B134&lt;$D$107,$B$105*B134-$B$107*(B134^2)*0.5,$D$111*B134+$B$108*($D$107*B134+0.5*$I$108^2-0.5*B134^2)-$I$108*($D$111+$B$108*$D$107))</f>
        <v>86437.565217391239</v>
      </c>
      <c r="L134" t="s">
        <v>790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785</v>
      </c>
      <c r="M135" t="s">
        <v>791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57" spans="2:10">
      <c r="B157" s="186" t="s">
        <v>784</v>
      </c>
      <c r="C157" s="186" t="s">
        <v>783</v>
      </c>
      <c r="D157" s="186" t="s">
        <v>774</v>
      </c>
      <c r="E157" s="186" t="s">
        <v>409</v>
      </c>
      <c r="F157" s="186"/>
      <c r="G157" s="186"/>
      <c r="H157" s="186"/>
      <c r="I157" s="186"/>
      <c r="J157" s="186"/>
    </row>
    <row r="158" spans="2:10">
      <c r="B158" t="s">
        <v>773</v>
      </c>
      <c r="C158" t="s">
        <v>788</v>
      </c>
      <c r="D158" t="s">
        <v>775</v>
      </c>
      <c r="E158" t="s">
        <v>776</v>
      </c>
    </row>
    <row r="159" spans="2:10">
      <c r="B159">
        <v>6</v>
      </c>
      <c r="C159" s="368" t="s">
        <v>194</v>
      </c>
      <c r="D159">
        <v>0</v>
      </c>
      <c r="E159" t="s">
        <v>853</v>
      </c>
    </row>
    <row r="160" spans="2:10">
      <c r="B160">
        <v>150</v>
      </c>
      <c r="C160" s="369" t="s">
        <v>194</v>
      </c>
      <c r="E160" t="s">
        <v>854</v>
      </c>
    </row>
    <row r="161" spans="2:10">
      <c r="B161" s="281">
        <f>(H164*9.81*(1+H163))</f>
        <v>1261.6950899999999</v>
      </c>
      <c r="C161" s="370" t="s">
        <v>194</v>
      </c>
      <c r="E161" t="s">
        <v>895</v>
      </c>
      <c r="I161" s="378"/>
      <c r="J161" s="378"/>
    </row>
    <row r="162" spans="2:10">
      <c r="B162">
        <v>1200</v>
      </c>
      <c r="C162" t="s">
        <v>787</v>
      </c>
      <c r="D162" t="s">
        <v>88</v>
      </c>
      <c r="E162" t="s">
        <v>777</v>
      </c>
    </row>
    <row r="163" spans="2:10">
      <c r="G163" t="s">
        <v>879</v>
      </c>
      <c r="H163">
        <f>(B162/H164)/9.81</f>
        <v>19.450494358627243</v>
      </c>
      <c r="I163" t="s">
        <v>884</v>
      </c>
    </row>
    <row r="164" spans="2:10">
      <c r="G164" t="s">
        <v>881</v>
      </c>
      <c r="H164">
        <f>H166-H165</f>
        <v>6.2889999999999997</v>
      </c>
    </row>
    <row r="165" spans="2:10">
      <c r="G165" t="s">
        <v>882</v>
      </c>
      <c r="H165">
        <f>3.423-2.328</f>
        <v>1.0950000000000002</v>
      </c>
    </row>
    <row r="166" spans="2:10">
      <c r="G166" t="s">
        <v>880</v>
      </c>
      <c r="H166">
        <v>7.3840000000000003</v>
      </c>
    </row>
    <row r="167" spans="2:10">
      <c r="G167" t="s">
        <v>883</v>
      </c>
    </row>
    <row r="168" spans="2:10">
      <c r="B168" t="s">
        <v>885</v>
      </c>
      <c r="D168" s="281">
        <f>B160/I89</f>
        <v>0.37563493913944335</v>
      </c>
      <c r="E168" t="s">
        <v>723</v>
      </c>
    </row>
    <row r="169" spans="2:10">
      <c r="B169" t="s">
        <v>886</v>
      </c>
      <c r="D169" s="281">
        <f>B161/I89</f>
        <v>3.159578388964563</v>
      </c>
      <c r="E169" t="s">
        <v>723</v>
      </c>
      <c r="F169" t="s">
        <v>891</v>
      </c>
    </row>
    <row r="170" spans="2:10">
      <c r="B170" t="s">
        <v>887</v>
      </c>
      <c r="D170" s="281">
        <f>Sbending</f>
        <v>9.8061211184025261</v>
      </c>
      <c r="E170" t="s">
        <v>723</v>
      </c>
      <c r="F170" t="s">
        <v>892</v>
      </c>
    </row>
    <row r="171" spans="2:10">
      <c r="B171" t="s">
        <v>888</v>
      </c>
      <c r="D171" s="281">
        <f>SUM(D168:D170)</f>
        <v>13.341334446506533</v>
      </c>
      <c r="E171" t="s">
        <v>723</v>
      </c>
      <c r="F171" t="s">
        <v>893</v>
      </c>
    </row>
    <row r="172" spans="2:10">
      <c r="B172" t="s">
        <v>902</v>
      </c>
      <c r="D172" s="281">
        <f>D111</f>
        <v>135.37777777777779</v>
      </c>
      <c r="F172" t="s">
        <v>894</v>
      </c>
      <c r="G172">
        <f>(B160/H164)/9.81</f>
        <v>2.4313117948284053</v>
      </c>
    </row>
    <row r="173" spans="2:10">
      <c r="B173" s="273" t="s">
        <v>890</v>
      </c>
      <c r="C173" s="273"/>
      <c r="D173" s="387">
        <f>ScyComp/D171</f>
        <v>4.0000055450734742</v>
      </c>
    </row>
    <row r="174" spans="2:10">
      <c r="B174" s="273" t="s">
        <v>889</v>
      </c>
      <c r="C174" s="273"/>
      <c r="D174" s="387">
        <f>StyComp/Sbending</f>
        <v>13.329159548711496</v>
      </c>
    </row>
    <row r="175" spans="2:10">
      <c r="B175" s="273" t="s">
        <v>896</v>
      </c>
      <c r="C175" s="273"/>
      <c r="D175" s="387">
        <f>D119</f>
        <v>41.2243178260332</v>
      </c>
    </row>
    <row r="176" spans="2:10">
      <c r="B176" s="388"/>
      <c r="C176" s="388"/>
      <c r="D176" s="388"/>
      <c r="E176" s="388"/>
      <c r="F176" s="388"/>
      <c r="G176" s="388"/>
      <c r="H176" s="388"/>
      <c r="I176" s="388"/>
    </row>
    <row r="177" spans="2:12">
      <c r="B177" s="388" t="s">
        <v>928</v>
      </c>
      <c r="C177" s="388"/>
      <c r="D177" s="388"/>
      <c r="E177" s="388"/>
      <c r="F177" s="388" t="s">
        <v>952</v>
      </c>
      <c r="G177" s="388"/>
      <c r="H177" s="388"/>
      <c r="I177" s="388"/>
    </row>
    <row r="178" spans="2:12">
      <c r="B178" s="388" t="s">
        <v>921</v>
      </c>
      <c r="C178" s="388"/>
      <c r="D178" s="388">
        <f>(I89*I83)/(1000^3)</f>
        <v>6.4690467973159838E-4</v>
      </c>
      <c r="E178" s="388" t="s">
        <v>680</v>
      </c>
      <c r="F178" s="388" t="s">
        <v>954</v>
      </c>
      <c r="G178" s="388"/>
      <c r="H178" s="388"/>
      <c r="I178" s="388"/>
    </row>
    <row r="179" spans="2:12">
      <c r="B179" s="388" t="s">
        <v>922</v>
      </c>
      <c r="C179" s="388"/>
      <c r="D179" s="388">
        <f>F26*D178</f>
        <v>2.9110710587921927E-4</v>
      </c>
      <c r="E179" s="388" t="s">
        <v>680</v>
      </c>
      <c r="F179" s="388" t="s">
        <v>953</v>
      </c>
      <c r="G179" s="388">
        <f>I193</f>
        <v>0.67485735107802547</v>
      </c>
      <c r="H179" s="388" t="s">
        <v>955</v>
      </c>
      <c r="I179" s="388"/>
    </row>
    <row r="180" spans="2:12">
      <c r="C180" s="388"/>
      <c r="D180" s="388">
        <f>D179*(1000)</f>
        <v>0.29110710587921929</v>
      </c>
      <c r="E180" s="388" t="s">
        <v>403</v>
      </c>
      <c r="F180" s="390" t="s">
        <v>959</v>
      </c>
      <c r="G180" s="388"/>
      <c r="H180" s="388"/>
      <c r="I180" s="388"/>
    </row>
    <row r="181" spans="2:12">
      <c r="B181" s="388" t="s">
        <v>923</v>
      </c>
      <c r="C181" s="388"/>
      <c r="D181" s="388">
        <f>F25*D178</f>
        <v>3.5579757385237912E-4</v>
      </c>
      <c r="E181" s="388" t="s">
        <v>680</v>
      </c>
      <c r="F181" s="390" t="s">
        <v>961</v>
      </c>
      <c r="G181" s="388"/>
      <c r="H181" s="388"/>
      <c r="I181" s="388"/>
    </row>
    <row r="182" spans="2:12">
      <c r="B182" s="388" t="s">
        <v>924</v>
      </c>
      <c r="C182" s="388"/>
      <c r="D182" s="388">
        <f>D25*D181</f>
        <v>0.33978668302902204</v>
      </c>
      <c r="E182" s="388" t="s">
        <v>310</v>
      </c>
      <c r="F182" s="388" t="s">
        <v>962</v>
      </c>
      <c r="H182" s="388"/>
      <c r="I182" s="388"/>
    </row>
    <row r="183" spans="2:12">
      <c r="B183" s="388" t="s">
        <v>925</v>
      </c>
      <c r="C183" s="388"/>
      <c r="D183" s="388">
        <f>D182/(D20/1000)</f>
        <v>1.7789878692618954</v>
      </c>
      <c r="E183" s="388" t="s">
        <v>223</v>
      </c>
      <c r="F183" s="391" t="s">
        <v>960</v>
      </c>
      <c r="G183" s="388"/>
      <c r="H183" s="388"/>
      <c r="I183" s="388"/>
    </row>
    <row r="184" spans="2:12">
      <c r="B184" s="388" t="s">
        <v>926</v>
      </c>
      <c r="C184" s="388"/>
      <c r="D184" s="388">
        <v>1.62</v>
      </c>
      <c r="E184" s="388" t="s">
        <v>197</v>
      </c>
      <c r="F184" s="388"/>
      <c r="G184" s="388"/>
      <c r="H184" s="388"/>
      <c r="I184" s="388"/>
    </row>
    <row r="185" spans="2:12">
      <c r="B185" s="388" t="s">
        <v>927</v>
      </c>
      <c r="C185" s="388"/>
      <c r="D185" s="388">
        <f>D183/D184</f>
        <v>1.0981406600382071</v>
      </c>
      <c r="E185" s="388" t="s">
        <v>197</v>
      </c>
      <c r="F185" s="388"/>
      <c r="G185" s="388"/>
      <c r="H185" s="388"/>
      <c r="I185" s="388"/>
    </row>
    <row r="186" spans="2:12">
      <c r="B186" s="388"/>
      <c r="C186" s="388"/>
      <c r="D186" s="388"/>
      <c r="E186" s="388"/>
      <c r="F186" s="388"/>
      <c r="G186" s="388"/>
      <c r="H186" s="388" t="s">
        <v>957</v>
      </c>
      <c r="I186" s="388" t="s">
        <v>956</v>
      </c>
    </row>
    <row r="187" spans="2:12">
      <c r="B187" s="388" t="s">
        <v>929</v>
      </c>
      <c r="C187" s="388"/>
      <c r="D187" s="388"/>
      <c r="E187" s="388"/>
      <c r="F187" s="388" t="s">
        <v>937</v>
      </c>
      <c r="G187" s="388"/>
      <c r="H187" s="388"/>
      <c r="I187" s="388" t="s">
        <v>679</v>
      </c>
    </row>
    <row r="188" spans="2:12">
      <c r="B188" s="388" t="s">
        <v>930</v>
      </c>
      <c r="C188" s="388"/>
      <c r="D188" s="392">
        <v>0.2</v>
      </c>
      <c r="E188" s="388" t="s">
        <v>227</v>
      </c>
      <c r="F188" s="388">
        <v>0.3</v>
      </c>
      <c r="G188" s="388" t="s">
        <v>935</v>
      </c>
      <c r="I188" s="388">
        <f>($I$89/1000^2)*F188</f>
        <v>1.1979716291325894E-4</v>
      </c>
      <c r="L188" s="388"/>
    </row>
    <row r="189" spans="2:12">
      <c r="B189" s="388" t="s">
        <v>932</v>
      </c>
      <c r="C189" s="388"/>
      <c r="D189" s="392">
        <f>PI()*I87</f>
        <v>283.70941046776511</v>
      </c>
      <c r="E189" s="388" t="s">
        <v>227</v>
      </c>
      <c r="F189" s="388">
        <v>0.22</v>
      </c>
      <c r="G189" s="388" t="s">
        <v>936</v>
      </c>
      <c r="I189" s="388">
        <f t="shared" ref="I189:I191" si="3">($I$89/1000^2)*F189</f>
        <v>8.7851252803056561E-5</v>
      </c>
      <c r="J189" s="388"/>
      <c r="K189" s="388"/>
      <c r="L189" s="388"/>
    </row>
    <row r="190" spans="2:12">
      <c r="B190" s="388" t="s">
        <v>205</v>
      </c>
      <c r="C190" s="388"/>
      <c r="D190" s="392">
        <v>1620</v>
      </c>
      <c r="E190" s="388" t="s">
        <v>227</v>
      </c>
      <c r="F190" s="388">
        <v>0.37</v>
      </c>
      <c r="G190" s="388" t="s">
        <v>938</v>
      </c>
      <c r="H190" s="388"/>
      <c r="I190" s="388">
        <f t="shared" si="3"/>
        <v>1.4774983425968604E-4</v>
      </c>
      <c r="L190" s="388"/>
    </row>
    <row r="191" spans="2:12">
      <c r="B191" s="388" t="s">
        <v>931</v>
      </c>
      <c r="C191" s="388"/>
      <c r="D191" s="392">
        <f>ROUNDUP(I84/D188,0)</f>
        <v>8</v>
      </c>
      <c r="E191" s="388" t="s">
        <v>934</v>
      </c>
      <c r="F191" s="388">
        <v>0.8</v>
      </c>
      <c r="G191" s="388" t="s">
        <v>939</v>
      </c>
      <c r="H191" s="388"/>
      <c r="I191" s="388">
        <f t="shared" si="3"/>
        <v>3.1945910110202391E-4</v>
      </c>
    </row>
    <row r="192" spans="2:12">
      <c r="B192" s="388" t="s">
        <v>933</v>
      </c>
      <c r="D192" s="281">
        <f>(D189/1000)*(D190/1000)*D191</f>
        <v>3.676873959662236</v>
      </c>
      <c r="E192" t="s">
        <v>223</v>
      </c>
      <c r="F192" s="388">
        <f>SUM(F188:F191)</f>
        <v>1.69</v>
      </c>
      <c r="G192" s="393">
        <f>SUM(F190:F191)</f>
        <v>1.17</v>
      </c>
      <c r="H192" s="388" t="s">
        <v>940</v>
      </c>
      <c r="I192" s="388">
        <f>SUM(I188:I191)</f>
        <v>6.7485735107802544E-4</v>
      </c>
    </row>
    <row r="193" spans="2:10">
      <c r="B193" s="388" t="s">
        <v>926</v>
      </c>
      <c r="C193" s="388"/>
      <c r="D193" s="392">
        <v>1.17</v>
      </c>
      <c r="I193" s="388">
        <f>I192*1000</f>
        <v>0.67485735107802547</v>
      </c>
      <c r="J193" t="s">
        <v>958</v>
      </c>
    </row>
    <row r="194" spans="2:10">
      <c r="B194" s="386" t="s">
        <v>927</v>
      </c>
      <c r="C194" s="386"/>
      <c r="D194" s="394">
        <f>D192/D193</f>
        <v>3.1426273159506293</v>
      </c>
      <c r="I194" s="388"/>
    </row>
    <row r="195" spans="2:10">
      <c r="B195" s="388" t="s">
        <v>930</v>
      </c>
      <c r="C195" s="388"/>
      <c r="D195" s="392">
        <v>0.2</v>
      </c>
      <c r="E195" s="388" t="s">
        <v>227</v>
      </c>
      <c r="F195" s="393">
        <v>1.17</v>
      </c>
      <c r="G195" s="388" t="s">
        <v>940</v>
      </c>
      <c r="I195" s="388"/>
    </row>
    <row r="196" spans="2:10">
      <c r="B196" s="388" t="s">
        <v>932</v>
      </c>
      <c r="C196" s="388"/>
      <c r="D196" s="392">
        <f>PI()*I87</f>
        <v>283.70941046776511</v>
      </c>
      <c r="E196" s="388" t="s">
        <v>227</v>
      </c>
      <c r="I196" s="388"/>
    </row>
    <row r="197" spans="2:10">
      <c r="B197" s="388" t="s">
        <v>205</v>
      </c>
      <c r="C197" s="388"/>
      <c r="D197" s="392">
        <v>1170</v>
      </c>
      <c r="E197" s="388" t="s">
        <v>227</v>
      </c>
      <c r="I197" s="388"/>
    </row>
    <row r="198" spans="2:10">
      <c r="B198" s="388" t="s">
        <v>931</v>
      </c>
      <c r="C198" s="388"/>
      <c r="D198" s="392">
        <v>9</v>
      </c>
      <c r="E198" s="388" t="s">
        <v>934</v>
      </c>
      <c r="F198" s="388"/>
      <c r="G198" s="388"/>
      <c r="H198" s="388"/>
      <c r="I198" s="388"/>
    </row>
    <row r="199" spans="2:10">
      <c r="B199" s="388" t="s">
        <v>933</v>
      </c>
      <c r="D199" s="281">
        <f>(D196/1000)*(D197/1000)*D198</f>
        <v>2.9874600922255663</v>
      </c>
      <c r="E199" t="s">
        <v>223</v>
      </c>
      <c r="F199" s="388"/>
      <c r="G199" s="388"/>
      <c r="H199" s="388"/>
      <c r="I199" s="388"/>
    </row>
    <row r="200" spans="2:10">
      <c r="B200" s="388" t="s">
        <v>926</v>
      </c>
      <c r="C200" s="388"/>
      <c r="D200" s="392">
        <v>1.17</v>
      </c>
      <c r="H200" s="388"/>
      <c r="I200" s="388"/>
    </row>
    <row r="201" spans="2:10">
      <c r="B201" s="386" t="s">
        <v>927</v>
      </c>
      <c r="C201" s="386"/>
      <c r="D201" s="394">
        <f>D199/D200</f>
        <v>2.5533846942098859</v>
      </c>
      <c r="F201" s="388"/>
      <c r="G201" s="388"/>
      <c r="H201" s="388"/>
      <c r="I201" s="388"/>
    </row>
    <row r="202" spans="2:10">
      <c r="B202" s="388" t="s">
        <v>930</v>
      </c>
      <c r="C202" s="388"/>
      <c r="D202" s="392">
        <v>0.2</v>
      </c>
      <c r="E202" s="388" t="s">
        <v>227</v>
      </c>
      <c r="F202" s="301">
        <f>SUM(F188:F189)</f>
        <v>0.52</v>
      </c>
      <c r="G202" s="388" t="s">
        <v>941</v>
      </c>
      <c r="H202" s="388"/>
      <c r="I202" s="388"/>
    </row>
    <row r="203" spans="2:10">
      <c r="B203" s="388" t="s">
        <v>932</v>
      </c>
      <c r="C203" s="388"/>
      <c r="D203" s="392">
        <f>PI()*I87</f>
        <v>283.70941046776511</v>
      </c>
      <c r="E203" s="388" t="s">
        <v>227</v>
      </c>
      <c r="F203" s="388"/>
      <c r="G203" s="388"/>
      <c r="H203" s="388"/>
      <c r="I203" s="388"/>
    </row>
    <row r="204" spans="2:10">
      <c r="B204" s="388" t="s">
        <v>205</v>
      </c>
      <c r="C204" s="388"/>
      <c r="D204" s="392">
        <v>520</v>
      </c>
      <c r="E204" s="388" t="s">
        <v>227</v>
      </c>
      <c r="F204" s="388"/>
      <c r="G204" s="388"/>
      <c r="H204" s="388"/>
      <c r="I204" s="388"/>
    </row>
    <row r="205" spans="2:10">
      <c r="B205" s="388" t="s">
        <v>931</v>
      </c>
      <c r="C205" s="388"/>
      <c r="D205" s="392">
        <v>9</v>
      </c>
      <c r="E205" s="388" t="s">
        <v>934</v>
      </c>
      <c r="F205" s="388"/>
      <c r="G205" s="388"/>
      <c r="H205" s="388"/>
      <c r="I205" s="388"/>
    </row>
    <row r="206" spans="2:10">
      <c r="B206" s="388" t="s">
        <v>933</v>
      </c>
      <c r="D206" s="281">
        <f>(D203/1000)*(D204/1000)*D205</f>
        <v>1.3277600409891408</v>
      </c>
      <c r="E206" t="s">
        <v>223</v>
      </c>
      <c r="F206" s="388"/>
      <c r="G206" s="388"/>
      <c r="H206" s="388"/>
      <c r="I206" s="388"/>
    </row>
    <row r="207" spans="2:10">
      <c r="B207" s="388" t="s">
        <v>926</v>
      </c>
      <c r="C207" s="388"/>
      <c r="D207" s="392">
        <v>0.52</v>
      </c>
      <c r="F207" s="388"/>
      <c r="G207" s="388"/>
      <c r="H207" s="388"/>
      <c r="I207" s="388"/>
    </row>
    <row r="208" spans="2:10">
      <c r="B208" s="385" t="s">
        <v>927</v>
      </c>
      <c r="C208" s="385"/>
      <c r="D208" s="395">
        <f>D206/D207</f>
        <v>2.5533846942098859</v>
      </c>
      <c r="F208" s="388"/>
      <c r="G208" s="388"/>
      <c r="H208" s="388"/>
      <c r="I208" s="388"/>
    </row>
    <row r="210" spans="2:20">
      <c r="L210" t="s">
        <v>963</v>
      </c>
      <c r="Q210" t="s">
        <v>971</v>
      </c>
    </row>
    <row r="211" spans="2:20" ht="15.75">
      <c r="B211" s="398" t="s">
        <v>710</v>
      </c>
      <c r="C211" s="186"/>
      <c r="D211" s="186"/>
      <c r="L211" t="s">
        <v>964</v>
      </c>
      <c r="N211">
        <v>15</v>
      </c>
      <c r="O211" t="s">
        <v>196</v>
      </c>
      <c r="Q211" t="s">
        <v>974</v>
      </c>
      <c r="S211">
        <v>2</v>
      </c>
      <c r="T211" t="s">
        <v>227</v>
      </c>
    </row>
    <row r="212" spans="2:20">
      <c r="L212" t="s">
        <v>965</v>
      </c>
      <c r="N212">
        <v>10</v>
      </c>
      <c r="O212" t="s">
        <v>196</v>
      </c>
      <c r="Q212" t="s">
        <v>972</v>
      </c>
      <c r="S212">
        <v>0.25</v>
      </c>
      <c r="T212" t="s">
        <v>227</v>
      </c>
    </row>
    <row r="213" spans="2:20">
      <c r="L213" t="s">
        <v>966</v>
      </c>
      <c r="N213">
        <v>10</v>
      </c>
      <c r="O213" t="s">
        <v>196</v>
      </c>
      <c r="Q213" t="s">
        <v>973</v>
      </c>
      <c r="S213" s="286">
        <f>ROUNDUP(S211/S212,0)</f>
        <v>8</v>
      </c>
      <c r="T213" t="s">
        <v>934</v>
      </c>
    </row>
    <row r="214" spans="2:20">
      <c r="L214" t="s">
        <v>967</v>
      </c>
      <c r="N214">
        <v>40</v>
      </c>
      <c r="O214" t="s">
        <v>217</v>
      </c>
    </row>
    <row r="215" spans="2:20">
      <c r="Q215" t="s">
        <v>976</v>
      </c>
      <c r="S215">
        <f>4*S213</f>
        <v>32</v>
      </c>
      <c r="T215" t="s">
        <v>977</v>
      </c>
    </row>
    <row r="216" spans="2:20">
      <c r="L216" t="s">
        <v>968</v>
      </c>
      <c r="N216">
        <f>TAN(RADIANS(N214))*N213</f>
        <v>8.390996311772799</v>
      </c>
      <c r="O216" t="s">
        <v>196</v>
      </c>
    </row>
    <row r="217" spans="2:20">
      <c r="L217" t="s">
        <v>926</v>
      </c>
      <c r="N217">
        <f>N216+N212</f>
        <v>18.390996311772799</v>
      </c>
    </row>
    <row r="218" spans="2:20">
      <c r="L218" t="s">
        <v>927</v>
      </c>
      <c r="N218">
        <f>N213</f>
        <v>10</v>
      </c>
    </row>
    <row r="219" spans="2:20">
      <c r="L219" t="s">
        <v>969</v>
      </c>
      <c r="Q219" t="s">
        <v>975</v>
      </c>
    </row>
    <row r="220" spans="2:20">
      <c r="L220" t="s">
        <v>926</v>
      </c>
      <c r="N220" s="286">
        <f>N217+2.54*2</f>
        <v>23.470996311772801</v>
      </c>
      <c r="O220" t="s">
        <v>196</v>
      </c>
      <c r="Q220" t="s">
        <v>926</v>
      </c>
      <c r="R220">
        <v>8</v>
      </c>
      <c r="S220">
        <f>R220*N221</f>
        <v>120.64</v>
      </c>
    </row>
    <row r="221" spans="2:20">
      <c r="L221" t="s">
        <v>927</v>
      </c>
      <c r="N221" s="286">
        <f>N218+2.54*2</f>
        <v>15.08</v>
      </c>
      <c r="O221" t="s">
        <v>196</v>
      </c>
      <c r="Q221" t="s">
        <v>927</v>
      </c>
      <c r="R221">
        <f>S215/R220</f>
        <v>4</v>
      </c>
      <c r="S221">
        <f>R221*N220</f>
        <v>93.883985247091204</v>
      </c>
    </row>
    <row r="223" spans="2:20">
      <c r="L223" t="s">
        <v>970</v>
      </c>
      <c r="P223">
        <f>23/100</f>
        <v>0.23</v>
      </c>
      <c r="Q223">
        <f>15/100</f>
        <v>0.15</v>
      </c>
    </row>
    <row r="224" spans="2:20">
      <c r="L224" t="s">
        <v>926</v>
      </c>
      <c r="N224">
        <v>1.27</v>
      </c>
      <c r="O224" t="s">
        <v>197</v>
      </c>
      <c r="P224" s="281">
        <f>$N$224/P223</f>
        <v>5.5217391304347823</v>
      </c>
      <c r="Q224" s="281">
        <f>$N$224/Q223</f>
        <v>8.4666666666666668</v>
      </c>
    </row>
    <row r="225" spans="2:17">
      <c r="L225" t="s">
        <v>927</v>
      </c>
    </row>
    <row r="226" spans="2:17">
      <c r="Q226">
        <f>0.47*N221</f>
        <v>7.0875999999999992</v>
      </c>
    </row>
    <row r="227" spans="2:17" ht="15.75">
      <c r="B227" s="458" t="s">
        <v>711</v>
      </c>
      <c r="C227" s="186"/>
    </row>
    <row r="228" spans="2:17">
      <c r="L228" t="s">
        <v>978</v>
      </c>
    </row>
    <row r="239" spans="2:17">
      <c r="B239" s="457" t="s">
        <v>687</v>
      </c>
      <c r="C239" s="186"/>
      <c r="D239" s="186"/>
      <c r="E239" s="186"/>
    </row>
    <row r="240" spans="2:17" ht="42.75">
      <c r="B240" t="s">
        <v>690</v>
      </c>
      <c r="C240" t="s">
        <v>688</v>
      </c>
      <c r="D240" t="s">
        <v>691</v>
      </c>
      <c r="E240" t="s">
        <v>692</v>
      </c>
      <c r="F240" s="353" t="s">
        <v>696</v>
      </c>
      <c r="G240" t="s">
        <v>689</v>
      </c>
      <c r="H240" t="s">
        <v>694</v>
      </c>
      <c r="I240" t="s">
        <v>695</v>
      </c>
    </row>
    <row r="241" spans="2:9">
      <c r="B241">
        <v>2</v>
      </c>
      <c r="C241">
        <v>2.375</v>
      </c>
      <c r="D241">
        <f>C241-2*E241</f>
        <v>2.0670000000000002</v>
      </c>
      <c r="E241">
        <v>0.154</v>
      </c>
      <c r="F241" t="s">
        <v>697</v>
      </c>
      <c r="G241">
        <f>C241*25.4</f>
        <v>60.324999999999996</v>
      </c>
      <c r="H241">
        <f t="shared" ref="H241:I241" si="4">D241*25.4</f>
        <v>52.501800000000003</v>
      </c>
      <c r="I241">
        <f t="shared" si="4"/>
        <v>3.9115999999999995</v>
      </c>
    </row>
    <row r="242" spans="2:9">
      <c r="B242">
        <v>2</v>
      </c>
      <c r="C242">
        <v>2.375</v>
      </c>
      <c r="D242">
        <f t="shared" ref="D242:D250" si="5">C242-2*E242</f>
        <v>1.9390000000000001</v>
      </c>
      <c r="E242">
        <v>0.218</v>
      </c>
      <c r="F242" t="s">
        <v>698</v>
      </c>
      <c r="G242">
        <f t="shared" ref="G242:G250" si="6">C242*25.4</f>
        <v>60.324999999999996</v>
      </c>
      <c r="H242">
        <f t="shared" ref="H242:H250" si="7">D242*25.4</f>
        <v>49.250599999999999</v>
      </c>
      <c r="I242">
        <f t="shared" ref="I242:I250" si="8">E242*25.4</f>
        <v>5.5371999999999995</v>
      </c>
    </row>
    <row r="243" spans="2:9">
      <c r="B243">
        <v>2.5</v>
      </c>
      <c r="C243">
        <v>2.875</v>
      </c>
      <c r="D243">
        <f t="shared" si="5"/>
        <v>2.4689999999999999</v>
      </c>
      <c r="E243">
        <v>0.20300000000000001</v>
      </c>
      <c r="F243" t="s">
        <v>697</v>
      </c>
      <c r="G243">
        <f t="shared" si="6"/>
        <v>73.024999999999991</v>
      </c>
      <c r="H243">
        <f t="shared" si="7"/>
        <v>62.712599999999995</v>
      </c>
      <c r="I243">
        <f t="shared" si="8"/>
        <v>5.1562000000000001</v>
      </c>
    </row>
    <row r="244" spans="2:9">
      <c r="B244">
        <v>2.5</v>
      </c>
      <c r="C244">
        <v>2.875</v>
      </c>
      <c r="D244">
        <f t="shared" si="5"/>
        <v>2.323</v>
      </c>
      <c r="E244">
        <v>0.27600000000000002</v>
      </c>
      <c r="F244" t="s">
        <v>698</v>
      </c>
      <c r="G244">
        <f t="shared" si="6"/>
        <v>73.024999999999991</v>
      </c>
      <c r="H244">
        <f t="shared" si="7"/>
        <v>59.004199999999997</v>
      </c>
      <c r="I244">
        <f t="shared" si="8"/>
        <v>7.0104000000000006</v>
      </c>
    </row>
    <row r="245" spans="2:9">
      <c r="B245">
        <v>3</v>
      </c>
      <c r="C245">
        <v>3.5</v>
      </c>
      <c r="D245">
        <f t="shared" si="5"/>
        <v>3.0680000000000001</v>
      </c>
      <c r="E245">
        <v>0.216</v>
      </c>
      <c r="F245" t="s">
        <v>697</v>
      </c>
      <c r="G245">
        <f t="shared" si="6"/>
        <v>88.899999999999991</v>
      </c>
      <c r="H245">
        <f t="shared" si="7"/>
        <v>77.927199999999999</v>
      </c>
      <c r="I245">
        <f t="shared" si="8"/>
        <v>5.4863999999999997</v>
      </c>
    </row>
    <row r="246" spans="2:9">
      <c r="B246">
        <v>3</v>
      </c>
      <c r="C246">
        <v>3.5</v>
      </c>
      <c r="D246">
        <f t="shared" si="5"/>
        <v>2.9</v>
      </c>
      <c r="E246">
        <v>0.3</v>
      </c>
      <c r="F246" t="s">
        <v>698</v>
      </c>
      <c r="G246">
        <f t="shared" si="6"/>
        <v>88.899999999999991</v>
      </c>
      <c r="H246">
        <f t="shared" si="7"/>
        <v>73.66</v>
      </c>
      <c r="I246">
        <f t="shared" si="8"/>
        <v>7.6199999999999992</v>
      </c>
    </row>
    <row r="247" spans="2:9">
      <c r="B247">
        <v>3.5</v>
      </c>
      <c r="C247">
        <v>4</v>
      </c>
      <c r="D247">
        <f t="shared" si="5"/>
        <v>3.548</v>
      </c>
      <c r="E247">
        <v>0.22600000000000001</v>
      </c>
      <c r="F247" t="s">
        <v>697</v>
      </c>
      <c r="G247">
        <f t="shared" si="6"/>
        <v>101.6</v>
      </c>
      <c r="H247">
        <f t="shared" si="7"/>
        <v>90.119199999999992</v>
      </c>
      <c r="I247">
        <f t="shared" si="8"/>
        <v>5.7404000000000002</v>
      </c>
    </row>
    <row r="248" spans="2:9">
      <c r="B248">
        <v>3.5</v>
      </c>
      <c r="C248">
        <v>4</v>
      </c>
      <c r="D248">
        <f t="shared" si="5"/>
        <v>3.3639999999999999</v>
      </c>
      <c r="E248">
        <v>0.318</v>
      </c>
      <c r="F248" t="s">
        <v>698</v>
      </c>
      <c r="G248">
        <f t="shared" si="6"/>
        <v>101.6</v>
      </c>
      <c r="H248">
        <f t="shared" si="7"/>
        <v>85.445599999999999</v>
      </c>
      <c r="I248">
        <f t="shared" si="8"/>
        <v>8.0771999999999995</v>
      </c>
    </row>
    <row r="249" spans="2:9">
      <c r="B249">
        <v>4</v>
      </c>
      <c r="C249">
        <v>4.5</v>
      </c>
      <c r="D249">
        <f t="shared" si="5"/>
        <v>4.0259999999999998</v>
      </c>
      <c r="E249">
        <v>0.23699999999999999</v>
      </c>
      <c r="F249" t="s">
        <v>697</v>
      </c>
      <c r="G249">
        <f t="shared" si="6"/>
        <v>114.3</v>
      </c>
      <c r="H249">
        <f t="shared" si="7"/>
        <v>102.26039999999999</v>
      </c>
      <c r="I249">
        <f t="shared" si="8"/>
        <v>6.0197999999999992</v>
      </c>
    </row>
    <row r="250" spans="2:9">
      <c r="B250">
        <v>4</v>
      </c>
      <c r="C250">
        <v>4.5</v>
      </c>
      <c r="D250">
        <f t="shared" si="5"/>
        <v>3.8260000000000001</v>
      </c>
      <c r="E250">
        <v>0.33700000000000002</v>
      </c>
      <c r="F250" t="s">
        <v>698</v>
      </c>
      <c r="G250">
        <f t="shared" si="6"/>
        <v>114.3</v>
      </c>
      <c r="H250">
        <f t="shared" si="7"/>
        <v>97.180399999999992</v>
      </c>
      <c r="I250">
        <f t="shared" si="8"/>
        <v>8.5597999999999992</v>
      </c>
    </row>
    <row r="252" spans="2:9">
      <c r="B252" t="s">
        <v>693</v>
      </c>
      <c r="C252" t="s">
        <v>699</v>
      </c>
    </row>
    <row r="253" spans="2:9">
      <c r="B253" t="s">
        <v>704</v>
      </c>
      <c r="C253" t="s">
        <v>700</v>
      </c>
    </row>
    <row r="255" spans="2:9" ht="71.25">
      <c r="B255" s="353" t="s">
        <v>750</v>
      </c>
      <c r="C255" s="353" t="s">
        <v>821</v>
      </c>
      <c r="D255" t="s">
        <v>409</v>
      </c>
    </row>
    <row r="256" spans="2:9" ht="28.5">
      <c r="B256" s="63" t="s">
        <v>751</v>
      </c>
      <c r="C256" s="63">
        <v>23.6</v>
      </c>
      <c r="D256" s="365" t="s">
        <v>752</v>
      </c>
    </row>
    <row r="257" spans="2:8">
      <c r="B257" s="63" t="s">
        <v>753</v>
      </c>
      <c r="C257" s="63">
        <v>23.2</v>
      </c>
      <c r="D257" s="365" t="s">
        <v>754</v>
      </c>
    </row>
    <row r="258" spans="2:8">
      <c r="B258" s="63" t="s">
        <v>755</v>
      </c>
      <c r="C258" s="63">
        <v>22</v>
      </c>
      <c r="D258" s="365" t="s">
        <v>756</v>
      </c>
    </row>
    <row r="259" spans="2:8">
      <c r="B259" s="63" t="s">
        <v>757</v>
      </c>
      <c r="C259" s="63">
        <v>23.6</v>
      </c>
      <c r="D259" s="365" t="s">
        <v>758</v>
      </c>
    </row>
    <row r="260" spans="2:8">
      <c r="B260" s="63" t="s">
        <v>759</v>
      </c>
      <c r="C260" s="63">
        <v>23.5</v>
      </c>
      <c r="D260" s="365" t="s">
        <v>760</v>
      </c>
    </row>
    <row r="261" spans="2:8" ht="28.5">
      <c r="B261" s="63" t="s">
        <v>761</v>
      </c>
      <c r="C261" s="63">
        <v>21.5</v>
      </c>
      <c r="D261" s="365" t="s">
        <v>762</v>
      </c>
    </row>
    <row r="262" spans="2:8" ht="28.5">
      <c r="B262" s="63" t="s">
        <v>763</v>
      </c>
      <c r="C262" s="63">
        <v>21.5</v>
      </c>
      <c r="D262" s="365" t="s">
        <v>764</v>
      </c>
    </row>
    <row r="266" spans="2:8">
      <c r="B266" t="s">
        <v>822</v>
      </c>
    </row>
    <row r="267" spans="2:8">
      <c r="B267" t="s">
        <v>823</v>
      </c>
      <c r="C267" t="s">
        <v>838</v>
      </c>
      <c r="D267" t="s">
        <v>824</v>
      </c>
      <c r="E267" t="s">
        <v>825</v>
      </c>
    </row>
    <row r="268" spans="2:8">
      <c r="B268">
        <v>310</v>
      </c>
      <c r="C268">
        <f>B268*D268</f>
        <v>310</v>
      </c>
      <c r="D268">
        <v>1</v>
      </c>
      <c r="E268" s="301" t="s">
        <v>826</v>
      </c>
    </row>
    <row r="269" spans="2:8">
      <c r="B269">
        <v>840</v>
      </c>
      <c r="C269">
        <f t="shared" ref="C269:C279" si="9">B269*D269</f>
        <v>840</v>
      </c>
      <c r="D269">
        <v>1</v>
      </c>
      <c r="E269" s="301" t="s">
        <v>827</v>
      </c>
    </row>
    <row r="270" spans="2:8">
      <c r="B270">
        <v>840</v>
      </c>
      <c r="C270">
        <f t="shared" si="9"/>
        <v>840</v>
      </c>
      <c r="D270">
        <v>1</v>
      </c>
      <c r="E270" s="301" t="s">
        <v>910</v>
      </c>
    </row>
    <row r="271" spans="2:8">
      <c r="B271">
        <v>595</v>
      </c>
      <c r="C271" s="300">
        <f t="shared" si="9"/>
        <v>595</v>
      </c>
      <c r="D271">
        <v>1</v>
      </c>
      <c r="E271" t="s">
        <v>828</v>
      </c>
      <c r="H271" s="364" t="s">
        <v>911</v>
      </c>
    </row>
    <row r="272" spans="2:8">
      <c r="B272">
        <v>590</v>
      </c>
      <c r="C272" s="300">
        <f t="shared" si="9"/>
        <v>590</v>
      </c>
      <c r="D272">
        <v>1</v>
      </c>
      <c r="E272" t="s">
        <v>829</v>
      </c>
      <c r="H272" s="364" t="s">
        <v>912</v>
      </c>
    </row>
    <row r="273" spans="2:8">
      <c r="B273" s="300">
        <v>360</v>
      </c>
      <c r="C273" s="388">
        <f t="shared" si="9"/>
        <v>1800</v>
      </c>
      <c r="D273">
        <v>5</v>
      </c>
      <c r="E273" t="s">
        <v>830</v>
      </c>
      <c r="H273" s="364" t="s">
        <v>913</v>
      </c>
    </row>
    <row r="274" spans="2:8">
      <c r="B274">
        <v>649</v>
      </c>
      <c r="C274">
        <f>B274*D274</f>
        <v>649</v>
      </c>
      <c r="D274">
        <v>1</v>
      </c>
      <c r="E274" s="301" t="s">
        <v>831</v>
      </c>
    </row>
    <row r="275" spans="2:8">
      <c r="B275">
        <v>800</v>
      </c>
      <c r="C275" s="300">
        <f t="shared" si="9"/>
        <v>1600</v>
      </c>
      <c r="D275">
        <v>2</v>
      </c>
      <c r="E275" t="s">
        <v>832</v>
      </c>
    </row>
    <row r="276" spans="2:8">
      <c r="B276">
        <v>85</v>
      </c>
      <c r="C276">
        <f t="shared" si="9"/>
        <v>85</v>
      </c>
      <c r="D276">
        <v>1</v>
      </c>
      <c r="E276" s="301" t="s">
        <v>914</v>
      </c>
    </row>
    <row r="277" spans="2:8">
      <c r="B277">
        <v>320</v>
      </c>
      <c r="C277" s="300">
        <f t="shared" si="9"/>
        <v>1280</v>
      </c>
      <c r="D277">
        <v>4</v>
      </c>
      <c r="E277" t="s">
        <v>915</v>
      </c>
    </row>
    <row r="278" spans="2:8">
      <c r="B278">
        <v>320</v>
      </c>
      <c r="C278">
        <f t="shared" si="9"/>
        <v>0</v>
      </c>
      <c r="E278" t="s">
        <v>916</v>
      </c>
    </row>
    <row r="279" spans="2:8">
      <c r="B279">
        <v>420</v>
      </c>
      <c r="C279">
        <f t="shared" si="9"/>
        <v>1260</v>
      </c>
      <c r="D279">
        <v>3</v>
      </c>
      <c r="E279" t="s">
        <v>979</v>
      </c>
    </row>
    <row r="281" spans="2:8">
      <c r="C281">
        <f>C271+C272+B273+C275+C277</f>
        <v>4425</v>
      </c>
      <c r="D281" t="s">
        <v>324</v>
      </c>
    </row>
  </sheetData>
  <dataConsolidate/>
  <mergeCells count="1">
    <mergeCell ref="E3:H4"/>
  </mergeCells>
  <dataValidations disablePrompts="1" count="2">
    <dataValidation type="list" allowBlank="1" showInputMessage="1" showErrorMessage="1" sqref="D83">
      <formula1>$C$241:$C$250</formula1>
    </dataValidation>
    <dataValidation type="list" allowBlank="1" showInputMessage="1" showErrorMessage="1" sqref="D85">
      <formula1>$B$256:$B$262</formula1>
    </dataValidation>
  </dataValidations>
  <hyperlinks>
    <hyperlink ref="B13" r:id="rId1"/>
    <hyperlink ref="H272" r:id="rId2"/>
    <hyperlink ref="H271" r:id="rId3"/>
    <hyperlink ref="H273" r:id="rId4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2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2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2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2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2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2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2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2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54" t="s">
        <v>539</v>
      </c>
      <c r="B1" s="45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4" t="s">
        <v>540</v>
      </c>
      <c r="B6" s="45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56"/>
      <c r="C5" s="456"/>
      <c r="D5" s="456"/>
      <c r="E5" s="45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2025-09-23T15:38:59Z</cp:lastPrinted>
  <dcterms:created xsi:type="dcterms:W3CDTF">2024-07-02T19:27:32Z</dcterms:created>
  <dcterms:modified xsi:type="dcterms:W3CDTF">2025-09-23T17:12:24Z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