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ustomProperty5.bin" ContentType="application/vnd.openxmlformats-officedocument.spreadsheetml.customProperty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ardo.valadez\OneDrive - frisa\Documentos\00 Repos\rocketry-aero-and-stability\"/>
    </mc:Choice>
  </mc:AlternateContent>
  <bookViews>
    <workbookView xWindow="-105" yWindow="-105" windowWidth="19425" windowHeight="11505" tabRatio="864" firstSheet="1" activeTab="5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CFD test1" sheetId="22" r:id="rId7"/>
    <sheet name="Future CFD forebody" sheetId="21" r:id="rId8"/>
    <sheet name="Stability" sheetId="19" r:id="rId9"/>
    <sheet name="RocketData" sheetId="14" r:id="rId10"/>
    <sheet name="CFD fuselage" sheetId="10" state="hidden" r:id="rId11"/>
    <sheet name="CFD boat-tail" sheetId="11" state="hidden" r:id="rId12"/>
    <sheet name="CFD rocket" sheetId="12" state="hidden" r:id="rId13"/>
    <sheet name="OpenRocket" sheetId="6" state="hidden" r:id="rId14"/>
  </sheets>
  <definedNames>
    <definedName name="_xlnm._FilterDatabase" localSheetId="1" hidden="1">Statistics!$A$1:$E$8</definedName>
    <definedName name="Airflow" localSheetId="5">'RocketAeroDesign 3.0 '!$B$2</definedName>
    <definedName name="Airflow">'FinAeroDesign 2.0'!$B$2</definedName>
    <definedName name="AoAfins" localSheetId="5">'RocketAeroDesign 3.0 '!$B$13</definedName>
    <definedName name="AoAfins">'FinAeroDesign 2.0'!$B$9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22" l="1"/>
  <c r="D63" i="22"/>
  <c r="E63" i="22"/>
  <c r="F63" i="22"/>
  <c r="B63" i="22"/>
  <c r="B64" i="22" l="1"/>
  <c r="B69" i="22" l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B62" i="22" s="1"/>
  <c r="D68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62" i="22" l="1"/>
  <c r="E62" i="22"/>
  <c r="D62" i="22"/>
  <c r="C62" i="22"/>
  <c r="C93" i="17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47" i="16"/>
  <c r="N51" i="16" l="1"/>
  <c r="L51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<sst xmlns="http://schemas.openxmlformats.org/spreadsheetml/2006/main" count="1093" uniqueCount="681">
  <si>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</si>
  <si>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</si>
  <si>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</si>
  <si>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</si>
  <si>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</si>
  <si>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</si>
  <si>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</si>
  <si>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</si>
  <si>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</si>
  <si>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</si>
  <si>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</si>
  <si>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</si>
  <si>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</si>
  <si>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</si>
  <si>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</si>
  <si>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</si>
  <si>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</si>
  <si>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</si>
  <si>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</si>
  <si>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</si>
  <si>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</si>
  <si>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</si>
  <si>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</si>
  <si>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</si>
  <si>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</si>
  <si>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</si>
  <si>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</si>
  <si>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</si>
  <si>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</si>
  <si>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</si>
  <si>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</si>
  <si>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</si>
  <si>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</si>
  <si>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</si>
  <si>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</si>
  <si>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</si>
  <si>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</si>
  <si>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</si>
  <si>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</si>
  <si>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</si>
  <si>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</si>
  <si>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</si>
  <si>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</si>
  <si>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</si>
  <si>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</si>
  <si>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</si>
  <si>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</si>
  <si>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</si>
  <si>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</si>
  <si>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</si>
  <si>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</si>
  <si>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</si>
  <si>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</si>
  <si>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</si>
  <si>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</si>
  <si>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</si>
  <si>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</si>
  <si>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</si>
  <si>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</si>
  <si>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</si>
  <si>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</si>
  <si>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</si>
  <si>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</si>
  <si>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</si>
  <si>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</si>
  <si>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</si>
  <si>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</si>
  <si>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</si>
  <si>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</si>
  <si>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</si>
  <si>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</si>
  <si>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</si>
  <si>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</si>
  <si>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</si>
  <si>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</si>
  <si>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</si>
  <si>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</si>
  <si>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</si>
  <si>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</si>
  <si>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</si>
  <si>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</si>
  <si>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</si>
  <si>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</si>
  <si>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</si>
  <si>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</si>
  <si>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</si>
  <si>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</si>
  <si>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</si>
  <si>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</si>
  <si>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</si>
  <si>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</si>
  <si>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</si>
  <si>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</si>
  <si>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</si>
  <si>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</si>
  <si>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</si>
  <si>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</si>
  <si>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</si>
  <si>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</si>
  <si>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</si>
  <si>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</si>
  <si>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</si>
  <si>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</si>
  <si>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</si>
  <si>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</si>
  <si>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</si>
  <si>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</si>
  <si>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</si>
  <si>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</si>
  <si>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</si>
  <si>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</si>
  <si>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</si>
  <si>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</si>
  <si>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</si>
  <si>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</si>
  <si>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</si>
  <si>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</si>
  <si>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</si>
  <si>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</si>
  <si>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</si>
  <si>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</si>
  <si>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</si>
  <si>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</si>
  <si>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</si>
  <si>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</si>
  <si>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</si>
  <si>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</si>
  <si>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</si>
  <si>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</si>
  <si>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</si>
  <si>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</si>
  <si>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</si>
  <si>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</si>
  <si>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</si>
  <si>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</si>
  <si>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</si>
  <si>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</si>
  <si>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</si>
  <si>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</si>
  <si>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</si>
  <si>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</si>
  <si>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</si>
  <si>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</si>
  <si>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</si>
  <si>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</si>
  <si>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</si>
  <si>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</si>
  <si>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</si>
  <si>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</si>
  <si>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</si>
  <si>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</si>
  <si>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</si>
  <si>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</si>
  <si>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</si>
  <si>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</si>
  <si>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</si>
  <si>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</si>
  <si>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</si>
  <si>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</si>
  <si>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</si>
  <si>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</si>
  <si>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</si>
  <si>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</si>
  <si>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</si>
  <si>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</si>
  <si>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</si>
  <si>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</si>
  <si>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</si>
  <si>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</si>
  <si>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</si>
  <si>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</si>
  <si>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</si>
  <si>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</si>
  <si>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</si>
  <si>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</si>
  <si>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</si>
  <si>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</si>
  <si>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</si>
  <si>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</si>
  <si>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</si>
  <si>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</si>
  <si>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</si>
  <si>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</si>
  <si>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</si>
  <si>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</si>
  <si>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</si>
  <si>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</si>
  <si>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</si>
  <si>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</si>
  <si>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</si>
  <si>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</si>
  <si>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</si>
  <si>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</si>
  <si>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</si>
  <si>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</si>
  <si>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</si>
  <si>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</si>
  <si>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</si>
  <si>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</si>
  <si>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</si>
  <si>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</si>
  <si>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</si>
  <si>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</si>
  <si>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</si>
  <si>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</si>
  <si>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</si>
  <si>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</si>
  <si>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</si>
  <si>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</si>
  <si>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</si>
  <si>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</si>
  <si>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</si>
  <si>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</si>
  <si>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</si>
  <si>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</si>
  <si>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</si>
  <si>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</si>
  <si>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</si>
  <si>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</si>
  <si>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</si>
  <si>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</si>
  <si>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</si>
  <si>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</si>
  <si>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</si>
  <si>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</si>
  <si>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</si>
  <si>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</si>
  <si>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</si>
  <si>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</si>
  <si>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</si>
  <si>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</si>
  <si>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</si>
  <si>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</si>
  <si>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</si>
  <si>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</si>
  <si>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</si>
  <si>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</si>
  <si>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</si>
  <si>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</si>
  <si>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</si>
  <si>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</si>
  <si>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</si>
  <si>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</si>
  <si>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</si>
  <si>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</si>
  <si>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</si>
  <si>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</si>
  <si>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</si>
  <si>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</si>
  <si>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</si>
  <si>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</si>
  <si>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</si>
  <si>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</si>
  <si>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</si>
  <si>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</si>
  <si>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</si>
  <si>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</si>
  <si>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</si>
  <si>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</si>
  <si>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</si>
  <si>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</si>
  <si>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</si>
  <si>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</si>
  <si>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</si>
  <si>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</si>
  <si>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</si>
  <si>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</si>
  <si>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</si>
  <si>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</si>
  <si>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</si>
  <si>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</si>
  <si>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</si>
  <si>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</si>
  <si>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</si>
  <si>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</si>
  <si>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</si>
  <si>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</si>
  <si>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</si>
  <si>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</si>
  <si>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</si>
  <si>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</si>
  <si>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</si>
  <si>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</si>
  <si>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</si>
  <si>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</si>
  <si>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</si>
  <si>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</si>
  <si>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</si>
  <si>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</si>
  <si>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</si>
  <si>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</si>
  <si>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</si>
  <si>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</si>
  <si>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</si>
  <si>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</si>
  <si>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</si>
  <si>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</si>
  <si>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</si>
  <si>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</si>
  <si>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</si>
  <si>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</si>
  <si>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</si>
  <si>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</si>
  <si>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</si>
  <si>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</si>
  <si>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</si>
  <si>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</si>
  <si>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</si>
  <si>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</si>
  <si>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</si>
  <si>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</si>
  <si>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</si>
  <si>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</si>
  <si>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</si>
  <si>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</si>
  <si>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</si>
  <si>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</si>
  <si>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</si>
  <si>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</si>
  <si>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</si>
  <si>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</si>
  <si>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</si>
  <si>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</si>
  <si>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</si>
  <si>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</si>
  <si>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</si>
  <si>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</si>
  <si>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</si>
  <si>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</si>
  <si>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</si>
  <si>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</si>
  <si>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</si>
  <si>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</si>
  <si>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</si>
  <si>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</si>
  <si>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</si>
  <si>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</si>
  <si>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</si>
  <si>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</si>
  <si>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</si>
  <si>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</si>
  <si>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</si>
  <si>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</si>
  <si>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</si>
  <si>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</si>
  <si>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</si>
  <si>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</si>
  <si>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</si>
  <si>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</si>
  <si>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</si>
  <si>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</si>
  <si>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</si>
  <si>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</si>
  <si>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</si>
  <si>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</si>
  <si>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</si>
  <si>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</si>
  <si>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</si>
  <si>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</si>
  <si>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</si>
  <si>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</si>
  <si>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</si>
  <si>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</si>
  <si>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</si>
  <si>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</si>
  <si>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</si>
  <si>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</si>
  <si>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</si>
  <si>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</si>
  <si>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</si>
  <si>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</si>
  <si>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</si>
  <si>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</si>
  <si>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</si>
  <si>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</si>
  <si>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</si>
  <si>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</si>
  <si>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</si>
  <si>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</si>
  <si>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</si>
  <si>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</si>
  <si>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</si>
  <si>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</si>
  <si>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</si>
  <si>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</si>
  <si>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</si>
  <si>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</si>
  <si>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</si>
  <si>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</si>
  <si>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</si>
  <si>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</si>
  <si>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</si>
  <si>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</si>
  <si>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</si>
  <si>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</si>
  <si>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</si>
  <si>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</si>
  <si>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</si>
  <si>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</si>
  <si>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</si>
  <si>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</si>
  <si>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</si>
  <si>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</si>
  <si>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</si>
  <si>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</si>
  <si>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</si>
  <si>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</si>
  <si>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</si>
  <si>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</si>
  <si>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</si>
  <si>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</si>
  <si>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</si>
  <si>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</si>
  <si>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</si>
  <si>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</si>
  <si>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</si>
  <si>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</si>
  <si>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</si>
  <si>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</si>
  <si>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</si>
  <si>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</si>
  <si>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</si>
  <si>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</si>
  <si>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</si>
  <si>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</si>
  <si>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</si>
  <si>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</si>
  <si>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</si>
  <si>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</si>
  <si>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</si>
  <si>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</si>
  <si>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</si>
  <si>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</si>
  <si>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</si>
  <si>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</si>
  <si>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</si>
  <si>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</si>
  <si>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</si>
  <si>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</si>
  <si>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</si>
  <si>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</si>
  <si>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</si>
  <si>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</si>
  <si>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</si>
  <si>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</si>
  <si>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</si>
  <si>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</si>
  <si>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</si>
  <si>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</si>
  <si>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</si>
  <si>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</si>
  <si>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</si>
  <si>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</si>
  <si>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</si>
  <si>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</si>
  <si>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</si>
  <si>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</si>
  <si>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</si>
  <si>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</si>
  <si>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</si>
  <si>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</si>
  <si>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</si>
  <si>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</si>
  <si>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</si>
  <si>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</si>
  <si>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</si>
  <si>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</si>
  <si>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</si>
  <si>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</si>
  <si>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</si>
  <si>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</si>
  <si>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</si>
  <si>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</si>
  <si>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</si>
  <si>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</si>
  <si>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</si>
  <si>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</si>
  <si>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</si>
  <si>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</si>
  <si>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</si>
  <si>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</si>
  <si>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</si>
  <si>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</si>
  <si>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</si>
  <si>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</si>
  <si>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</si>
  <si>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</si>
  <si>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</si>
  <si>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</si>
  <si>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</si>
  <si>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</si>
  <si>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</si>
  <si>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</si>
  <si>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</si>
  <si>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</si>
  <si>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</si>
  <si>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</si>
  <si>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</si>
  <si>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</si>
  <si>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</si>
  <si>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</si>
  <si>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</si>
  <si>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</si>
  <si>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</si>
  <si>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</si>
  <si>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</si>
  <si>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</si>
  <si>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</si>
  <si>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</si>
  <si>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</si>
  <si>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</si>
  <si>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</si>
  <si>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</si>
  <si>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</si>
  <si>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</si>
  <si>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</si>
  <si>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</si>
  <si>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</si>
  <si>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</si>
  <si>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</si>
  <si>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</si>
  <si>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</si>
  <si>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</si>
  <si>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</si>
  <si>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</si>
  <si>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</si>
  <si>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</si>
  <si>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</si>
  <si>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</si>
  <si>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</si>
  <si>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</si>
  <si>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</si>
  <si>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</si>
  <si>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</si>
  <si>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</si>
  <si>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</si>
  <si>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</si>
  <si>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</si>
  <si>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</si>
  <si>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</si>
  <si>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</si>
  <si>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</si>
  <si>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</si>
  <si>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</si>
  <si>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</si>
  <si>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</si>
  <si>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</si>
  <si>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</si>
  <si>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</si>
  <si>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</si>
  <si>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</si>
  <si>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</si>
  <si>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</si>
  <si>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</si>
  <si>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</si>
  <si>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</si>
  <si>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</si>
  <si>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</si>
  <si>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</si>
  <si>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</si>
  <si>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</si>
  <si>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</si>
  <si>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</si>
  <si>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</si>
  <si>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</si>
  <si>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</si>
  <si>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</si>
  <si>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</si>
  <si>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</si>
  <si>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</si>
  <si>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</si>
  <si>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</si>
  <si>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</si>
  <si>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</si>
  <si>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</si>
  <si>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</si>
  <si>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</si>
  <si>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</si>
  <si>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</si>
  <si>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</si>
  <si>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</si>
  <si>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</si>
  <si>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</si>
  <si>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</si>
  <si>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</si>
  <si>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</si>
  <si>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</si>
  <si>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</si>
  <si>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</si>
  <si>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</si>
  <si>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</si>
  <si>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</si>
  <si>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</si>
  <si>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</si>
  <si>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</si>
  <si>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</si>
  <si>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</si>
  <si>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</si>
  <si>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</si>
  <si>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</si>
  <si>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</si>
  <si>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</si>
  <si>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</si>
  <si>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</si>
  <si>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</si>
  <si>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</si>
  <si>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</si>
  <si>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</si>
  <si>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</si>
  <si>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</si>
  <si>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</si>
  <si>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</si>
  <si>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</si>
  <si>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</si>
  <si>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</si>
  <si>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</si>
  <si>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</si>
  <si>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</si>
  <si>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</si>
  <si>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</si>
  <si>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</si>
  <si>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</si>
  <si>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</si>
  <si>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</si>
  <si>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</si>
  <si>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</si>
  <si>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</si>
  <si>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</si>
  <si>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</si>
  <si>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</si>
  <si>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</si>
  <si>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</si>
  <si>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</si>
  <si>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</si>
  <si>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</si>
  <si>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</si>
  <si>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</si>
  <si>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</si>
  <si>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</si>
  <si>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</si>
  <si>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</si>
  <si>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</si>
  <si>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</si>
  <si>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</si>
  <si>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</si>
  <si>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</si>
  <si>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</si>
  <si>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</si>
  <si>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</si>
  <si>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</si>
  <si>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</si>
  <si>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</si>
  <si>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</si>
  <si>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</si>
  <si>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</si>
  <si>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</si>
  <si>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</si>
  <si>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</si>
  <si>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</si>
  <si>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</si>
  <si>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</si>
  <si>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</si>
  <si>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</si>
  <si>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</si>
  <si>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</si>
  <si>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</si>
  <si>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</si>
  <si>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</si>
  <si>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</si>
  <si>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</si>
  <si>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</si>
  <si>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</si>
  <si>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</si>
  <si>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</si>
  <si>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</si>
  <si>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</si>
  <si>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dCSf /dAoA 1/rads (start 2 end)</t>
  </si>
  <si>
    <t>dCSf /dAoA 1/rads (mean)</t>
  </si>
  <si>
    <t>SoA (slideslip angle,deg) x,z SideForce</t>
  </si>
  <si>
    <t>For combinations:</t>
  </si>
  <si>
    <t>dCL /dAoA 1/rads (mean 0 to 10deg)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</si>
</sst>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8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168" fontId="0" fillId="6" borderId="54" xfId="0" applyNumberFormat="1" applyFill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3" fillId="11" borderId="43" xfId="0" applyFont="1" applyFill="1" applyBorder="1" applyAlignment="1">
      <alignment wrapText="1"/>
    </xf>
    <xf numFmtId="0" fontId="0" fillId="0" borderId="42" xfId="0" applyBorder="1" applyAlignment="1">
      <alignment wrapText="1"/>
    </xf>
    <xf numFmtId="0" fontId="13" fillId="20" borderId="42" xfId="0" applyFont="1" applyFill="1" applyBorder="1" applyAlignment="1">
      <alignment wrapText="1"/>
    </xf>
    <xf numFmtId="0" fontId="14" fillId="0" borderId="42" xfId="0" applyFont="1" applyBorder="1" applyAlignment="1">
      <alignment wrapText="1"/>
    </xf>
    <xf numFmtId="0" fontId="13" fillId="6" borderId="42" xfId="0" applyFont="1" applyFill="1" applyBorder="1" applyAlignment="1">
      <alignment wrapText="1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9751152"/>
        <c:axId val="352101120"/>
      </c:scatterChart>
      <c:valAx>
        <c:axId val="21975115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101120"/>
        <c:crosses val="autoZero"/>
        <c:crossBetween val="midCat"/>
        <c:majorUnit val="0.30000000000000004"/>
        <c:minorUnit val="0.30000000000000004"/>
      </c:valAx>
      <c:valAx>
        <c:axId val="3521011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75115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191312"/>
        <c:axId val="353059384"/>
      </c:scatterChart>
      <c:valAx>
        <c:axId val="2221913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3059384"/>
        <c:crossesAt val="0"/>
        <c:crossBetween val="midCat"/>
      </c:valAx>
      <c:valAx>
        <c:axId val="35305938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22191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08056"/>
        <c:axId val="353108440"/>
      </c:scatterChart>
      <c:valAx>
        <c:axId val="353108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08440"/>
        <c:crosses val="autoZero"/>
        <c:crossBetween val="midCat"/>
      </c:valAx>
      <c:valAx>
        <c:axId val="353108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08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704800"/>
        <c:axId val="353705184"/>
      </c:scatterChart>
      <c:valAx>
        <c:axId val="35370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3705184"/>
        <c:crosses val="autoZero"/>
        <c:crossBetween val="midCat"/>
      </c:valAx>
      <c:valAx>
        <c:axId val="35370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370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798096"/>
        <c:axId val="353802408"/>
      </c:scatterChart>
      <c:valAx>
        <c:axId val="353798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3802408"/>
        <c:crosses val="autoZero"/>
        <c:crossBetween val="midCat"/>
      </c:valAx>
      <c:valAx>
        <c:axId val="3538024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3798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683752"/>
        <c:axId val="352684144"/>
      </c:scatterChart>
      <c:valAx>
        <c:axId val="352683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4144"/>
        <c:crosses val="autoZero"/>
        <c:crossBetween val="midCat"/>
      </c:valAx>
      <c:valAx>
        <c:axId val="35268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3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690024"/>
        <c:axId val="352683360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52690024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3360"/>
        <c:crosses val="autoZero"/>
        <c:crossBetween val="midCat"/>
      </c:valAx>
      <c:valAx>
        <c:axId val="35268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90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684536"/>
        <c:axId val="352684928"/>
      </c:scatterChart>
      <c:valAx>
        <c:axId val="352684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4928"/>
        <c:crosses val="autoZero"/>
        <c:crossBetween val="midCat"/>
      </c:valAx>
      <c:valAx>
        <c:axId val="35268492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4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685712"/>
        <c:axId val="352686104"/>
      </c:scatterChart>
      <c:valAx>
        <c:axId val="35268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6104"/>
        <c:crosses val="autoZero"/>
        <c:crossBetween val="midCat"/>
      </c:valAx>
      <c:valAx>
        <c:axId val="352686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687280"/>
        <c:axId val="352687672"/>
      </c:scatterChart>
      <c:valAx>
        <c:axId val="35268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7672"/>
        <c:crosses val="autoZero"/>
        <c:crossBetween val="midCat"/>
      </c:valAx>
      <c:valAx>
        <c:axId val="352687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7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689240"/>
        <c:axId val="352688456"/>
      </c:scatterChart>
      <c:valAx>
        <c:axId val="352689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8456"/>
        <c:crosses val="autoZero"/>
        <c:crossBetween val="midCat"/>
      </c:valAx>
      <c:valAx>
        <c:axId val="352688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9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2689632"/>
        <c:axId val="221751496"/>
      </c:scatterChart>
      <c:valAx>
        <c:axId val="35268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21751496"/>
        <c:crosses val="autoZero"/>
        <c:crossBetween val="midCat"/>
      </c:valAx>
      <c:valAx>
        <c:axId val="221751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2689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753456"/>
        <c:axId val="221753064"/>
      </c:scatterChart>
      <c:valAx>
        <c:axId val="221753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21753064"/>
        <c:crosses val="autoZero"/>
        <c:crossBetween val="midCat"/>
      </c:valAx>
      <c:valAx>
        <c:axId val="22175306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21753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72888"/>
        <c:axId val="354870144"/>
      </c:scatterChart>
      <c:valAx>
        <c:axId val="354872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0144"/>
        <c:crosses val="autoZero"/>
        <c:crossBetween val="midCat"/>
      </c:valAx>
      <c:valAx>
        <c:axId val="35487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2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76024"/>
        <c:axId val="354876808"/>
      </c:scatterChart>
      <c:valAx>
        <c:axId val="354876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6808"/>
        <c:crosses val="autoZero"/>
        <c:crossBetween val="midCat"/>
      </c:valAx>
      <c:valAx>
        <c:axId val="35487680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6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71712"/>
        <c:axId val="354873280"/>
      </c:scatterChart>
      <c:valAx>
        <c:axId val="354871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3280"/>
        <c:crosses val="autoZero"/>
        <c:crossBetween val="midCat"/>
      </c:valAx>
      <c:valAx>
        <c:axId val="354873280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1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70928"/>
        <c:axId val="354875632"/>
      </c:scatterChart>
      <c:valAx>
        <c:axId val="354870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5632"/>
        <c:crosses val="autoZero"/>
        <c:crossBetween val="midCat"/>
      </c:valAx>
      <c:valAx>
        <c:axId val="35487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72104"/>
        <c:axId val="354871320"/>
      </c:scatterChart>
      <c:valAx>
        <c:axId val="354872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1320"/>
        <c:crosses val="autoZero"/>
        <c:crossBetween val="midCat"/>
      </c:valAx>
      <c:valAx>
        <c:axId val="3548713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2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triang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73672"/>
        <c:axId val="354869752"/>
      </c:scatterChart>
      <c:valAx>
        <c:axId val="354873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69752"/>
        <c:crosses val="autoZero"/>
        <c:crossBetween val="midCat"/>
      </c:valAx>
      <c:valAx>
        <c:axId val="354869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873672"/>
        <c:crosses val="autoZero"/>
        <c:crossBetween val="midCat"/>
        <c:minorUnit val="0.25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0" i="1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5"/>
          <c:order val="0"/>
          <c:tx>
            <c:strRef>
              <c:f>'CFD test1'!$A$64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'CFD test1'!$B$1:$F$1</c:f>
              <c:numCache>
                <c:formatCode>General</c:formatCode>
                <c:ptCount val="5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</c:numCache>
            </c:numRef>
          </c:cat>
          <c:val>
            <c:numRef>
              <c:f>'CFD test1'!$B$64:$F$64</c:f>
              <c:numCache>
                <c:formatCode>0.00000</c:formatCode>
                <c:ptCount val="5"/>
                <c:pt idx="0">
                  <c:v>1.7286836303612896</c:v>
                </c:pt>
                <c:pt idx="1">
                  <c:v>1.5921142809655722</c:v>
                </c:pt>
                <c:pt idx="2">
                  <c:v>1.547166376998212</c:v>
                </c:pt>
                <c:pt idx="3">
                  <c:v>1.5028873813988606</c:v>
                </c:pt>
                <c:pt idx="4">
                  <c:v>1.8620480110999427</c:v>
                </c:pt>
              </c:numCache>
            </c:numRef>
          </c:val>
        </c:ser>
        <c:ser>
          <c:idx val="0"/>
          <c:order val="1"/>
          <c:tx>
            <c:strRef>
              <c:f>'CFD test1'!$A$65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'CFD test1'!$B$1:$F$1</c:f>
              <c:numCache>
                <c:formatCode>General</c:formatCode>
                <c:ptCount val="5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</c:numCache>
            </c:numRef>
          </c:cat>
          <c:val>
            <c:numRef>
              <c:f>'CFD test1'!$B$65:$F$65</c:f>
              <c:numCache>
                <c:formatCode>0.00000</c:formatCode>
                <c:ptCount val="5"/>
                <c:pt idx="0">
                  <c:v>2.0877255143069968</c:v>
                </c:pt>
                <c:pt idx="1">
                  <c:v>2.1085158843598295</c:v>
                </c:pt>
                <c:pt idx="2">
                  <c:v>1.8572501727109318</c:v>
                </c:pt>
                <c:pt idx="3">
                  <c:v>1.7957209213104164</c:v>
                </c:pt>
                <c:pt idx="4">
                  <c:v>2.3035041322697998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482416"/>
        <c:axId val="651483200"/>
      </c:barChart>
      <c:catAx>
        <c:axId val="65148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483200"/>
        <c:crosses val="autoZero"/>
        <c:auto val="1"/>
        <c:lblAlgn val="ctr"/>
        <c:lblOffset val="100"/>
        <c:noMultiLvlLbl val="0"/>
      </c:catAx>
      <c:valAx>
        <c:axId val="65148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482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061552"/>
        <c:axId val="356061160"/>
      </c:scatterChart>
      <c:valAx>
        <c:axId val="35606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61160"/>
        <c:crosses val="autoZero"/>
        <c:crossBetween val="midCat"/>
      </c:valAx>
      <c:valAx>
        <c:axId val="356061160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61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063120"/>
        <c:axId val="356062336"/>
      </c:scatterChart>
      <c:valAx>
        <c:axId val="356063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62336"/>
        <c:crosses val="autoZero"/>
        <c:crossBetween val="midCat"/>
      </c:valAx>
      <c:valAx>
        <c:axId val="35606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63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6062728"/>
        <c:axId val="35606468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6063904"/>
        <c:axId val="356063512"/>
      </c:lineChart>
      <c:catAx>
        <c:axId val="356062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64688"/>
        <c:crosses val="autoZero"/>
        <c:auto val="1"/>
        <c:lblAlgn val="ctr"/>
        <c:lblOffset val="100"/>
        <c:noMultiLvlLbl val="0"/>
      </c:catAx>
      <c:valAx>
        <c:axId val="35606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62728"/>
        <c:crosses val="autoZero"/>
        <c:crossBetween val="between"/>
      </c:valAx>
      <c:valAx>
        <c:axId val="356063512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63904"/>
        <c:crosses val="max"/>
        <c:crossBetween val="between"/>
      </c:valAx>
      <c:catAx>
        <c:axId val="356063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6063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064296"/>
        <c:axId val="356057240"/>
      </c:scatterChart>
      <c:valAx>
        <c:axId val="35606429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57240"/>
        <c:crosses val="autoZero"/>
        <c:crossBetween val="midCat"/>
      </c:valAx>
      <c:valAx>
        <c:axId val="356057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64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18.xml"/><Relationship Id="rId7" Type="http://schemas.openxmlformats.org/officeDocument/2006/relationships/image" Target="../media/image8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3" Type="http://schemas.openxmlformats.org/officeDocument/2006/relationships/chart" Target="../charts/chart23.xml"/><Relationship Id="rId7" Type="http://schemas.openxmlformats.org/officeDocument/2006/relationships/image" Target="../media/image16.png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image" Target="../media/image15.png"/><Relationship Id="rId5" Type="http://schemas.openxmlformats.org/officeDocument/2006/relationships/image" Target="../media/image14.png"/><Relationship Id="rId4" Type="http://schemas.openxmlformats.org/officeDocument/2006/relationships/chart" Target="../charts/chart24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4529735" y="25915472"/>
          <a:ext cx="5268058" cy="2227843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425825</xdr:colOff>
      <xdr:row>18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12</xdr:col>
      <xdr:colOff>179295</xdr:colOff>
      <xdr:row>53</xdr:row>
      <xdr:rowOff>126253</xdr:rowOff>
    </xdr:from>
    <xdr:to>
      <xdr:col>18</xdr:col>
      <xdr:colOff>381000</xdr:colOff>
      <xdr:row>69</xdr:row>
      <xdr:rowOff>123265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470647</xdr:colOff>
      <xdr:row>54</xdr:row>
      <xdr:rowOff>57149</xdr:rowOff>
    </xdr:from>
    <xdr:to>
      <xdr:col>25</xdr:col>
      <xdr:colOff>179294</xdr:colOff>
      <xdr:row>67</xdr:row>
      <xdr:rowOff>66114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3" customWidth="1"/>
    <col min="2" max="9" width="7.25" style="113" customWidth="1"/>
    <col min="10" max="16384" width="8.87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.5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.5" thickBot="1"/>
    <row r="105" spans="1:12" ht="13.5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.5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.5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46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46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.5" thickBot="1">
      <c r="A110" s="346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2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.5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.5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.5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.5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46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46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.5" thickBot="1">
      <c r="A162" s="346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.5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.5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.5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.5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.5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.5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46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46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.5" thickBot="1">
      <c r="A214" s="346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>
      <c r="A216" s="135" t="s">
        <v>90</v>
      </c>
    </row>
    <row r="217" spans="1:12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.5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.5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.5" thickBot="1"/>
    <row r="243" spans="1:7" ht="15" customHeight="1" thickBot="1">
      <c r="C243" s="347" t="s">
        <v>113</v>
      </c>
      <c r="D243" s="348"/>
      <c r="E243" s="348"/>
      <c r="F243" s="348"/>
      <c r="G243" s="349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.5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47" t="s">
        <v>123</v>
      </c>
      <c r="D247" s="348"/>
      <c r="E247" s="348"/>
      <c r="F247" s="348"/>
      <c r="G247" s="349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.5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.5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0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1"/>
    </row>
    <row r="259" spans="1:12" ht="13.5" thickBot="1"/>
    <row r="260" spans="1:12" ht="13.5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.5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.5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25">
      <c r="A263" s="346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25">
      <c r="A264" s="346"/>
      <c r="B264" s="159" t="s">
        <v>136</v>
      </c>
      <c r="L264" s="150"/>
    </row>
    <row r="265" spans="1:12" ht="13.5" thickBot="1">
      <c r="A265" s="346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>
      <c r="A267" s="135" t="s">
        <v>137</v>
      </c>
    </row>
    <row r="268" spans="1:12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19"/>
  <sheetViews>
    <sheetView workbookViewId="0">
      <selection activeCell="G12" sqref="G12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4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4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4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4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4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4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4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4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4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4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4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117" zoomScaleNormal="70" workbookViewId="0">
      <pane xSplit="1" ySplit="9" topLeftCell="B73" activePane="bottomRight" state="frozen"/>
      <selection pane="topRight" activeCell="B1" sqref="B1"/>
      <selection pane="bottomLeft" activeCell="A9" sqref="A9"/>
      <selection pane="bottomRight" activeCell="C9" sqref="C9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70" t="s">
        <v>182</v>
      </c>
      <c r="C2" s="372"/>
    </row>
    <row r="3" spans="2:22">
      <c r="B3" s="3" t="s">
        <v>564</v>
      </c>
      <c r="C3" s="4">
        <f>2.5</f>
        <v>2.5</v>
      </c>
    </row>
    <row r="4" spans="2:22">
      <c r="B4" s="3" t="s">
        <v>563</v>
      </c>
      <c r="C4" s="4">
        <v>8</v>
      </c>
    </row>
    <row r="5" spans="2:22">
      <c r="B5" s="165" t="s">
        <v>565</v>
      </c>
      <c r="C5" s="166">
        <v>15</v>
      </c>
    </row>
    <row r="6" spans="2:22">
      <c r="B6" s="165" t="s">
        <v>566</v>
      </c>
      <c r="C6" s="166">
        <v>10</v>
      </c>
    </row>
    <row r="7" spans="2:22">
      <c r="B7" s="165" t="s">
        <v>567</v>
      </c>
      <c r="C7" s="166">
        <v>30</v>
      </c>
    </row>
    <row r="8" spans="2:22">
      <c r="B8" s="165" t="s">
        <v>562</v>
      </c>
      <c r="C8" s="190">
        <f>(PI()*(DiameterRocket/100)^2)/4</f>
        <v>5.0265482457436689E-3</v>
      </c>
    </row>
    <row r="9" spans="2:22" ht="15" thickBot="1">
      <c r="B9" s="5" t="s">
        <v>568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52" t="s">
        <v>185</v>
      </c>
      <c r="D12" s="353"/>
      <c r="E12" s="353"/>
      <c r="F12" s="353"/>
      <c r="G12" s="354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52" t="s">
        <v>189</v>
      </c>
      <c r="P12" s="353"/>
      <c r="Q12" s="353"/>
      <c r="R12" s="353"/>
      <c r="S12" s="354"/>
      <c r="T12" s="1" t="s">
        <v>186</v>
      </c>
      <c r="U12" s="1" t="s">
        <v>187</v>
      </c>
      <c r="V12" s="1" t="s">
        <v>188</v>
      </c>
    </row>
    <row r="13" spans="2:22">
      <c r="B13" s="367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67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68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68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68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68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68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68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68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68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68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68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68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68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68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68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68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68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68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69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87" t="s">
        <v>191</v>
      </c>
      <c r="C23" s="66"/>
      <c r="D23" s="65" t="s">
        <v>186</v>
      </c>
      <c r="E23" s="65"/>
      <c r="F23" s="65"/>
      <c r="G23" s="65"/>
      <c r="K23" s="365"/>
      <c r="N23" s="386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87"/>
      <c r="C24" s="67" t="s">
        <v>193</v>
      </c>
      <c r="D24" s="1">
        <f>(F25/2)/(F26)</f>
        <v>0.13333333333333333</v>
      </c>
      <c r="K24" s="365"/>
      <c r="N24" s="387"/>
      <c r="O24" s="67" t="s">
        <v>193</v>
      </c>
      <c r="P24" s="1" t="s">
        <v>194</v>
      </c>
    </row>
    <row r="25" spans="2:22">
      <c r="B25" s="387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65"/>
      <c r="N25" s="387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87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65"/>
      <c r="N26" s="387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45" customHeight="1">
      <c r="B27" s="2" t="s">
        <v>199</v>
      </c>
      <c r="C27" s="355" t="s">
        <v>200</v>
      </c>
      <c r="D27" s="355"/>
      <c r="E27" s="355"/>
      <c r="F27" s="355"/>
      <c r="G27" s="355"/>
      <c r="L27" s="64"/>
      <c r="M27" s="64"/>
      <c r="N27" s="2" t="s">
        <v>199</v>
      </c>
      <c r="O27" s="355" t="s">
        <v>200</v>
      </c>
      <c r="P27" s="355"/>
      <c r="Q27" s="355"/>
      <c r="R27" s="355"/>
      <c r="S27" s="355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67" t="s">
        <v>203</v>
      </c>
      <c r="C31" s="370"/>
      <c r="D31" s="371"/>
      <c r="E31" s="371"/>
      <c r="F31" s="371"/>
      <c r="G31" s="372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68"/>
      <c r="C32" s="373"/>
      <c r="D32" s="362"/>
      <c r="E32" s="362"/>
      <c r="F32" s="362"/>
      <c r="G32" s="374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68"/>
      <c r="C33" s="373"/>
      <c r="D33" s="362"/>
      <c r="E33" s="362"/>
      <c r="F33" s="362"/>
      <c r="G33" s="374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68"/>
      <c r="C34" s="373"/>
      <c r="D34" s="362"/>
      <c r="E34" s="362"/>
      <c r="F34" s="362"/>
      <c r="G34" s="374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68"/>
      <c r="C35" s="373"/>
      <c r="D35" s="362"/>
      <c r="E35" s="362"/>
      <c r="F35" s="362"/>
      <c r="G35" s="374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68"/>
      <c r="C36" s="373"/>
      <c r="D36" s="362"/>
      <c r="E36" s="362"/>
      <c r="F36" s="362"/>
      <c r="G36" s="374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68"/>
      <c r="C37" s="373"/>
      <c r="D37" s="362"/>
      <c r="E37" s="362"/>
      <c r="F37" s="362"/>
      <c r="G37" s="374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68"/>
      <c r="C38" s="373"/>
      <c r="D38" s="362"/>
      <c r="E38" s="362"/>
      <c r="F38" s="362"/>
      <c r="G38" s="374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68"/>
      <c r="C39" s="373"/>
      <c r="D39" s="362"/>
      <c r="E39" s="362"/>
      <c r="F39" s="362"/>
      <c r="G39" s="374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69"/>
      <c r="C40" s="375"/>
      <c r="D40" s="376"/>
      <c r="E40" s="376"/>
      <c r="F40" s="376"/>
      <c r="G40" s="377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55" t="s">
        <v>191</v>
      </c>
      <c r="C41" s="1" t="s">
        <v>204</v>
      </c>
      <c r="H41" s="12"/>
    </row>
    <row r="42" spans="2:24">
      <c r="B42" s="362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2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2" t="s">
        <v>206</v>
      </c>
      <c r="D44" s="362"/>
      <c r="E44" s="362"/>
      <c r="F44" s="362"/>
      <c r="G44" s="362"/>
    </row>
    <row r="45" spans="2:24">
      <c r="B45" s="362" t="s">
        <v>201</v>
      </c>
    </row>
    <row r="46" spans="2:24">
      <c r="B46" s="362"/>
    </row>
    <row r="47" spans="2:24" ht="15" thickBot="1">
      <c r="B47" s="362"/>
    </row>
    <row r="48" spans="2:24" ht="15" customHeight="1" thickBot="1">
      <c r="K48" s="363" t="s">
        <v>207</v>
      </c>
      <c r="L48" s="364"/>
      <c r="W48" s="365" t="s">
        <v>207</v>
      </c>
      <c r="X48" s="365"/>
    </row>
    <row r="49" spans="2:24" ht="15" thickBot="1">
      <c r="B49" s="8" t="s">
        <v>184</v>
      </c>
      <c r="C49" s="363" t="s">
        <v>208</v>
      </c>
      <c r="D49" s="366"/>
      <c r="E49" s="366"/>
      <c r="F49" s="366"/>
      <c r="G49" s="364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63" t="s">
        <v>212</v>
      </c>
      <c r="P49" s="366"/>
      <c r="Q49" s="366"/>
      <c r="R49" s="366"/>
      <c r="S49" s="364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67" t="s">
        <v>214</v>
      </c>
      <c r="C50" s="370"/>
      <c r="D50" s="371"/>
      <c r="E50" s="371"/>
      <c r="F50" s="371"/>
      <c r="G50" s="372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67" t="s">
        <v>214</v>
      </c>
      <c r="O50" s="370"/>
      <c r="P50" s="371"/>
      <c r="Q50" s="371"/>
      <c r="R50" s="371"/>
      <c r="S50" s="372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68"/>
      <c r="C51" s="373"/>
      <c r="D51" s="362"/>
      <c r="E51" s="362"/>
      <c r="F51" s="362"/>
      <c r="G51" s="374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68"/>
      <c r="O51" s="373"/>
      <c r="P51" s="362"/>
      <c r="Q51" s="362"/>
      <c r="R51" s="362"/>
      <c r="S51" s="374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68"/>
      <c r="C52" s="373"/>
      <c r="D52" s="362"/>
      <c r="E52" s="362"/>
      <c r="F52" s="362"/>
      <c r="G52" s="374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68"/>
      <c r="O52" s="373"/>
      <c r="P52" s="362"/>
      <c r="Q52" s="362"/>
      <c r="R52" s="362"/>
      <c r="S52" s="374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68"/>
      <c r="C53" s="373"/>
      <c r="D53" s="362"/>
      <c r="E53" s="362"/>
      <c r="F53" s="362"/>
      <c r="G53" s="374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68"/>
      <c r="O53" s="373"/>
      <c r="P53" s="362"/>
      <c r="Q53" s="362"/>
      <c r="R53" s="362"/>
      <c r="S53" s="374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68"/>
      <c r="C54" s="373"/>
      <c r="D54" s="362"/>
      <c r="E54" s="362"/>
      <c r="F54" s="362"/>
      <c r="G54" s="374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68"/>
      <c r="O54" s="373"/>
      <c r="P54" s="362"/>
      <c r="Q54" s="362"/>
      <c r="R54" s="362"/>
      <c r="S54" s="374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68"/>
      <c r="C55" s="373"/>
      <c r="D55" s="362"/>
      <c r="E55" s="362"/>
      <c r="F55" s="362"/>
      <c r="G55" s="374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68"/>
      <c r="O55" s="373"/>
      <c r="P55" s="362"/>
      <c r="Q55" s="362"/>
      <c r="R55" s="362"/>
      <c r="S55" s="374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68"/>
      <c r="C56" s="373"/>
      <c r="D56" s="362"/>
      <c r="E56" s="362"/>
      <c r="F56" s="362"/>
      <c r="G56" s="374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68"/>
      <c r="O56" s="373"/>
      <c r="P56" s="362"/>
      <c r="Q56" s="362"/>
      <c r="R56" s="362"/>
      <c r="S56" s="374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68"/>
      <c r="C57" s="373"/>
      <c r="D57" s="362"/>
      <c r="E57" s="362"/>
      <c r="F57" s="362"/>
      <c r="G57" s="374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68"/>
      <c r="O57" s="373"/>
      <c r="P57" s="362"/>
      <c r="Q57" s="362"/>
      <c r="R57" s="362"/>
      <c r="S57" s="374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68"/>
      <c r="C58" s="373"/>
      <c r="D58" s="362"/>
      <c r="E58" s="362"/>
      <c r="F58" s="362"/>
      <c r="G58" s="374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68"/>
      <c r="O58" s="373"/>
      <c r="P58" s="362"/>
      <c r="Q58" s="362"/>
      <c r="R58" s="362"/>
      <c r="S58" s="374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69"/>
      <c r="C59" s="378"/>
      <c r="D59" s="379"/>
      <c r="E59" s="379"/>
      <c r="F59" s="379"/>
      <c r="G59" s="380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69"/>
      <c r="O59" s="375"/>
      <c r="P59" s="376"/>
      <c r="Q59" s="376"/>
      <c r="R59" s="376"/>
      <c r="S59" s="377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1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56" t="s">
        <v>218</v>
      </c>
      <c r="I60" s="357"/>
      <c r="J60" s="358"/>
      <c r="K60" s="82" t="s">
        <v>219</v>
      </c>
      <c r="L60" s="57">
        <f>K67^2/K68</f>
        <v>1.1707317073170729</v>
      </c>
      <c r="N60" s="355" t="s">
        <v>191</v>
      </c>
      <c r="O60" s="1" t="s">
        <v>220</v>
      </c>
    </row>
    <row r="61" spans="2:24" ht="16.149999999999999" customHeight="1" thickBot="1">
      <c r="B61" s="382"/>
      <c r="C61" s="81" t="s">
        <v>221</v>
      </c>
      <c r="D61" s="83">
        <f>-I50+D60*H50</f>
        <v>23.499999999999979</v>
      </c>
      <c r="E61" s="78"/>
      <c r="F61" s="61"/>
      <c r="G61" s="62"/>
      <c r="H61" s="359"/>
      <c r="I61" s="360"/>
      <c r="J61" s="361"/>
      <c r="K61" s="81"/>
      <c r="L61" s="62"/>
      <c r="N61" s="355"/>
    </row>
    <row r="62" spans="2:24" ht="27.6" customHeight="1">
      <c r="B62" s="382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55"/>
    </row>
    <row r="63" spans="2:24" ht="27.6" customHeight="1">
      <c r="B63" s="382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55"/>
    </row>
    <row r="64" spans="2:24">
      <c r="B64" s="383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55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4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2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4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2"/>
    </row>
    <row r="67" spans="2:19">
      <c r="B67" s="384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2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385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2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55" t="s">
        <v>237</v>
      </c>
      <c r="D69" s="355"/>
      <c r="E69" s="355"/>
      <c r="F69" s="355"/>
      <c r="G69" s="355"/>
      <c r="N69" s="2" t="s">
        <v>199</v>
      </c>
      <c r="O69" s="362" t="s">
        <v>238</v>
      </c>
      <c r="P69" s="362"/>
      <c r="Q69" s="362"/>
      <c r="R69" s="362"/>
      <c r="S69" s="362"/>
    </row>
    <row r="70" spans="2:19">
      <c r="B70" s="362" t="s">
        <v>201</v>
      </c>
      <c r="C70" s="66"/>
      <c r="D70" s="65"/>
      <c r="E70" s="65"/>
      <c r="F70" s="65"/>
      <c r="G70" s="94"/>
      <c r="N70" s="362" t="s">
        <v>201</v>
      </c>
    </row>
    <row r="71" spans="2:19">
      <c r="B71" s="362"/>
      <c r="C71" s="67"/>
      <c r="G71" s="95"/>
      <c r="N71" s="362"/>
    </row>
    <row r="72" spans="2:19">
      <c r="B72" s="362"/>
      <c r="C72" s="68"/>
      <c r="D72" s="69"/>
      <c r="E72" s="69"/>
      <c r="F72" s="69"/>
      <c r="G72" s="96"/>
      <c r="N72" s="362"/>
    </row>
    <row r="73" spans="2:19" ht="15" thickBot="1"/>
    <row r="74" spans="2:19" ht="15" thickBot="1">
      <c r="B74" s="85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67" t="s">
        <v>246</v>
      </c>
      <c r="C88" s="370"/>
      <c r="D88" s="371"/>
      <c r="E88" s="371"/>
      <c r="F88" s="371"/>
      <c r="G88" s="372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68"/>
      <c r="C89" s="373"/>
      <c r="D89" s="362"/>
      <c r="E89" s="362"/>
      <c r="F89" s="362"/>
      <c r="G89" s="374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68"/>
      <c r="C90" s="373"/>
      <c r="D90" s="362"/>
      <c r="E90" s="362"/>
      <c r="F90" s="362"/>
      <c r="G90" s="374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68"/>
      <c r="C91" s="373"/>
      <c r="D91" s="362"/>
      <c r="E91" s="362"/>
      <c r="F91" s="362"/>
      <c r="G91" s="374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68"/>
      <c r="C92" s="373"/>
      <c r="D92" s="362"/>
      <c r="E92" s="362"/>
      <c r="F92" s="362"/>
      <c r="G92" s="374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68"/>
      <c r="C93" s="373"/>
      <c r="D93" s="362"/>
      <c r="E93" s="362"/>
      <c r="F93" s="362"/>
      <c r="G93" s="374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68"/>
      <c r="C94" s="373"/>
      <c r="D94" s="362"/>
      <c r="E94" s="362"/>
      <c r="F94" s="362"/>
      <c r="G94" s="374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68"/>
      <c r="C95" s="373"/>
      <c r="D95" s="362"/>
      <c r="E95" s="362"/>
      <c r="F95" s="362"/>
      <c r="G95" s="374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68"/>
      <c r="C96" s="373"/>
      <c r="D96" s="362"/>
      <c r="E96" s="362"/>
      <c r="F96" s="362"/>
      <c r="G96" s="374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69"/>
      <c r="C97" s="375"/>
      <c r="D97" s="376"/>
      <c r="E97" s="376"/>
      <c r="F97" s="376"/>
      <c r="G97" s="377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55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62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2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62" t="s">
        <v>249</v>
      </c>
      <c r="D101" s="362"/>
      <c r="E101" s="362"/>
      <c r="F101" s="362"/>
      <c r="G101" s="362"/>
    </row>
    <row r="102" spans="2:10">
      <c r="B102" s="362" t="s">
        <v>201</v>
      </c>
    </row>
    <row r="103" spans="2:10">
      <c r="B103" s="362"/>
    </row>
    <row r="104" spans="2:10">
      <c r="B104" s="362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4"/>
  <sheetViews>
    <sheetView topLeftCell="A7" zoomScale="84" zoomScaleNormal="120" workbookViewId="0">
      <selection activeCell="F27" sqref="F27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1" t="s">
        <v>252</v>
      </c>
      <c r="U15" s="392"/>
      <c r="V15" s="393"/>
    </row>
    <row r="16" spans="2:22" ht="15.7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94" t="s">
        <v>252</v>
      </c>
      <c r="U23" s="395"/>
      <c r="V23" s="396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397" t="s">
        <v>286</v>
      </c>
      <c r="L33" s="398"/>
      <c r="M33" s="398"/>
      <c r="N33" s="398"/>
      <c r="O33" s="398"/>
      <c r="P33" s="398"/>
      <c r="Q33" s="398"/>
      <c r="R33" s="398"/>
      <c r="S33" s="399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397" t="s">
        <v>312</v>
      </c>
      <c r="L43" s="398"/>
      <c r="M43" s="398"/>
      <c r="N43" s="398"/>
      <c r="O43" s="398"/>
      <c r="P43" s="398"/>
      <c r="Q43" s="398"/>
      <c r="R43" s="398"/>
      <c r="S43" s="399"/>
    </row>
    <row r="44" spans="2:19" ht="15" thickBot="1">
      <c r="B44" s="388" t="s">
        <v>313</v>
      </c>
      <c r="C44" s="389"/>
      <c r="D44" s="389"/>
      <c r="E44" s="389"/>
      <c r="F44" s="390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2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2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05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2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2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2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2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2" customFormat="1">
      <c r="A6" s="282" t="s">
        <v>484</v>
      </c>
      <c r="B6" s="283">
        <v>0.06</v>
      </c>
      <c r="C6" s="283">
        <v>0.1</v>
      </c>
      <c r="D6" s="283">
        <v>0.3</v>
      </c>
      <c r="E6" s="283">
        <v>0.5</v>
      </c>
      <c r="F6" s="283">
        <v>0.7</v>
      </c>
      <c r="G6" s="283">
        <v>1</v>
      </c>
      <c r="H6" s="283">
        <v>1.5</v>
      </c>
      <c r="I6" s="283">
        <v>2</v>
      </c>
      <c r="J6" s="283">
        <v>3</v>
      </c>
      <c r="K6" s="283">
        <v>5</v>
      </c>
    </row>
    <row r="7" spans="1:11" ht="14.25">
      <c r="A7" t="s">
        <v>331</v>
      </c>
      <c r="B7" s="280">
        <f t="shared" ref="B7" si="11">B2/B8</f>
        <v>0.06</v>
      </c>
      <c r="C7" s="280">
        <f t="shared" ref="C7:I7" si="12">C2/C8</f>
        <v>9.9999999999999992E-2</v>
      </c>
      <c r="D7" s="280">
        <f t="shared" si="12"/>
        <v>0.3</v>
      </c>
      <c r="E7" s="280">
        <f t="shared" si="12"/>
        <v>0.5</v>
      </c>
      <c r="F7" s="280">
        <f t="shared" si="12"/>
        <v>0.7</v>
      </c>
      <c r="G7" s="280">
        <f t="shared" si="12"/>
        <v>1</v>
      </c>
      <c r="H7" s="280">
        <f t="shared" si="12"/>
        <v>1.5</v>
      </c>
      <c r="I7" s="280">
        <f t="shared" si="12"/>
        <v>2</v>
      </c>
      <c r="J7" s="280">
        <f t="shared" ref="J7:K7" si="13">J2/J8</f>
        <v>3</v>
      </c>
      <c r="K7" s="280">
        <f t="shared" si="13"/>
        <v>5</v>
      </c>
    </row>
    <row r="8" spans="1:11" ht="14.2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2" customFormat="1">
      <c r="A9" s="282" t="s">
        <v>332</v>
      </c>
      <c r="B9" s="284">
        <v>15</v>
      </c>
      <c r="C9" s="284">
        <v>0</v>
      </c>
      <c r="D9" s="284">
        <v>0</v>
      </c>
      <c r="E9" s="284">
        <v>0</v>
      </c>
      <c r="F9" s="284">
        <v>0</v>
      </c>
      <c r="G9" s="284">
        <v>0</v>
      </c>
      <c r="H9" s="284">
        <v>0</v>
      </c>
      <c r="I9" s="284">
        <v>0</v>
      </c>
      <c r="J9" s="284">
        <v>0</v>
      </c>
      <c r="K9" s="284">
        <v>0</v>
      </c>
    </row>
    <row r="10" spans="1:11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2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2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ht="15.75" thickBot="1">
      <c r="A14" s="268" t="s">
        <v>486</v>
      </c>
    </row>
    <row r="15" spans="1:11" ht="14.2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2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2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2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2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2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2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25" outlineLevel="1">
      <c r="A22" t="s">
        <v>349</v>
      </c>
    </row>
    <row r="23" spans="1:11" ht="14.25" outlineLevel="1">
      <c r="A23" t="s">
        <v>350</v>
      </c>
    </row>
    <row r="24" spans="1:11" ht="14.25" outlineLevel="1">
      <c r="A24" t="s">
        <v>351</v>
      </c>
    </row>
    <row r="25" spans="1:11" ht="14.2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2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2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2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2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25" outlineLevel="1">
      <c r="A30" t="s">
        <v>347</v>
      </c>
      <c r="B30" s="191">
        <f t="shared" ref="B30:K30" si="48">CrossSecAreaRocket</f>
        <v>5.0265482457436689E-3</v>
      </c>
      <c r="C30" s="191">
        <f t="shared" si="48"/>
        <v>5.0265482457436689E-3</v>
      </c>
      <c r="D30" s="191">
        <f t="shared" si="48"/>
        <v>5.0265482457436689E-3</v>
      </c>
      <c r="E30" s="191">
        <f t="shared" si="48"/>
        <v>5.0265482457436689E-3</v>
      </c>
      <c r="F30" s="191">
        <f t="shared" si="48"/>
        <v>5.0265482457436689E-3</v>
      </c>
      <c r="G30" s="191">
        <f t="shared" si="48"/>
        <v>5.0265482457436689E-3</v>
      </c>
      <c r="H30" s="191">
        <f t="shared" si="48"/>
        <v>5.0265482457436689E-3</v>
      </c>
      <c r="I30" s="191">
        <f t="shared" si="48"/>
        <v>5.0265482457436689E-3</v>
      </c>
      <c r="J30" s="191">
        <f t="shared" si="48"/>
        <v>5.0265482457436689E-3</v>
      </c>
      <c r="K30" s="191">
        <f t="shared" si="48"/>
        <v>5.0265482457436689E-3</v>
      </c>
    </row>
    <row r="31" spans="1:11" ht="15" customHeight="1" thickBot="1"/>
    <row r="32" spans="1:11" ht="15.75" thickBot="1">
      <c r="A32" s="268" t="s">
        <v>352</v>
      </c>
    </row>
    <row r="33" spans="1:11" ht="14.2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2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2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2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2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2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2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2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2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2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2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2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2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2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ht="15.75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2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2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2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2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2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2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2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2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2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2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2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2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2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2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2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2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2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2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2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2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2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2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2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2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2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2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2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2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2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2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2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2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2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2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2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2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2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2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>
      <c r="A92" s="265" t="s">
        <v>373</v>
      </c>
    </row>
    <row r="93" spans="1:11" s="167" customFormat="1" ht="14.25">
      <c r="A93" s="167" t="s">
        <v>374</v>
      </c>
      <c r="B93" s="286">
        <f>IF(B7&lt;1,(B95/(B96+B97))/SQRT(1-B7^2),(B95/(B96+B97))/SQRT(1-0.99^2))</f>
        <v>1.7460228002045515</v>
      </c>
      <c r="C93" s="286">
        <f t="shared" ref="C93:I93" si="176">IF(C7&lt;1,(C95/(C96+C97))/SQRT(1-C7^2),(C95/(C96+C97))/SQRT(1-0.99^2))</f>
        <v>1.7516574184821574</v>
      </c>
      <c r="D93" s="286">
        <f t="shared" si="176"/>
        <v>1.8270316629357042</v>
      </c>
      <c r="E93" s="286">
        <f t="shared" si="176"/>
        <v>2.0125011551487666</v>
      </c>
      <c r="F93" s="286">
        <f t="shared" si="176"/>
        <v>2.4405161277517413</v>
      </c>
      <c r="G93" s="286">
        <f t="shared" si="176"/>
        <v>12.354928369089945</v>
      </c>
      <c r="H93" s="286">
        <f t="shared" si="176"/>
        <v>12.354928369089945</v>
      </c>
      <c r="I93" s="286">
        <f t="shared" si="176"/>
        <v>12.354928369089945</v>
      </c>
      <c r="J93" s="286">
        <f t="shared" ref="J93:K93" si="177">IF(J7&lt;1,(J95/(J96+J97))/SQRT(1-J7^2),(J95/(J96+J97))/SQRT(1-0.99^2))</f>
        <v>12.354928369089945</v>
      </c>
      <c r="K93" s="286">
        <f t="shared" si="177"/>
        <v>12.354928369089945</v>
      </c>
    </row>
    <row r="94" spans="1:11" s="167" customFormat="1" ht="14.25">
      <c r="A94" s="167" t="s">
        <v>511</v>
      </c>
      <c r="B94" s="286">
        <f>IF(B6&lt;1,B93,IF(B6&gt;1,(4)/SQRT(B6^2-1),(4)/SQRT((1.01)^2-1)))</f>
        <v>1.7460228002045515</v>
      </c>
      <c r="C94" s="286">
        <f t="shared" ref="C94:I94" si="178">IF(C6&lt;1,C93,IF(C6&gt;1,(4)/SQRT(C6^2-1),(4)/SQRT((1.01)^2-1)))</f>
        <v>1.7516574184821574</v>
      </c>
      <c r="D94" s="286">
        <f t="shared" si="178"/>
        <v>1.8270316629357042</v>
      </c>
      <c r="E94" s="286">
        <f t="shared" si="178"/>
        <v>2.0125011551487666</v>
      </c>
      <c r="F94" s="286">
        <f t="shared" si="178"/>
        <v>2.4405161277517413</v>
      </c>
      <c r="G94" s="286">
        <f t="shared" si="178"/>
        <v>28.213824634343929</v>
      </c>
      <c r="H94" s="286">
        <f t="shared" si="178"/>
        <v>3.5777087639996634</v>
      </c>
      <c r="I94" s="286">
        <f t="shared" si="178"/>
        <v>2.3094010767585034</v>
      </c>
      <c r="J94" s="286">
        <f t="shared" ref="J94" si="179">IF(J6&lt;1,J93,IF(J6&gt;1,(4)/SQRT(J6^2-1),(4)/SQRT((1.01)^2-1)))</f>
        <v>1.4142135623730949</v>
      </c>
      <c r="K94" s="286">
        <f t="shared" ref="K94" si="180">IF(K6&lt;1,K93,IF(K6&gt;1,(4)/SQRT(K6^2-1),(4)/SQRT((1.01)^2-1)))</f>
        <v>0.81649658092772615</v>
      </c>
    </row>
    <row r="95" spans="1:11" ht="14.2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2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2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25" hidden="1" outlineLevel="1"/>
    <row r="99" spans="1:11" ht="14.2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2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2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2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2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2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2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2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2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2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2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2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2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2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2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25">
      <c r="A118" s="271" t="s">
        <v>528</v>
      </c>
    </row>
    <row r="119" spans="1:11" ht="14.2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2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2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2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2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25" collapsed="1"/>
    <row r="125" spans="1:11" s="187" customFormat="1">
      <c r="A125" s="290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2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1" t="s">
        <v>507</v>
      </c>
    </row>
    <row r="184" spans="1:11" ht="15" customHeight="1">
      <c r="A184" s="288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5">
        <v>2</v>
      </c>
      <c r="C188" s="285">
        <v>2</v>
      </c>
      <c r="D188" s="285">
        <v>2</v>
      </c>
      <c r="E188" s="285">
        <v>2</v>
      </c>
      <c r="F188" s="285">
        <v>2</v>
      </c>
      <c r="G188" s="285">
        <v>2</v>
      </c>
      <c r="H188" s="285">
        <v>2</v>
      </c>
      <c r="I188" s="285">
        <v>2</v>
      </c>
      <c r="J188" s="285">
        <v>2</v>
      </c>
      <c r="K188" s="285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89" t="s">
        <v>524</v>
      </c>
      <c r="B227" s="287">
        <f>(-B185*B187^2)/(B225*B3)</f>
        <v>-1.5941389645945199E-3</v>
      </c>
      <c r="C227" s="287">
        <f t="shared" ref="C227:I227" si="367">(-C185*C187^2)/(C225*C3)</f>
        <v>-9.2656791636244057E-4</v>
      </c>
      <c r="D227" s="287">
        <f t="shared" si="367"/>
        <v>-3.2214611966789743E-4</v>
      </c>
      <c r="E227" s="287">
        <f t="shared" si="367"/>
        <v>-2.1290909767264995E-4</v>
      </c>
      <c r="F227" s="287">
        <f t="shared" si="367"/>
        <v>-1.8442157528556364E-4</v>
      </c>
      <c r="G227" s="287">
        <f t="shared" si="367"/>
        <v>-1.4924165209605816E-3</v>
      </c>
      <c r="H227" s="287">
        <f t="shared" si="367"/>
        <v>-1.2616584802612485E-4</v>
      </c>
      <c r="I227" s="287">
        <f t="shared" si="367"/>
        <v>-6.1079778533164696E-5</v>
      </c>
      <c r="J227" s="287">
        <f t="shared" ref="J227:K227" si="368">(-J185*J187^2)/(J225*J3)</f>
        <v>-2.4935715168075836E-5</v>
      </c>
      <c r="K227" s="287">
        <f t="shared" si="368"/>
        <v>-8.6379851188346516E-6</v>
      </c>
    </row>
    <row r="228" spans="1:11" ht="15" customHeight="1" outlineLevel="1">
      <c r="A228">
        <v>0.06</v>
      </c>
      <c r="B228" s="287">
        <v>-3.957435565420617E-3</v>
      </c>
      <c r="C228" s="287"/>
      <c r="D228" s="287"/>
      <c r="E228" s="287"/>
      <c r="F228" s="287"/>
      <c r="G228" s="287"/>
      <c r="H228" s="287"/>
      <c r="I228" s="287"/>
      <c r="J228" s="287"/>
      <c r="K228" s="287"/>
    </row>
    <row r="229" spans="1:11" ht="15" customHeight="1" outlineLevel="1">
      <c r="A229">
        <v>0.1</v>
      </c>
      <c r="B229" s="287">
        <v>-1.0587217785124063E-3</v>
      </c>
      <c r="C229" s="287"/>
      <c r="D229" s="287"/>
      <c r="E229" s="287"/>
      <c r="F229" s="287"/>
      <c r="G229" s="287"/>
      <c r="H229" s="287"/>
      <c r="I229" s="287"/>
      <c r="J229" s="287"/>
      <c r="K229" s="287"/>
    </row>
    <row r="230" spans="1:11" ht="15" customHeight="1" outlineLevel="1">
      <c r="A230">
        <v>0.3</v>
      </c>
      <c r="B230" s="287">
        <v>-2.3663117870606997E-4</v>
      </c>
      <c r="C230" s="287"/>
      <c r="D230" s="287"/>
      <c r="E230" s="287"/>
      <c r="F230" s="287"/>
      <c r="G230" s="287"/>
      <c r="H230" s="287"/>
      <c r="I230" s="287"/>
      <c r="J230" s="287"/>
      <c r="K230" s="287"/>
    </row>
    <row r="231" spans="1:11" ht="15" customHeight="1" outlineLevel="1">
      <c r="A231">
        <v>0.5</v>
      </c>
      <c r="B231" s="287">
        <v>-1.1523587839424864E-4</v>
      </c>
      <c r="C231" s="287"/>
      <c r="D231" s="287"/>
      <c r="E231" s="287"/>
      <c r="F231" s="287"/>
      <c r="G231" s="287"/>
      <c r="H231" s="287"/>
      <c r="I231" s="287"/>
      <c r="J231" s="287"/>
      <c r="K231" s="287"/>
    </row>
    <row r="232" spans="1:11" ht="15" customHeight="1" outlineLevel="1">
      <c r="A232">
        <v>0.7</v>
      </c>
      <c r="B232" s="287">
        <v>-7.9021921140809409E-5</v>
      </c>
      <c r="C232" s="287"/>
      <c r="D232" s="287"/>
      <c r="E232" s="287"/>
      <c r="F232" s="287"/>
      <c r="G232" s="287"/>
      <c r="H232" s="287"/>
      <c r="I232" s="287"/>
      <c r="J232" s="287"/>
      <c r="K232" s="287"/>
    </row>
    <row r="233" spans="1:11" ht="15" customHeight="1" outlineLevel="1">
      <c r="A233">
        <v>1</v>
      </c>
      <c r="B233" s="287">
        <v>-5.1877556177959536E-4</v>
      </c>
      <c r="C233" s="287"/>
      <c r="D233" s="287"/>
      <c r="E233" s="287"/>
      <c r="F233" s="287"/>
      <c r="G233" s="287"/>
      <c r="H233" s="287"/>
      <c r="I233" s="287"/>
      <c r="J233" s="287"/>
      <c r="K233" s="287"/>
    </row>
    <row r="234" spans="1:11" ht="15" customHeight="1" outlineLevel="1">
      <c r="A234">
        <v>1.5</v>
      </c>
      <c r="B234" s="287">
        <v>-3.1795765043958875E-4</v>
      </c>
      <c r="C234" s="287"/>
      <c r="D234" s="287"/>
      <c r="E234" s="287"/>
      <c r="F234" s="287"/>
      <c r="G234" s="287"/>
      <c r="H234" s="287"/>
      <c r="I234" s="287"/>
      <c r="J234" s="287"/>
      <c r="K234" s="287"/>
    </row>
    <row r="235" spans="1:11" ht="15" customHeight="1" outlineLevel="1">
      <c r="A235">
        <v>2</v>
      </c>
      <c r="B235" s="287">
        <v>-6.841359360843149E-5</v>
      </c>
      <c r="C235" s="287"/>
      <c r="D235" s="287"/>
      <c r="E235" s="287"/>
      <c r="F235" s="287"/>
      <c r="G235" s="287"/>
      <c r="H235" s="287"/>
      <c r="I235" s="287"/>
      <c r="J235" s="287"/>
      <c r="K235" s="287"/>
    </row>
    <row r="236" spans="1:11" ht="15" customHeight="1" outlineLevel="1">
      <c r="A236">
        <v>3</v>
      </c>
      <c r="B236" s="287">
        <v>-1.795482812258461E-5</v>
      </c>
      <c r="C236" s="287"/>
      <c r="D236" s="287"/>
      <c r="E236" s="287"/>
      <c r="F236" s="287"/>
      <c r="G236" s="287"/>
      <c r="H236" s="287"/>
      <c r="I236" s="287"/>
      <c r="J236" s="287"/>
      <c r="K236" s="287"/>
    </row>
    <row r="237" spans="1:11" ht="15" customHeight="1" outlineLevel="1">
      <c r="A237">
        <v>5</v>
      </c>
      <c r="B237" s="287">
        <v>-4.5829625651869788E-6</v>
      </c>
      <c r="C237" s="287"/>
      <c r="D237" s="287"/>
      <c r="E237" s="287"/>
      <c r="F237" s="287"/>
      <c r="G237" s="287"/>
      <c r="H237" s="287"/>
      <c r="I237" s="287"/>
      <c r="J237" s="287"/>
      <c r="K237" s="287"/>
    </row>
    <row r="239" spans="1:11" ht="15" customHeight="1">
      <c r="A239" s="289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tabSelected="1" zoomScale="85" zoomScaleNormal="85" workbookViewId="0">
      <pane ySplit="14" topLeftCell="A547" activePane="bottomLeft" state="frozen"/>
      <selection pane="bottomLeft" activeCell="J548" sqref="J548"/>
    </sheetView>
  </sheetViews>
  <sheetFormatPr defaultColWidth="9.125" defaultRowHeight="15" customHeight="1" outlineLevelRow="2"/>
  <cols>
    <col min="1" max="1" width="43.25" customWidth="1"/>
    <col min="2" max="2" width="12.75" style="191" customWidth="1"/>
    <col min="3" max="3" width="12.875" style="316" customWidth="1"/>
    <col min="4" max="11" width="12.875" style="191" customWidth="1"/>
    <col min="12" max="12" width="12.875" customWidth="1"/>
    <col min="13" max="13" width="4.5" style="328" customWidth="1"/>
    <col min="14" max="31" width="4.5" customWidth="1"/>
  </cols>
  <sheetData>
    <row r="1" spans="1:13" ht="30.75" customHeight="1" thickBot="1">
      <c r="A1" s="269" t="s">
        <v>625</v>
      </c>
      <c r="B1" s="191">
        <v>1</v>
      </c>
      <c r="C1" s="316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25">
      <c r="A2" t="s">
        <v>327</v>
      </c>
      <c r="B2" s="191">
        <f>B10*B12</f>
        <v>170.08703654305933</v>
      </c>
      <c r="C2" s="316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25" outlineLevel="1">
      <c r="A3" t="s">
        <v>328</v>
      </c>
      <c r="B3" s="191">
        <f>B2*COS(RADIANS(B13))*COS(RADIANS(B14))</f>
        <v>169.43980401833267</v>
      </c>
      <c r="C3" s="316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25" outlineLevel="1">
      <c r="A4" t="s">
        <v>329</v>
      </c>
      <c r="B4" s="191">
        <f t="shared" ref="B4:K4" si="2">B2*SIN(RADIANS(B14))</f>
        <v>0</v>
      </c>
      <c r="C4" s="316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25" outlineLevel="1">
      <c r="A5" t="s">
        <v>330</v>
      </c>
      <c r="B5" s="191">
        <f t="shared" ref="B5:K5" si="3">B2*SIN(RADIANS(B13))*COS(RADIANS(B14))</f>
        <v>14.824062001658412</v>
      </c>
      <c r="C5" s="316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25" outlineLevel="1">
      <c r="A6" t="s">
        <v>336</v>
      </c>
      <c r="B6" s="191">
        <v>0</v>
      </c>
    </row>
    <row r="7" spans="1:13" ht="14.25" outlineLevel="1">
      <c r="A7" t="s">
        <v>347</v>
      </c>
      <c r="B7" s="191">
        <f>B34</f>
        <v>5.0265482457436689E-3</v>
      </c>
    </row>
    <row r="8" spans="1:13" ht="14.25" outlineLevel="1">
      <c r="A8" t="s">
        <v>614</v>
      </c>
      <c r="B8" s="191">
        <f>B33</f>
        <v>17706.008941658431</v>
      </c>
    </row>
    <row r="9" spans="1:13" ht="14.25" outlineLevel="1">
      <c r="A9" t="s">
        <v>615</v>
      </c>
      <c r="B9" s="191">
        <f>B545</f>
        <v>1.35</v>
      </c>
    </row>
    <row r="10" spans="1:13" s="282" customFormat="1">
      <c r="A10" s="282" t="s">
        <v>613</v>
      </c>
      <c r="B10" s="283">
        <v>0.5</v>
      </c>
      <c r="C10" s="317">
        <v>0.1</v>
      </c>
      <c r="D10" s="283">
        <v>0.3</v>
      </c>
      <c r="E10" s="283"/>
      <c r="F10" s="283">
        <v>0.7</v>
      </c>
      <c r="G10" s="283">
        <v>1</v>
      </c>
      <c r="H10" s="283">
        <v>1.5</v>
      </c>
      <c r="I10" s="283">
        <v>2</v>
      </c>
      <c r="J10" s="283">
        <v>3</v>
      </c>
      <c r="K10" s="283">
        <v>5</v>
      </c>
      <c r="M10" s="332"/>
    </row>
    <row r="11" spans="1:13" ht="14.25">
      <c r="A11" t="s">
        <v>331</v>
      </c>
      <c r="B11" s="280">
        <f>B2/B12</f>
        <v>0.5</v>
      </c>
      <c r="C11" s="318">
        <f>C2/C12</f>
        <v>9.9999999999999992E-2</v>
      </c>
      <c r="D11" s="280">
        <f t="shared" ref="D11:K11" si="4">D2/D12</f>
        <v>0.3</v>
      </c>
      <c r="E11" s="280"/>
      <c r="F11" s="280">
        <f t="shared" si="4"/>
        <v>0.7</v>
      </c>
      <c r="G11" s="280">
        <f t="shared" si="4"/>
        <v>1</v>
      </c>
      <c r="H11" s="280">
        <f t="shared" si="4"/>
        <v>1.5</v>
      </c>
      <c r="I11" s="280">
        <f t="shared" si="4"/>
        <v>2</v>
      </c>
      <c r="J11" s="280">
        <f t="shared" si="4"/>
        <v>3</v>
      </c>
      <c r="K11" s="280">
        <f t="shared" si="4"/>
        <v>5</v>
      </c>
    </row>
    <row r="12" spans="1:13" ht="14.25">
      <c r="A12" t="s">
        <v>485</v>
      </c>
      <c r="B12" s="191">
        <f>(SQRT(1.4*B21*287))</f>
        <v>340.17407308611865</v>
      </c>
      <c r="C12" s="316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2" customFormat="1">
      <c r="A13" s="282" t="s">
        <v>332</v>
      </c>
      <c r="B13" s="284">
        <v>5</v>
      </c>
      <c r="C13" s="319">
        <v>0</v>
      </c>
      <c r="D13" s="284">
        <v>0</v>
      </c>
      <c r="E13" s="284"/>
      <c r="F13" s="284">
        <v>0</v>
      </c>
      <c r="G13" s="284">
        <v>0</v>
      </c>
      <c r="H13" s="284">
        <v>0</v>
      </c>
      <c r="I13" s="284">
        <v>0</v>
      </c>
      <c r="J13" s="284">
        <v>0</v>
      </c>
      <c r="K13" s="284">
        <v>0</v>
      </c>
      <c r="M13" s="332"/>
    </row>
    <row r="14" spans="1:13">
      <c r="A14" s="267" t="s">
        <v>333</v>
      </c>
      <c r="B14" s="191">
        <v>0</v>
      </c>
      <c r="C14" s="316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25">
      <c r="A15" t="s">
        <v>334</v>
      </c>
      <c r="B15" s="191">
        <f t="shared" ref="B15:K15" si="6">RADIANS(AoAfins)</f>
        <v>8.7266462599716474E-2</v>
      </c>
      <c r="C15" s="316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25">
      <c r="A16" t="s">
        <v>335</v>
      </c>
      <c r="B16" s="191">
        <f t="shared" ref="B16:K16" si="7">RADIANS(AoSfins)</f>
        <v>0</v>
      </c>
      <c r="C16" s="316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16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ht="15.75" thickBot="1">
      <c r="A18" s="268" t="s">
        <v>486</v>
      </c>
    </row>
    <row r="19" spans="1:11" ht="14.25" hidden="1" outlineLevel="1">
      <c r="A19" t="s">
        <v>348</v>
      </c>
      <c r="B19" s="191">
        <f>101325*(B21/288.08)^5.256</f>
        <v>101177.1939523339</v>
      </c>
      <c r="C19" s="316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25" hidden="1" outlineLevel="1">
      <c r="A20" t="s">
        <v>337</v>
      </c>
      <c r="B20" s="191">
        <f t="shared" ref="B20:K20" si="9">B19/(287*B21)</f>
        <v>1.2240756140187512</v>
      </c>
      <c r="C20" s="316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25" hidden="1" outlineLevel="1">
      <c r="A21" t="s">
        <v>338</v>
      </c>
      <c r="B21" s="191">
        <f>(15-0.0065*B17)+273</f>
        <v>288</v>
      </c>
      <c r="C21" s="316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25" hidden="1" outlineLevel="1">
      <c r="A22" t="s">
        <v>483</v>
      </c>
      <c r="B22" s="191">
        <f>B21-273</f>
        <v>15</v>
      </c>
      <c r="C22" s="316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25" hidden="1" outlineLevel="1">
      <c r="A23" t="s">
        <v>339</v>
      </c>
      <c r="B23" s="186">
        <f>(1.76*10^-5)*((B21/273)^(3/2))*((273+110)/(B21+110))</f>
        <v>1.8351566035015911E-5</v>
      </c>
      <c r="C23" s="320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25" hidden="1" outlineLevel="1">
      <c r="A24" t="s">
        <v>340</v>
      </c>
      <c r="B24" s="186">
        <f t="shared" ref="B24:K24" si="13">B23/B20</f>
        <v>1.4992183346228143E-5</v>
      </c>
      <c r="C24" s="320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25" hidden="1" outlineLevel="1">
      <c r="A25" t="s">
        <v>341</v>
      </c>
      <c r="B25" s="191">
        <v>9</v>
      </c>
      <c r="C25" s="316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25" hidden="1" outlineLevel="1">
      <c r="A26" t="s">
        <v>349</v>
      </c>
    </row>
    <row r="27" spans="1:11" ht="14.25" hidden="1" outlineLevel="1">
      <c r="A27" t="s">
        <v>350</v>
      </c>
    </row>
    <row r="28" spans="1:11" ht="14.25" hidden="1" outlineLevel="1">
      <c r="A28" t="s">
        <v>351</v>
      </c>
    </row>
    <row r="29" spans="1:11" ht="14.25" hidden="1" outlineLevel="1">
      <c r="A29" t="s">
        <v>342</v>
      </c>
      <c r="B29" s="191">
        <f t="shared" ref="B29:K29" si="14">DEGREES(ATAN((B5+B25)/B3))</f>
        <v>8.0035979836499376</v>
      </c>
      <c r="C29" s="316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25" hidden="1" outlineLevel="1">
      <c r="A30" t="s">
        <v>343</v>
      </c>
      <c r="B30" s="191">
        <f t="shared" ref="B30:K30" si="15">DEGREES(ATAN((B4+B25)/B3))</f>
        <v>3.0404773346578309</v>
      </c>
      <c r="C30" s="316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25" hidden="1" outlineLevel="1">
      <c r="A31" t="s">
        <v>344</v>
      </c>
      <c r="B31" s="191">
        <f t="shared" ref="B31:K32" si="16">RADIANS(B29)</f>
        <v>0.13968913682067069</v>
      </c>
      <c r="C31" s="316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25" hidden="1" outlineLevel="1">
      <c r="A32" t="s">
        <v>345</v>
      </c>
      <c r="B32" s="191">
        <f t="shared" si="16"/>
        <v>5.3066340322040648E-2</v>
      </c>
      <c r="C32" s="316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25" hidden="1" outlineLevel="1">
      <c r="A33" t="s">
        <v>346</v>
      </c>
      <c r="B33" s="191">
        <f t="shared" ref="B33:K33" si="17">0.5*B20*B2^2</f>
        <v>17706.008941658431</v>
      </c>
      <c r="C33" s="316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25" hidden="1" outlineLevel="1">
      <c r="A34" t="s">
        <v>347</v>
      </c>
      <c r="B34" s="191">
        <f t="shared" ref="B34:K34" si="18">CrossSecAreaRocket</f>
        <v>5.0265482457436689E-3</v>
      </c>
      <c r="C34" s="316">
        <f t="shared" si="18"/>
        <v>5.0265482457436689E-3</v>
      </c>
      <c r="D34" s="191">
        <f t="shared" si="18"/>
        <v>5.0265482457436689E-3</v>
      </c>
      <c r="F34" s="191">
        <f t="shared" si="18"/>
        <v>5.0265482457436689E-3</v>
      </c>
      <c r="G34" s="191">
        <f t="shared" si="18"/>
        <v>5.0265482457436689E-3</v>
      </c>
      <c r="H34" s="191">
        <f t="shared" si="18"/>
        <v>5.0265482457436689E-3</v>
      </c>
      <c r="I34" s="191">
        <f t="shared" si="18"/>
        <v>5.0265482457436689E-3</v>
      </c>
      <c r="J34" s="191">
        <f t="shared" si="18"/>
        <v>5.0265482457436689E-3</v>
      </c>
      <c r="K34" s="191">
        <f t="shared" si="18"/>
        <v>5.0265482457436689E-3</v>
      </c>
    </row>
    <row r="35" spans="1:13" ht="15" customHeight="1" collapsed="1"/>
    <row r="36" spans="1:13" s="97" customFormat="1" ht="15" customHeight="1">
      <c r="A36" s="315" t="s">
        <v>612</v>
      </c>
      <c r="B36" s="314"/>
      <c r="C36" s="321"/>
      <c r="D36" s="314"/>
      <c r="E36" s="314"/>
      <c r="F36" s="314"/>
      <c r="G36" s="314"/>
      <c r="H36" s="314"/>
      <c r="I36" s="314"/>
      <c r="J36" s="314"/>
      <c r="K36" s="314"/>
      <c r="M36" s="333"/>
    </row>
    <row r="38" spans="1:13" ht="15.75" hidden="1" outlineLevel="1" thickBot="1">
      <c r="A38" s="268" t="s">
        <v>352</v>
      </c>
    </row>
    <row r="39" spans="1:13" ht="14.25" hidden="1" outlineLevel="2">
      <c r="A39" t="s">
        <v>353</v>
      </c>
      <c r="B39" s="191">
        <f t="shared" ref="B39:K39" si="19">DiameterRocket</f>
        <v>8</v>
      </c>
      <c r="C39" s="316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25" hidden="1" outlineLevel="2">
      <c r="A40" t="s">
        <v>354</v>
      </c>
      <c r="B40" s="191">
        <f t="shared" ref="B40:K40" si="20">B39/100</f>
        <v>0.08</v>
      </c>
      <c r="C40" s="316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25" hidden="1" outlineLevel="2">
      <c r="A41" t="s">
        <v>355</v>
      </c>
      <c r="B41" s="261">
        <f t="shared" ref="B41:K41" si="21">((B45-B43)/(-B53))*(B53+B39/2)+B45</f>
        <v>16.333333333333332</v>
      </c>
      <c r="C41" s="322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25" hidden="1" outlineLevel="2">
      <c r="A42" t="s">
        <v>356</v>
      </c>
      <c r="B42" s="191">
        <f t="shared" ref="B42:K42" si="22">B41/100</f>
        <v>0.16333333333333333</v>
      </c>
      <c r="C42" s="316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hidden="1" outlineLevel="2">
      <c r="A43" s="266" t="s">
        <v>357</v>
      </c>
      <c r="B43" s="191">
        <v>15</v>
      </c>
      <c r="C43" s="316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25" hidden="1" outlineLevel="2">
      <c r="A44" t="s">
        <v>354</v>
      </c>
      <c r="B44" s="191">
        <f t="shared" ref="B44:K44" si="23">B43/100</f>
        <v>0.15</v>
      </c>
      <c r="C44" s="316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hidden="1" outlineLevel="2">
      <c r="A45" s="266" t="s">
        <v>358</v>
      </c>
      <c r="B45" s="191">
        <v>10</v>
      </c>
      <c r="C45" s="316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25" hidden="1" outlineLevel="2">
      <c r="A46" t="s">
        <v>354</v>
      </c>
      <c r="B46" s="191">
        <f t="shared" ref="B46:K46" si="24">B45/100</f>
        <v>0.1</v>
      </c>
      <c r="C46" s="316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hidden="1" outlineLevel="2">
      <c r="A47" s="266" t="s">
        <v>359</v>
      </c>
      <c r="B47" s="191">
        <v>2</v>
      </c>
      <c r="C47" s="316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25" hidden="1" outlineLevel="2">
      <c r="A48" t="s">
        <v>354</v>
      </c>
      <c r="B48" s="191">
        <f t="shared" ref="B48:K48" si="25">B47/100</f>
        <v>0.02</v>
      </c>
      <c r="C48" s="316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hidden="1" outlineLevel="2">
      <c r="A49" s="266" t="s">
        <v>360</v>
      </c>
      <c r="B49" s="191">
        <v>45</v>
      </c>
      <c r="C49" s="316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25" hidden="1" outlineLevel="2">
      <c r="A50" t="s">
        <v>361</v>
      </c>
      <c r="B50" s="191">
        <f t="shared" ref="B50:K50" si="26">B45/B43</f>
        <v>0.66666666666666663</v>
      </c>
      <c r="C50" s="316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25" hidden="1" outlineLevel="2">
      <c r="A51" t="s">
        <v>362</v>
      </c>
      <c r="B51" s="191">
        <f t="shared" ref="B51:K51" si="27">B53+B39/2</f>
        <v>19</v>
      </c>
      <c r="C51" s="316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25" hidden="1" outlineLevel="2">
      <c r="A52" t="s">
        <v>354</v>
      </c>
      <c r="B52" s="191">
        <f t="shared" ref="B52:K52" si="28">B51/100</f>
        <v>0.19</v>
      </c>
      <c r="C52" s="316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hidden="1" outlineLevel="2">
      <c r="A53" s="266" t="s">
        <v>363</v>
      </c>
      <c r="B53" s="191">
        <v>15</v>
      </c>
      <c r="C53" s="316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25" hidden="1" outlineLevel="2">
      <c r="A54" t="s">
        <v>356</v>
      </c>
      <c r="B54" s="191">
        <f t="shared" ref="B54:K54" si="29">B53/100</f>
        <v>0.15</v>
      </c>
      <c r="C54" s="316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25" hidden="1" outlineLevel="2">
      <c r="A55" t="s">
        <v>364</v>
      </c>
      <c r="B55" s="191">
        <f>(B46+B42)*B52/2</f>
        <v>2.5016666666666666E-2</v>
      </c>
      <c r="C55" s="316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25" hidden="1" outlineLevel="2">
      <c r="A56" t="s">
        <v>365</v>
      </c>
      <c r="B56" s="191">
        <f t="shared" ref="B56:K56" si="31">(B44+B46)*B54/2</f>
        <v>1.8749999999999999E-2</v>
      </c>
      <c r="C56" s="316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25" hidden="1" outlineLevel="2">
      <c r="A57" t="s">
        <v>366</v>
      </c>
      <c r="B57" s="261">
        <f>((B52+B52)^2)/(B55+B55)</f>
        <v>2.8860759493670889</v>
      </c>
      <c r="C57" s="322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hidden="1" outlineLevel="1" thickBot="1">
      <c r="B58" s="261"/>
      <c r="C58" s="322"/>
      <c r="D58" s="261"/>
      <c r="E58" s="261"/>
      <c r="F58" s="261"/>
      <c r="G58" s="261"/>
      <c r="H58" s="261"/>
      <c r="I58" s="261"/>
      <c r="J58" s="261"/>
      <c r="K58" s="261"/>
    </row>
    <row r="59" spans="1:11" ht="15.75" hidden="1" outlineLevel="1" thickBot="1">
      <c r="A59" s="268" t="s">
        <v>367</v>
      </c>
      <c r="B59" s="261"/>
      <c r="C59" s="322"/>
      <c r="D59" s="261"/>
      <c r="E59" s="261"/>
      <c r="F59" s="261"/>
      <c r="G59" s="261"/>
      <c r="H59" s="261"/>
      <c r="I59" s="261"/>
      <c r="J59" s="261"/>
      <c r="K59" s="261"/>
    </row>
    <row r="60" spans="1:11" ht="14.25" hidden="1" outlineLevel="1">
      <c r="A60" t="s">
        <v>368</v>
      </c>
      <c r="B60" s="261">
        <f t="shared" ref="B60:K60" si="33">B54/(10+1)</f>
        <v>1.3636363636363636E-2</v>
      </c>
      <c r="C60" s="322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25" hidden="1" outlineLevel="1">
      <c r="A61" t="s">
        <v>369</v>
      </c>
      <c r="B61" s="261">
        <f t="shared" ref="B61:K61" si="34">(B43-B45)/(-B53)</f>
        <v>-0.33333333333333331</v>
      </c>
      <c r="C61" s="322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25" hidden="1" outlineLevel="1">
      <c r="A62" t="s">
        <v>370</v>
      </c>
      <c r="B62" s="261"/>
      <c r="C62" s="322"/>
      <c r="D62" s="261"/>
      <c r="E62" s="261"/>
      <c r="F62" s="261"/>
      <c r="G62" s="261"/>
      <c r="H62" s="261"/>
      <c r="I62" s="261"/>
      <c r="J62" s="261"/>
      <c r="K62" s="261"/>
    </row>
    <row r="63" spans="1:11" ht="14.25" hidden="1" outlineLevel="2">
      <c r="A63">
        <v>1</v>
      </c>
      <c r="B63" s="261">
        <f>(B60/2)</f>
        <v>6.8181818181818179E-3</v>
      </c>
      <c r="C63" s="322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25" hidden="1" outlineLevel="2">
      <c r="A64">
        <v>2</v>
      </c>
      <c r="B64" s="261">
        <f>B63+B60</f>
        <v>2.0454545454545454E-2</v>
      </c>
      <c r="C64" s="322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25" hidden="1" outlineLevel="2">
      <c r="A65">
        <v>3</v>
      </c>
      <c r="B65" s="261">
        <f t="shared" ref="B65:K73" si="37">B64+B$60</f>
        <v>3.4090909090909088E-2</v>
      </c>
      <c r="C65" s="322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25" hidden="1" outlineLevel="2">
      <c r="A66">
        <v>4</v>
      </c>
      <c r="B66" s="261">
        <f t="shared" si="37"/>
        <v>4.7727272727272722E-2</v>
      </c>
      <c r="C66" s="322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25" hidden="1" outlineLevel="2">
      <c r="A67">
        <v>5</v>
      </c>
      <c r="B67" s="261">
        <f t="shared" si="37"/>
        <v>6.1363636363636356E-2</v>
      </c>
      <c r="C67" s="322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25" hidden="1" outlineLevel="2">
      <c r="A68">
        <v>6</v>
      </c>
      <c r="B68" s="261">
        <f t="shared" si="37"/>
        <v>7.4999999999999997E-2</v>
      </c>
      <c r="C68" s="322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25" hidden="1" outlineLevel="2">
      <c r="A69">
        <v>7</v>
      </c>
      <c r="B69" s="261">
        <f t="shared" si="37"/>
        <v>8.8636363636363638E-2</v>
      </c>
      <c r="C69" s="322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25" hidden="1" outlineLevel="2">
      <c r="A70">
        <v>8</v>
      </c>
      <c r="B70" s="261">
        <f t="shared" si="37"/>
        <v>0.10227272727272728</v>
      </c>
      <c r="C70" s="322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25" hidden="1" outlineLevel="2">
      <c r="A71">
        <v>9</v>
      </c>
      <c r="B71" s="261">
        <f t="shared" si="37"/>
        <v>0.11590909090909092</v>
      </c>
      <c r="C71" s="322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25" hidden="1" outlineLevel="2">
      <c r="A72">
        <v>10</v>
      </c>
      <c r="B72" s="261">
        <f t="shared" si="37"/>
        <v>0.12954545454545455</v>
      </c>
      <c r="C72" s="322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25" hidden="1" outlineLevel="2">
      <c r="A73">
        <v>11</v>
      </c>
      <c r="B73" s="261">
        <f t="shared" si="37"/>
        <v>0.14318181818181819</v>
      </c>
      <c r="C73" s="322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25" hidden="1" outlineLevel="1" collapsed="1">
      <c r="A74" t="s">
        <v>371</v>
      </c>
      <c r="B74" s="261"/>
      <c r="C74" s="322"/>
      <c r="D74" s="261"/>
      <c r="E74" s="261"/>
      <c r="F74" s="261"/>
      <c r="G74" s="261"/>
      <c r="H74" s="261"/>
      <c r="I74" s="261"/>
      <c r="J74" s="261"/>
      <c r="K74" s="261"/>
    </row>
    <row r="75" spans="1:11" ht="14.25" hidden="1" outlineLevel="2">
      <c r="A75">
        <v>1</v>
      </c>
      <c r="B75" s="261">
        <f t="shared" ref="B75:K85" si="38">(B63*B$61)+B$44</f>
        <v>0.14772727272727273</v>
      </c>
      <c r="C75" s="322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25" hidden="1" outlineLevel="2">
      <c r="A76">
        <v>2</v>
      </c>
      <c r="B76" s="261">
        <f t="shared" si="38"/>
        <v>0.14318181818181819</v>
      </c>
      <c r="C76" s="322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25" hidden="1" outlineLevel="2">
      <c r="A77">
        <v>3</v>
      </c>
      <c r="B77" s="261">
        <f t="shared" si="38"/>
        <v>0.13863636363636364</v>
      </c>
      <c r="C77" s="322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25" hidden="1" outlineLevel="2">
      <c r="A78">
        <v>4</v>
      </c>
      <c r="B78" s="261">
        <f t="shared" si="38"/>
        <v>0.13409090909090909</v>
      </c>
      <c r="C78" s="322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25" hidden="1" outlineLevel="2">
      <c r="A79">
        <v>5</v>
      </c>
      <c r="B79" s="261">
        <f t="shared" si="38"/>
        <v>0.12954545454545455</v>
      </c>
      <c r="C79" s="322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25" hidden="1" outlineLevel="2">
      <c r="A80">
        <v>6</v>
      </c>
      <c r="B80" s="261">
        <f t="shared" si="38"/>
        <v>0.125</v>
      </c>
      <c r="C80" s="322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25" hidden="1" outlineLevel="2">
      <c r="A81">
        <v>7</v>
      </c>
      <c r="B81" s="261">
        <f t="shared" si="38"/>
        <v>0.12045454545454545</v>
      </c>
      <c r="C81" s="322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25" hidden="1" outlineLevel="2">
      <c r="A82">
        <v>8</v>
      </c>
      <c r="B82" s="261">
        <f t="shared" si="38"/>
        <v>0.11590909090909091</v>
      </c>
      <c r="C82" s="322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25" hidden="1" outlineLevel="2">
      <c r="A83">
        <v>9</v>
      </c>
      <c r="B83" s="261">
        <f t="shared" si="38"/>
        <v>0.11136363636363636</v>
      </c>
      <c r="C83" s="322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25" hidden="1" outlineLevel="2">
      <c r="A84">
        <v>10</v>
      </c>
      <c r="B84" s="261">
        <f t="shared" si="38"/>
        <v>0.10681818181818181</v>
      </c>
      <c r="C84" s="322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25" hidden="1" outlineLevel="2">
      <c r="A85">
        <v>11</v>
      </c>
      <c r="B85" s="261">
        <f t="shared" si="38"/>
        <v>0.10227272727272727</v>
      </c>
      <c r="C85" s="322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25" hidden="1" outlineLevel="1" collapsed="1">
      <c r="A86" t="s">
        <v>372</v>
      </c>
      <c r="B86" s="261"/>
      <c r="C86" s="322"/>
      <c r="D86" s="261"/>
      <c r="E86" s="261"/>
      <c r="F86" s="261"/>
      <c r="G86" s="261"/>
      <c r="H86" s="261"/>
      <c r="I86" s="261"/>
      <c r="J86" s="261"/>
      <c r="K86" s="261"/>
    </row>
    <row r="87" spans="1:11" ht="14.25" hidden="1" outlineLevel="2">
      <c r="A87">
        <v>1</v>
      </c>
      <c r="B87" s="262">
        <f t="shared" ref="B87:K96" si="39">(B75+B76)*B$60/2</f>
        <v>1.9834710743801649E-3</v>
      </c>
      <c r="C87" s="323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25" hidden="1" outlineLevel="2">
      <c r="A88">
        <v>2</v>
      </c>
      <c r="B88" s="262">
        <f t="shared" si="39"/>
        <v>1.9214876033057853E-3</v>
      </c>
      <c r="C88" s="323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25" hidden="1" outlineLevel="2">
      <c r="A89">
        <v>3</v>
      </c>
      <c r="B89" s="262">
        <f t="shared" si="39"/>
        <v>1.8595041322314048E-3</v>
      </c>
      <c r="C89" s="323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25" hidden="1" outlineLevel="2">
      <c r="A90">
        <v>4</v>
      </c>
      <c r="B90" s="262">
        <f t="shared" si="39"/>
        <v>1.7975206611570249E-3</v>
      </c>
      <c r="C90" s="323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25" hidden="1" outlineLevel="2">
      <c r="A91">
        <v>5</v>
      </c>
      <c r="B91" s="262">
        <f t="shared" si="39"/>
        <v>1.7355371900826444E-3</v>
      </c>
      <c r="C91" s="323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25" hidden="1" outlineLevel="2">
      <c r="A92">
        <v>6</v>
      </c>
      <c r="B92" s="262">
        <f t="shared" si="39"/>
        <v>1.6735537190082643E-3</v>
      </c>
      <c r="C92" s="323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25" hidden="1" outlineLevel="2">
      <c r="A93">
        <v>7</v>
      </c>
      <c r="B93" s="262">
        <f t="shared" si="39"/>
        <v>1.6115702479338842E-3</v>
      </c>
      <c r="C93" s="323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25" hidden="1" outlineLevel="2">
      <c r="A94">
        <v>8</v>
      </c>
      <c r="B94" s="262">
        <f t="shared" si="39"/>
        <v>1.549586776859504E-3</v>
      </c>
      <c r="C94" s="323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25" hidden="1" outlineLevel="2">
      <c r="A95">
        <v>9</v>
      </c>
      <c r="B95" s="262">
        <f t="shared" si="39"/>
        <v>1.4876033057851239E-3</v>
      </c>
      <c r="C95" s="323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25" hidden="1" outlineLevel="2">
      <c r="A96">
        <v>10</v>
      </c>
      <c r="B96" s="262">
        <f>(B84+B85)*B$60/2</f>
        <v>1.4256198347107436E-3</v>
      </c>
      <c r="C96" s="323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25" hidden="1" outlineLevel="1" collapsed="1">
      <c r="A97" t="s">
        <v>492</v>
      </c>
      <c r="B97" s="261">
        <f>SUM(B87:B96)</f>
        <v>1.7045454545454544E-2</v>
      </c>
      <c r="C97" s="322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 hidden="1" outlineLevel="1">
      <c r="A98" s="265" t="s">
        <v>373</v>
      </c>
    </row>
    <row r="99" spans="1:13" s="167" customFormat="1" ht="14.25" hidden="1" outlineLevel="1">
      <c r="A99" s="167" t="s">
        <v>374</v>
      </c>
      <c r="B99" s="286">
        <f>IF(B11&lt;1,(B101/(B102+B103))/SQRT(1-B11^2),(B101/(B102+B103))/SQRT(1-0.99^2))</f>
        <v>2.0125011551487666</v>
      </c>
      <c r="C99" s="324">
        <f t="shared" ref="C99:K99" si="41">IF(C11&lt;1,(C101/(C102+C103))/SQRT(1-C11^2),(C101/(C102+C103))/SQRT(1-0.99^2))</f>
        <v>1.7516574184821574</v>
      </c>
      <c r="D99" s="286">
        <f t="shared" si="41"/>
        <v>1.8270316629357042</v>
      </c>
      <c r="E99" s="286"/>
      <c r="F99" s="286">
        <f t="shared" si="41"/>
        <v>2.4405161277517413</v>
      </c>
      <c r="G99" s="286">
        <f t="shared" si="41"/>
        <v>12.354928369089945</v>
      </c>
      <c r="H99" s="286">
        <f t="shared" si="41"/>
        <v>12.354928369089945</v>
      </c>
      <c r="I99" s="286">
        <f t="shared" si="41"/>
        <v>12.354928369089945</v>
      </c>
      <c r="J99" s="286">
        <f t="shared" si="41"/>
        <v>12.354928369089945</v>
      </c>
      <c r="K99" s="286">
        <f t="shared" si="41"/>
        <v>12.354928369089945</v>
      </c>
      <c r="M99" s="334"/>
    </row>
    <row r="100" spans="1:13" s="167" customFormat="1" ht="14.25" hidden="1" outlineLevel="1">
      <c r="A100" s="167" t="s">
        <v>511</v>
      </c>
      <c r="B100" s="286">
        <f>IF(B10&lt;1,B99,IF(B10&gt;1,(4)/SQRT(B10^2-1),(4)/SQRT((1.01)^2-1)))</f>
        <v>2.0125011551487666</v>
      </c>
      <c r="C100" s="324">
        <f t="shared" ref="C100:K100" si="42">IF(C10&lt;1,C99,IF(C10&gt;1,(4)/SQRT(C10^2-1),(4)/SQRT((1.01)^2-1)))</f>
        <v>1.7516574184821574</v>
      </c>
      <c r="D100" s="286">
        <f t="shared" si="42"/>
        <v>1.8270316629357042</v>
      </c>
      <c r="E100" s="286"/>
      <c r="F100" s="286">
        <f t="shared" si="42"/>
        <v>2.4405161277517413</v>
      </c>
      <c r="G100" s="286">
        <f t="shared" si="42"/>
        <v>28.213824634343929</v>
      </c>
      <c r="H100" s="286">
        <f t="shared" si="42"/>
        <v>3.5777087639996634</v>
      </c>
      <c r="I100" s="286">
        <f t="shared" si="42"/>
        <v>2.3094010767585034</v>
      </c>
      <c r="J100" s="286">
        <f t="shared" si="42"/>
        <v>1.4142135623730949</v>
      </c>
      <c r="K100" s="286">
        <f t="shared" si="42"/>
        <v>0.81649658092772615</v>
      </c>
      <c r="M100" s="334"/>
    </row>
    <row r="101" spans="1:13" ht="14.25" hidden="1" outlineLevel="2">
      <c r="A101" t="s">
        <v>375</v>
      </c>
      <c r="B101" s="191">
        <f>PI()*COS(RADIANS(B49))</f>
        <v>2.2214414690791831</v>
      </c>
      <c r="C101" s="316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25" hidden="1" outlineLevel="2">
      <c r="A102" t="s">
        <v>376</v>
      </c>
      <c r="B102" s="191">
        <f>SQRT(1+((B101/(PI()*B57))^2))</f>
        <v>1.0295766535643616</v>
      </c>
      <c r="C102" s="316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25" hidden="1" outlineLevel="2">
      <c r="A103" t="s">
        <v>377</v>
      </c>
      <c r="B103" s="191">
        <f>B101/(PI()*B57)</f>
        <v>0.24500629699007567</v>
      </c>
      <c r="C103" s="316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378</v>
      </c>
      <c r="B105" s="186">
        <f>(B20*B3*B44)/B23</f>
        <v>1695281.4687357901</v>
      </c>
      <c r="C105" s="320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25" hidden="1" outlineLevel="1">
      <c r="A106" t="s">
        <v>379</v>
      </c>
      <c r="B106" s="186">
        <f>(B20*B3*B45)/B23</f>
        <v>113018764.582386</v>
      </c>
      <c r="C106" s="320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 hidden="1" outlineLevel="1">
      <c r="A107" s="275" t="s">
        <v>488</v>
      </c>
      <c r="B107" s="277">
        <v>1.8564485158890635E-2</v>
      </c>
      <c r="C107" s="325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35"/>
    </row>
    <row r="108" spans="1:13" hidden="1" outlineLevel="1">
      <c r="A108" s="275" t="s">
        <v>489</v>
      </c>
      <c r="B108" s="186">
        <f>B107/1000</f>
        <v>1.8564485158890635E-5</v>
      </c>
      <c r="C108" s="320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25" hidden="1" outlineLevel="1">
      <c r="A109" t="s">
        <v>490</v>
      </c>
      <c r="B109" s="191">
        <f>(B108*B3)/B23</f>
        <v>171.40568390848762</v>
      </c>
      <c r="C109" s="316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 hidden="1" outlineLevel="1">
      <c r="A110" s="272" t="s">
        <v>495</v>
      </c>
      <c r="B110" s="278">
        <f>B122</f>
        <v>6.9310220689732587</v>
      </c>
      <c r="C110" s="326">
        <f t="shared" ref="C110:K110" si="50">C122</f>
        <v>8.1204455410967963E-2</v>
      </c>
      <c r="D110" s="278">
        <f t="shared" si="50"/>
        <v>0.24361336623290392</v>
      </c>
      <c r="E110" s="278"/>
      <c r="F110" s="278">
        <f t="shared" si="50"/>
        <v>0.56843118787677582</v>
      </c>
      <c r="G110" s="278">
        <f t="shared" si="50"/>
        <v>0.81204455410967979</v>
      </c>
      <c r="H110" s="278">
        <f t="shared" si="50"/>
        <v>1.2180668311645195</v>
      </c>
      <c r="I110" s="278">
        <f t="shared" si="50"/>
        <v>1.6240891082193596</v>
      </c>
      <c r="J110" s="278">
        <f t="shared" si="50"/>
        <v>2.4361336623290391</v>
      </c>
      <c r="K110" s="278">
        <f t="shared" si="50"/>
        <v>4.0602227705483989</v>
      </c>
      <c r="M110" s="336"/>
    </row>
    <row r="111" spans="1:13" ht="14.25" hidden="1" outlineLevel="1">
      <c r="A111" s="271" t="s">
        <v>527</v>
      </c>
      <c r="B111" s="191">
        <f>B44/$A116</f>
        <v>0.03</v>
      </c>
      <c r="C111" s="316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25" hidden="1" outlineLevel="2">
      <c r="A112">
        <v>1</v>
      </c>
      <c r="B112" s="186">
        <f t="shared" ref="B112:D116" si="52">(B$20*B$3*($A112*B$111))/B$23</f>
        <v>339056.29374715802</v>
      </c>
      <c r="C112" s="320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25" hidden="1" outlineLevel="2">
      <c r="A113">
        <v>2</v>
      </c>
      <c r="B113" s="186">
        <f t="shared" si="52"/>
        <v>678112.58749431605</v>
      </c>
      <c r="C113" s="320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25" hidden="1" outlineLevel="2">
      <c r="A114">
        <v>3</v>
      </c>
      <c r="B114" s="186">
        <f t="shared" si="52"/>
        <v>1017168.881241474</v>
      </c>
      <c r="C114" s="320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25" hidden="1" outlineLevel="2">
      <c r="A115">
        <v>4</v>
      </c>
      <c r="B115" s="186">
        <f t="shared" si="52"/>
        <v>1356225.1749886321</v>
      </c>
      <c r="C115" s="320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25" hidden="1" outlineLevel="2">
      <c r="A116">
        <v>5</v>
      </c>
      <c r="B116" s="186">
        <f t="shared" si="52"/>
        <v>1695281.4687357901</v>
      </c>
      <c r="C116" s="320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25" hidden="1" outlineLevel="1" collapsed="1">
      <c r="A117" s="271" t="s">
        <v>491</v>
      </c>
      <c r="B117" s="186"/>
      <c r="C117" s="320"/>
      <c r="D117" s="186"/>
      <c r="E117" s="186"/>
      <c r="F117" s="186"/>
      <c r="G117" s="186"/>
      <c r="H117" s="186"/>
      <c r="I117" s="186"/>
      <c r="J117" s="186"/>
      <c r="K117" s="186"/>
    </row>
    <row r="118" spans="1:13" ht="14.25" hidden="1" outlineLevel="2">
      <c r="A118">
        <v>1</v>
      </c>
      <c r="B118" s="186">
        <f>B$109*(SQRT(0.0576/(2*($B112^(1/5)))))</f>
        <v>8.1413098171771026</v>
      </c>
      <c r="C118" s="320">
        <f t="shared" ref="C118:K122" si="54">C$109*(SQRT(0.0576/(2*($B112^(1/5)))))</f>
        <v>9.5384291588869352E-2</v>
      </c>
      <c r="D118" s="186">
        <f t="shared" si="54"/>
        <v>0.28615287476660806</v>
      </c>
      <c r="E118" s="186"/>
      <c r="F118" s="186">
        <f t="shared" si="54"/>
        <v>0.66769004112208552</v>
      </c>
      <c r="G118" s="186">
        <f t="shared" si="54"/>
        <v>0.95384291588869363</v>
      </c>
      <c r="H118" s="186">
        <f t="shared" si="54"/>
        <v>1.4307643738330402</v>
      </c>
      <c r="I118" s="186">
        <f t="shared" si="54"/>
        <v>1.9076858317773873</v>
      </c>
      <c r="J118" s="186">
        <f t="shared" si="54"/>
        <v>2.8615287476660805</v>
      </c>
      <c r="K118" s="186">
        <f t="shared" si="54"/>
        <v>4.7692145794434682</v>
      </c>
    </row>
    <row r="119" spans="1:13" ht="14.25" hidden="1" outlineLevel="2">
      <c r="A119">
        <v>2</v>
      </c>
      <c r="B119" s="186">
        <f t="shared" ref="B119:B122" si="55">B$109*(SQRT(0.0576/(2*($B113^(1/5)))))</f>
        <v>7.5961106537487311</v>
      </c>
      <c r="C119" s="320">
        <f t="shared" si="54"/>
        <v>8.8996690926781905E-2</v>
      </c>
      <c r="D119" s="186">
        <f t="shared" si="54"/>
        <v>0.2669900727803457</v>
      </c>
      <c r="E119" s="186"/>
      <c r="F119" s="186">
        <f t="shared" si="54"/>
        <v>0.62297683648747337</v>
      </c>
      <c r="G119" s="186">
        <f t="shared" si="54"/>
        <v>0.88996690926781918</v>
      </c>
      <c r="H119" s="186">
        <f t="shared" si="54"/>
        <v>1.3349503639017284</v>
      </c>
      <c r="I119" s="186">
        <f t="shared" si="54"/>
        <v>1.7799338185356384</v>
      </c>
      <c r="J119" s="186">
        <f t="shared" si="54"/>
        <v>2.6699007278034568</v>
      </c>
      <c r="K119" s="186">
        <f t="shared" si="54"/>
        <v>4.4498345463390958</v>
      </c>
    </row>
    <row r="120" spans="1:13" ht="14.25" hidden="1" outlineLevel="2">
      <c r="A120">
        <v>3</v>
      </c>
      <c r="B120" s="186">
        <f t="shared" si="55"/>
        <v>7.2942754048844733</v>
      </c>
      <c r="C120" s="320">
        <f t="shared" si="54"/>
        <v>8.5460362984965538E-2</v>
      </c>
      <c r="D120" s="186">
        <f t="shared" si="54"/>
        <v>0.25638108895489664</v>
      </c>
      <c r="E120" s="186"/>
      <c r="F120" s="186">
        <f t="shared" si="54"/>
        <v>0.59822254089475879</v>
      </c>
      <c r="G120" s="186">
        <f t="shared" si="54"/>
        <v>0.85460362984965543</v>
      </c>
      <c r="H120" s="186">
        <f t="shared" si="54"/>
        <v>1.2819054447744829</v>
      </c>
      <c r="I120" s="186">
        <f t="shared" si="54"/>
        <v>1.7092072596993109</v>
      </c>
      <c r="J120" s="186">
        <f t="shared" si="54"/>
        <v>2.5638108895489657</v>
      </c>
      <c r="K120" s="186">
        <f t="shared" si="54"/>
        <v>4.2730181492482773</v>
      </c>
    </row>
    <row r="121" spans="1:13" ht="14.25" hidden="1" outlineLevel="2">
      <c r="A121">
        <v>4</v>
      </c>
      <c r="B121" s="186">
        <f t="shared" si="55"/>
        <v>7.0874218473117914</v>
      </c>
      <c r="C121" s="320">
        <f t="shared" si="54"/>
        <v>8.3036848772291963E-2</v>
      </c>
      <c r="D121" s="186">
        <f t="shared" si="54"/>
        <v>0.2491105463168759</v>
      </c>
      <c r="E121" s="186"/>
      <c r="F121" s="186">
        <f t="shared" si="54"/>
        <v>0.58125794140604381</v>
      </c>
      <c r="G121" s="186">
        <f t="shared" si="54"/>
        <v>0.83036848772291971</v>
      </c>
      <c r="H121" s="186">
        <f t="shared" si="54"/>
        <v>1.2455527315843793</v>
      </c>
      <c r="I121" s="186">
        <f t="shared" si="54"/>
        <v>1.6607369754458394</v>
      </c>
      <c r="J121" s="186">
        <f t="shared" si="54"/>
        <v>2.4911054631687586</v>
      </c>
      <c r="K121" s="186">
        <f t="shared" si="54"/>
        <v>4.1518424386145991</v>
      </c>
    </row>
    <row r="122" spans="1:13" ht="14.25" hidden="1" outlineLevel="2">
      <c r="A122">
        <v>5</v>
      </c>
      <c r="B122" s="186">
        <f t="shared" si="55"/>
        <v>6.9310220689732587</v>
      </c>
      <c r="C122" s="320">
        <f t="shared" si="54"/>
        <v>8.1204455410967963E-2</v>
      </c>
      <c r="D122" s="186">
        <f t="shared" si="54"/>
        <v>0.24361336623290392</v>
      </c>
      <c r="E122" s="186"/>
      <c r="F122" s="186">
        <f t="shared" si="54"/>
        <v>0.56843118787677582</v>
      </c>
      <c r="G122" s="186">
        <f t="shared" si="54"/>
        <v>0.81204455410967979</v>
      </c>
      <c r="H122" s="186">
        <f t="shared" si="54"/>
        <v>1.2180668311645195</v>
      </c>
      <c r="I122" s="186">
        <f t="shared" si="54"/>
        <v>1.6240891082193596</v>
      </c>
      <c r="J122" s="186">
        <f t="shared" si="54"/>
        <v>2.4361336623290391</v>
      </c>
      <c r="K122" s="186">
        <f t="shared" si="54"/>
        <v>4.0602227705483989</v>
      </c>
    </row>
    <row r="123" spans="1:13" s="187" customFormat="1" hidden="1" outlineLevel="1" collapsed="1">
      <c r="A123" s="272" t="s">
        <v>494</v>
      </c>
      <c r="B123" s="278">
        <f>B129</f>
        <v>6.8525084594094308</v>
      </c>
      <c r="C123" s="326">
        <f t="shared" ref="C123:K123" si="56">C129</f>
        <v>8.1166579638131869E-2</v>
      </c>
      <c r="D123" s="278">
        <f t="shared" si="56"/>
        <v>0.24260067601330121</v>
      </c>
      <c r="E123" s="278"/>
      <c r="F123" s="278">
        <f t="shared" si="56"/>
        <v>0.5561568001776831</v>
      </c>
      <c r="G123" s="278">
        <f t="shared" si="56"/>
        <v>0.77819966085098635</v>
      </c>
      <c r="H123" s="278">
        <f t="shared" si="56"/>
        <v>1.1168418739978432</v>
      </c>
      <c r="I123" s="278">
        <f t="shared" si="56"/>
        <v>1.4158059197763044</v>
      </c>
      <c r="J123" s="278">
        <f t="shared" si="56"/>
        <v>1.9155333278162308</v>
      </c>
      <c r="K123" s="278">
        <f t="shared" si="56"/>
        <v>2.6720928535128827</v>
      </c>
      <c r="M123" s="336"/>
    </row>
    <row r="124" spans="1:13" ht="14.25" hidden="1" outlineLevel="1">
      <c r="A124" s="271" t="s">
        <v>528</v>
      </c>
    </row>
    <row r="125" spans="1:13" ht="14.25" hidden="1" outlineLevel="2">
      <c r="A125">
        <v>1</v>
      </c>
      <c r="B125" s="186">
        <f>B118*SQRT((1+0.2*B$11^2)^(-0.467))</f>
        <v>8.049086244093214</v>
      </c>
      <c r="C125" s="320">
        <f t="shared" ref="C125:K129" si="57">C118*SQRT((1+0.2*C$11^2)^(-0.467))</f>
        <v>9.5339801988611972E-2</v>
      </c>
      <c r="D125" s="186">
        <f t="shared" si="57"/>
        <v>0.28496334965118275</v>
      </c>
      <c r="E125" s="186"/>
      <c r="F125" s="186">
        <f t="shared" si="57"/>
        <v>0.65327231281592457</v>
      </c>
      <c r="G125" s="186">
        <f t="shared" si="57"/>
        <v>0.91408806314024027</v>
      </c>
      <c r="H125" s="186">
        <f t="shared" si="57"/>
        <v>1.3118636216317889</v>
      </c>
      <c r="I125" s="186">
        <f t="shared" si="57"/>
        <v>1.663032453105403</v>
      </c>
      <c r="J125" s="186">
        <f t="shared" si="57"/>
        <v>2.2500217329693766</v>
      </c>
      <c r="K125" s="186">
        <f t="shared" si="57"/>
        <v>3.1386908834263507</v>
      </c>
    </row>
    <row r="126" spans="1:13" ht="14.25" hidden="1" outlineLevel="2">
      <c r="A126">
        <v>2</v>
      </c>
      <c r="B126" s="186">
        <f t="shared" ref="B126:B128" si="58">B119*SQRT((1+0.2*B$11^2)^(-0.467))</f>
        <v>7.5100630174640566</v>
      </c>
      <c r="C126" s="320">
        <f t="shared" si="57"/>
        <v>8.895518066196148E-2</v>
      </c>
      <c r="D126" s="186">
        <f t="shared" si="57"/>
        <v>0.26588020660339223</v>
      </c>
      <c r="E126" s="186"/>
      <c r="F126" s="186">
        <f t="shared" si="57"/>
        <v>0.60952462031481114</v>
      </c>
      <c r="G126" s="186">
        <f t="shared" si="57"/>
        <v>0.85287432007982455</v>
      </c>
      <c r="H126" s="186">
        <f t="shared" si="57"/>
        <v>1.2240120393794183</v>
      </c>
      <c r="I126" s="186">
        <f t="shared" si="57"/>
        <v>1.5516641447437296</v>
      </c>
      <c r="J126" s="186">
        <f t="shared" si="57"/>
        <v>2.0993445085352485</v>
      </c>
      <c r="K126" s="186">
        <f t="shared" si="57"/>
        <v>2.9285021444725929</v>
      </c>
    </row>
    <row r="127" spans="1:13" ht="14.25" hidden="1" outlineLevel="2">
      <c r="A127">
        <v>3</v>
      </c>
      <c r="B127" s="186">
        <f t="shared" si="58"/>
        <v>7.2116469143832198</v>
      </c>
      <c r="C127" s="320">
        <f t="shared" si="57"/>
        <v>8.5420502151240002E-2</v>
      </c>
      <c r="D127" s="186">
        <f t="shared" si="57"/>
        <v>0.25531532386453826</v>
      </c>
      <c r="E127" s="186"/>
      <c r="F127" s="186">
        <f t="shared" si="57"/>
        <v>0.58530485524716824</v>
      </c>
      <c r="G127" s="186">
        <f t="shared" si="57"/>
        <v>0.81898493320995491</v>
      </c>
      <c r="H127" s="186">
        <f t="shared" si="57"/>
        <v>1.1753753099583417</v>
      </c>
      <c r="I127" s="186">
        <f t="shared" si="57"/>
        <v>1.4900079953495211</v>
      </c>
      <c r="J127" s="186">
        <f t="shared" si="57"/>
        <v>2.0159260064794848</v>
      </c>
      <c r="K127" s="186">
        <f t="shared" si="57"/>
        <v>2.8121366498309142</v>
      </c>
    </row>
    <row r="128" spans="1:13" ht="14.25" hidden="1" outlineLevel="2">
      <c r="A128">
        <v>4</v>
      </c>
      <c r="B128" s="186">
        <f t="shared" si="58"/>
        <v>7.0071365638144307</v>
      </c>
      <c r="C128" s="320">
        <f t="shared" si="57"/>
        <v>8.299811832572708E-2</v>
      </c>
      <c r="D128" s="186">
        <f t="shared" si="57"/>
        <v>0.24807500455758749</v>
      </c>
      <c r="E128" s="186"/>
      <c r="F128" s="186">
        <f t="shared" si="57"/>
        <v>0.56870657990766493</v>
      </c>
      <c r="G128" s="186">
        <f t="shared" si="57"/>
        <v>0.79575987826899919</v>
      </c>
      <c r="H128" s="186">
        <f t="shared" si="57"/>
        <v>1.142043614779247</v>
      </c>
      <c r="I128" s="186">
        <f t="shared" si="57"/>
        <v>1.4477538388306437</v>
      </c>
      <c r="J128" s="186">
        <f t="shared" si="57"/>
        <v>1.9587576870650116</v>
      </c>
      <c r="K128" s="186">
        <f t="shared" si="57"/>
        <v>2.7323891165792196</v>
      </c>
    </row>
    <row r="129" spans="1:13" ht="14.25" hidden="1" outlineLevel="2">
      <c r="A129">
        <v>5</v>
      </c>
      <c r="B129" s="186">
        <f>B122*SQRT((1+0.2*B$11^2)^(-0.467))</f>
        <v>6.8525084594094308</v>
      </c>
      <c r="C129" s="320">
        <f t="shared" si="57"/>
        <v>8.1166579638131869E-2</v>
      </c>
      <c r="D129" s="186">
        <f t="shared" si="57"/>
        <v>0.24260067601330121</v>
      </c>
      <c r="E129" s="186"/>
      <c r="F129" s="186">
        <f t="shared" si="57"/>
        <v>0.5561568001776831</v>
      </c>
      <c r="G129" s="186">
        <f t="shared" si="57"/>
        <v>0.77819966085098635</v>
      </c>
      <c r="H129" s="186">
        <f t="shared" si="57"/>
        <v>1.1168418739978432</v>
      </c>
      <c r="I129" s="186">
        <f t="shared" si="57"/>
        <v>1.4158059197763044</v>
      </c>
      <c r="J129" s="186">
        <f t="shared" si="57"/>
        <v>1.9155333278162308</v>
      </c>
      <c r="K129" s="186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5" t="s">
        <v>518</v>
      </c>
    </row>
    <row r="133" spans="1:13" s="266" customFormat="1" ht="15" hidden="1" customHeight="1" outlineLevel="1">
      <c r="A133" s="270" t="s">
        <v>380</v>
      </c>
      <c r="B133" s="276">
        <f t="shared" ref="B133:K133" si="59">IF(B10&lt;1,B99*RADIANS(B13),B100*RADIANS(B13))</f>
        <v>0.17562385678767603</v>
      </c>
      <c r="C133" s="327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37"/>
    </row>
    <row r="134" spans="1:13" ht="15" hidden="1" customHeight="1" outlineLevel="1">
      <c r="A134" t="s">
        <v>381</v>
      </c>
    </row>
    <row r="135" spans="1:13" ht="15" hidden="1" customHeight="1" outlineLevel="2">
      <c r="A135">
        <v>1</v>
      </c>
      <c r="B135" s="191">
        <f t="shared" ref="B135:K135" si="60">B$33*(B87)*B$133</f>
        <v>6.167796850217119</v>
      </c>
      <c r="C135" s="316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2">
      <c r="A136">
        <v>2</v>
      </c>
      <c r="B136" s="191">
        <f t="shared" ref="B136:K136" si="61">B$33*(B88)*B$133</f>
        <v>5.9750531986478359</v>
      </c>
      <c r="C136" s="316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2">
      <c r="A137">
        <v>3</v>
      </c>
      <c r="B137" s="191">
        <f t="shared" ref="B137:K137" si="62">B$33*(B89)*B$133</f>
        <v>5.7823095470785502</v>
      </c>
      <c r="C137" s="316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2">
      <c r="A138">
        <v>4</v>
      </c>
      <c r="B138" s="191">
        <f t="shared" ref="B138:K138" si="63">B$33*(B90)*B$133</f>
        <v>5.5895658955092653</v>
      </c>
      <c r="C138" s="316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2">
      <c r="A139">
        <v>5</v>
      </c>
      <c r="B139" s="191">
        <f t="shared" ref="B139:K139" si="64">B$33*(B91)*B$133</f>
        <v>5.3968222439399796</v>
      </c>
      <c r="C139" s="316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2">
      <c r="A140">
        <v>6</v>
      </c>
      <c r="B140" s="191">
        <f t="shared" ref="B140:K140" si="65">B$33*(B92)*B$133</f>
        <v>5.2040785923706947</v>
      </c>
      <c r="C140" s="316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2">
      <c r="A141">
        <v>7</v>
      </c>
      <c r="B141" s="191">
        <f t="shared" ref="B141:K141" si="66">B$33*(B93)*B$133</f>
        <v>5.0113349408014098</v>
      </c>
      <c r="C141" s="316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2">
      <c r="A142">
        <v>8</v>
      </c>
      <c r="B142" s="191">
        <f t="shared" ref="B142:K142" si="67">B$33*(B94)*B$133</f>
        <v>4.818591289232125</v>
      </c>
      <c r="C142" s="316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2">
      <c r="A143">
        <v>9</v>
      </c>
      <c r="B143" s="191">
        <f t="shared" ref="B143:K143" si="68">B$33*(B95)*B$133</f>
        <v>4.6258476376628401</v>
      </c>
      <c r="C143" s="316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2">
      <c r="A144">
        <v>10</v>
      </c>
      <c r="B144" s="191">
        <f t="shared" ref="B144:K144" si="69">B$33*(B96)*B$133</f>
        <v>4.4331039860935544</v>
      </c>
      <c r="C144" s="316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hidden="1" customHeight="1" outlineLevel="1" collapsed="1">
      <c r="A145" t="s">
        <v>497</v>
      </c>
    </row>
    <row r="146" spans="1:11" ht="15" hidden="1" customHeight="1" outlineLevel="2">
      <c r="A146">
        <v>1</v>
      </c>
      <c r="B146" s="191">
        <f>B135*$A146*(B$54/11)</f>
        <v>8.4106320684778885E-2</v>
      </c>
      <c r="C146" s="316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2">
      <c r="A147">
        <v>2</v>
      </c>
      <c r="B147" s="191">
        <f t="shared" ref="B147:B155" si="71">B136*$A147*(B$54/11)</f>
        <v>0.16295599632675914</v>
      </c>
      <c r="C147" s="316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2">
      <c r="A148">
        <v>3</v>
      </c>
      <c r="B148" s="191">
        <f t="shared" si="71"/>
        <v>0.23654902692594065</v>
      </c>
      <c r="C148" s="316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2">
      <c r="A149">
        <v>4</v>
      </c>
      <c r="B149" s="191">
        <f t="shared" si="71"/>
        <v>0.30488541248232354</v>
      </c>
      <c r="C149" s="316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2">
      <c r="A150">
        <v>5</v>
      </c>
      <c r="B150" s="191">
        <f t="shared" si="71"/>
        <v>0.36796515299590765</v>
      </c>
      <c r="C150" s="316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2">
      <c r="A151">
        <v>6</v>
      </c>
      <c r="B151" s="191">
        <f t="shared" si="71"/>
        <v>0.42578824846669316</v>
      </c>
      <c r="C151" s="316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2">
      <c r="A152">
        <v>7</v>
      </c>
      <c r="B152" s="191">
        <f t="shared" si="71"/>
        <v>0.47835469889467996</v>
      </c>
      <c r="C152" s="316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2">
      <c r="A153">
        <v>8</v>
      </c>
      <c r="B153" s="191">
        <f t="shared" si="71"/>
        <v>0.52566450427986811</v>
      </c>
      <c r="C153" s="316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2">
      <c r="A154">
        <v>9</v>
      </c>
      <c r="B154" s="191">
        <f t="shared" si="71"/>
        <v>0.5677176646222577</v>
      </c>
      <c r="C154" s="316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2">
      <c r="A155">
        <v>10</v>
      </c>
      <c r="B155" s="191">
        <f t="shared" si="71"/>
        <v>0.6045141799218483</v>
      </c>
      <c r="C155" s="316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hidden="1" customHeight="1" outlineLevel="1" collapsed="1">
      <c r="A156" t="s">
        <v>499</v>
      </c>
      <c r="B156" s="191">
        <f>SUM(B135:B144)</f>
        <v>53.004504181553372</v>
      </c>
      <c r="C156" s="316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hidden="1" customHeight="1" outlineLevel="1">
      <c r="A157" t="s">
        <v>498</v>
      </c>
      <c r="B157" s="191">
        <f>SUM(B146:B155)</f>
        <v>3.7585012056010569</v>
      </c>
      <c r="C157" s="316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hidden="1" customHeight="1" outlineLevel="1">
      <c r="A158" s="275" t="s">
        <v>382</v>
      </c>
      <c r="B158" s="191">
        <f t="shared" ref="B158:K158" si="74">(2*B156)/(B33*B97)</f>
        <v>0.35124771357535201</v>
      </c>
      <c r="C158" s="316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hidden="1" customHeight="1" outlineLevel="1">
      <c r="A159" s="275" t="s">
        <v>623</v>
      </c>
      <c r="B159" s="191">
        <f>(B157/B156)*100</f>
        <v>7.0909090909090908</v>
      </c>
      <c r="C159" s="316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hidden="1" customHeight="1" outlineLevel="1">
      <c r="A160" t="s">
        <v>383</v>
      </c>
    </row>
    <row r="161" spans="1:11" ht="15" hidden="1" customHeight="1" outlineLevel="2">
      <c r="A161">
        <v>0</v>
      </c>
      <c r="B161">
        <v>0</v>
      </c>
      <c r="C161" s="328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28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28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7">
        <v>15</v>
      </c>
      <c r="B164">
        <v>1.0678696292132142</v>
      </c>
      <c r="C164" s="328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4">
        <v>20</v>
      </c>
      <c r="B165">
        <v>1.4238261722842855</v>
      </c>
      <c r="C165" s="328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4">
        <v>25</v>
      </c>
      <c r="B166">
        <v>1.7797827153553569</v>
      </c>
      <c r="C166" s="328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4">
        <v>30</v>
      </c>
      <c r="B167">
        <v>2.1357392584264283</v>
      </c>
      <c r="C167" s="328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6" t="s">
        <v>487</v>
      </c>
      <c r="B168" s="263">
        <f>AVERAGE(B169:B173)</f>
        <v>7.1191308614214271E-2</v>
      </c>
      <c r="C168" s="329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2">
      <c r="A169">
        <v>0</v>
      </c>
      <c r="B169" s="263">
        <f t="shared" ref="B169:K173" si="77">(B162-B161)/($A162-$A161)</f>
        <v>7.1191308614214202E-2</v>
      </c>
      <c r="C169" s="329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2">
      <c r="A170">
        <v>5</v>
      </c>
      <c r="B170" s="263">
        <f t="shared" si="77"/>
        <v>7.1191308614214355E-2</v>
      </c>
      <c r="C170" s="329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2">
      <c r="A171">
        <v>10</v>
      </c>
      <c r="B171" s="263">
        <f t="shared" si="77"/>
        <v>7.1191308614214271E-2</v>
      </c>
      <c r="C171" s="329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2">
      <c r="A172">
        <v>15</v>
      </c>
      <c r="B172" s="263">
        <f t="shared" si="77"/>
        <v>7.1191308614214271E-2</v>
      </c>
      <c r="C172" s="329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2">
      <c r="A173">
        <v>20</v>
      </c>
      <c r="B173" s="263">
        <f t="shared" si="77"/>
        <v>7.1191308614214271E-2</v>
      </c>
      <c r="C173" s="329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hidden="1" customHeight="1" outlineLevel="1" collapsed="1">
      <c r="A174" s="191"/>
    </row>
    <row r="175" spans="1:11" ht="15" hidden="1" customHeight="1" outlineLevel="1">
      <c r="A175" s="273" t="s">
        <v>493</v>
      </c>
    </row>
    <row r="176" spans="1:11" ht="15" hidden="1" customHeight="1" outlineLevel="1">
      <c r="A176" t="s">
        <v>523</v>
      </c>
    </row>
    <row r="177" spans="1:11" ht="15" hidden="1" customHeight="1" outlineLevel="2">
      <c r="A177">
        <v>0.06</v>
      </c>
      <c r="B177" s="263">
        <v>1.7811871342984904</v>
      </c>
      <c r="C177" s="329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2">
      <c r="A178">
        <v>0.1</v>
      </c>
      <c r="B178" s="263">
        <v>1.7868999999999999</v>
      </c>
      <c r="C178" s="329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2">
      <c r="A179">
        <v>0.3</v>
      </c>
      <c r="B179" s="263">
        <v>1.8637999999999999</v>
      </c>
      <c r="C179" s="329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2">
      <c r="A180">
        <v>0.5</v>
      </c>
      <c r="B180" s="263">
        <v>2.0529999999999999</v>
      </c>
      <c r="C180" s="329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2">
      <c r="A181">
        <v>0.7</v>
      </c>
      <c r="B181" s="263">
        <v>2.4897</v>
      </c>
      <c r="C181" s="329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2">
      <c r="A182">
        <v>1</v>
      </c>
      <c r="B182" s="263">
        <v>28.213824634343929</v>
      </c>
      <c r="C182" s="329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2">
      <c r="A183">
        <v>1.5</v>
      </c>
      <c r="B183" s="263">
        <v>3.5777000000000001</v>
      </c>
      <c r="C183" s="329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2">
      <c r="A184">
        <v>2</v>
      </c>
      <c r="B184" s="263">
        <v>2.3094000000000001</v>
      </c>
      <c r="C184" s="329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2">
      <c r="A185">
        <v>3</v>
      </c>
      <c r="B185" s="263">
        <v>1.4141999999999999</v>
      </c>
      <c r="C185" s="329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2">
      <c r="A186">
        <v>5</v>
      </c>
      <c r="B186" s="263">
        <v>0.8165</v>
      </c>
      <c r="C186" s="329"/>
      <c r="D186" s="263"/>
      <c r="E186" s="263"/>
      <c r="F186" s="263"/>
      <c r="G186" s="263"/>
      <c r="H186" s="263"/>
      <c r="I186" s="263"/>
      <c r="J186" s="263"/>
      <c r="K186" s="263"/>
    </row>
    <row r="187" spans="1:11" ht="15" hidden="1" customHeight="1" outlineLevel="1" collapsed="1"/>
    <row r="188" spans="1:11" ht="15" hidden="1" customHeight="1" outlineLevel="1">
      <c r="A188" s="281" t="s">
        <v>507</v>
      </c>
    </row>
    <row r="189" spans="1:11" ht="15" hidden="1" customHeight="1" outlineLevel="1">
      <c r="A189" s="288" t="s">
        <v>508</v>
      </c>
    </row>
    <row r="190" spans="1:11" ht="15" hidden="1" customHeight="1" outlineLevel="1">
      <c r="A190" t="s">
        <v>513</v>
      </c>
      <c r="B190" s="191">
        <f t="shared" ref="B190:K190" si="78">IF(B10&lt;1,B99,B100)</f>
        <v>2.0125011551487666</v>
      </c>
      <c r="C190" s="316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hidden="1" customHeight="1" outlineLevel="1">
      <c r="A191" t="s">
        <v>509</v>
      </c>
      <c r="B191" s="191">
        <v>1.5</v>
      </c>
      <c r="C191" s="316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hidden="1" customHeight="1" outlineLevel="1">
      <c r="A192" t="s">
        <v>510</v>
      </c>
      <c r="B192" s="191">
        <f t="shared" ref="B192:K192" si="79">B40*B191</f>
        <v>0.12</v>
      </c>
      <c r="C192" s="316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hidden="1" customHeight="1" outlineLevel="1">
      <c r="A193" t="s">
        <v>514</v>
      </c>
      <c r="B193" s="285">
        <v>2</v>
      </c>
      <c r="C193" s="330">
        <v>2</v>
      </c>
      <c r="D193" s="285">
        <v>2</v>
      </c>
      <c r="E193" s="285"/>
      <c r="F193" s="285">
        <v>2</v>
      </c>
      <c r="G193" s="285">
        <v>2</v>
      </c>
      <c r="H193" s="285">
        <v>2</v>
      </c>
      <c r="I193" s="285">
        <v>2</v>
      </c>
      <c r="J193" s="285">
        <v>2</v>
      </c>
      <c r="K193" s="285">
        <v>2</v>
      </c>
    </row>
    <row r="194" spans="1:11" ht="15" hidden="1" customHeight="1" outlineLevel="2">
      <c r="A194">
        <v>0.1</v>
      </c>
      <c r="B194" s="191">
        <f t="shared" ref="B194:D202" si="80">ATAN((-B$192*$A194)/B$3)</f>
        <v>-7.0821611541989566E-5</v>
      </c>
      <c r="C194" s="316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2">
      <c r="A195">
        <v>0.5</v>
      </c>
      <c r="B195" s="191">
        <f t="shared" si="80"/>
        <v>-3.5410804350114871E-4</v>
      </c>
      <c r="C195" s="316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2">
      <c r="A196">
        <v>0.8</v>
      </c>
      <c r="B196" s="191">
        <f t="shared" si="80"/>
        <v>-5.6657283265896727E-4</v>
      </c>
      <c r="C196" s="316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2">
      <c r="A197">
        <v>1</v>
      </c>
      <c r="B197" s="191">
        <f t="shared" si="80"/>
        <v>-7.0821599819732937E-4</v>
      </c>
      <c r="C197" s="316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2">
      <c r="A198">
        <v>5</v>
      </c>
      <c r="B198" s="191">
        <f t="shared" si="80"/>
        <v>-3.5410657822975969E-3</v>
      </c>
      <c r="C198" s="316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2">
      <c r="A199">
        <v>10</v>
      </c>
      <c r="B199" s="191">
        <f t="shared" si="80"/>
        <v>-7.0820427629343045E-3</v>
      </c>
      <c r="C199" s="316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2">
      <c r="A200">
        <v>20</v>
      </c>
      <c r="B200" s="191">
        <f t="shared" si="80"/>
        <v>-1.4163375192741889E-2</v>
      </c>
      <c r="C200" s="316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2">
      <c r="A201">
        <v>50</v>
      </c>
      <c r="B201" s="191">
        <f t="shared" si="80"/>
        <v>-3.5396016122148752E-2</v>
      </c>
      <c r="C201" s="316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2">
      <c r="A202">
        <v>100</v>
      </c>
      <c r="B202" s="191">
        <f t="shared" si="80"/>
        <v>-7.070356005563308E-2</v>
      </c>
      <c r="C202" s="316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hidden="1" customHeight="1" outlineLevel="1" collapsed="1">
      <c r="A203" t="s">
        <v>515</v>
      </c>
    </row>
    <row r="204" spans="1:11" ht="15" hidden="1" customHeight="1" outlineLevel="2">
      <c r="A204">
        <v>0.1</v>
      </c>
      <c r="B204" s="191">
        <f>DEGREES(B194)</f>
        <v>-4.0577794396710002E-3</v>
      </c>
      <c r="C204" s="316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2">
      <c r="A205">
        <v>0.5</v>
      </c>
      <c r="B205" s="191">
        <f t="shared" ref="B205:B212" si="83">DEGREES(B195)</f>
        <v>-2.0288896384250781E-2</v>
      </c>
      <c r="C205" s="316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2">
      <c r="A206">
        <v>0.8</v>
      </c>
      <c r="B206" s="191">
        <f t="shared" si="83"/>
        <v>-3.2462232098130678E-2</v>
      </c>
      <c r="C206" s="316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2">
      <c r="A207">
        <v>1</v>
      </c>
      <c r="B207" s="191">
        <f t="shared" si="83"/>
        <v>-4.0577787680351689E-2</v>
      </c>
      <c r="C207" s="316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2">
      <c r="A208">
        <v>5</v>
      </c>
      <c r="B208" s="191">
        <f t="shared" si="83"/>
        <v>-0.20288812430384348</v>
      </c>
      <c r="C208" s="316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2">
      <c r="A209">
        <v>10</v>
      </c>
      <c r="B209" s="191">
        <f t="shared" si="83"/>
        <v>-0.40577116064730423</v>
      </c>
      <c r="C209" s="316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2">
      <c r="A210">
        <v>20</v>
      </c>
      <c r="B210" s="191">
        <f t="shared" si="83"/>
        <v>-0.81150162220439914</v>
      </c>
      <c r="C210" s="316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2">
      <c r="A211">
        <v>50</v>
      </c>
      <c r="B211" s="191">
        <f t="shared" si="83"/>
        <v>-2.0280423353761421</v>
      </c>
      <c r="C211" s="316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2">
      <c r="A212">
        <v>100</v>
      </c>
      <c r="B212" s="191">
        <f t="shared" si="83"/>
        <v>-4.0510155877375276</v>
      </c>
      <c r="C212" s="316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512</v>
      </c>
      <c r="B214" s="191">
        <v>20</v>
      </c>
      <c r="C214" s="316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hidden="1" customHeight="1" outlineLevel="1">
      <c r="A215" t="s">
        <v>521</v>
      </c>
      <c r="B215" s="191">
        <f>B$190*VLOOKUP(B$214,$A$194:B$202,B$193,FALSE)</f>
        <v>-2.8503808936198437E-2</v>
      </c>
      <c r="C215" s="316">
        <f>C$190*VLOOKUP(C$214,$A$194:C$202,C$193,FALSE)</f>
        <v>-2.4809381227112487E-2</v>
      </c>
      <c r="D215" s="191">
        <f>D$190*VLOOKUP(D$214,$A$194:D$202,D$193,FALSE)</f>
        <v>-2.5876934931177514E-2</v>
      </c>
      <c r="F215" s="191">
        <f>F$190*VLOOKUP(F$214,$A$194:F$202,F$193,FALSE)</f>
        <v>-3.4565945581285507E-2</v>
      </c>
      <c r="G215" s="191">
        <f>G$190*VLOOKUP(G$214,$A$194:G$202,G$193,FALSE)</f>
        <v>-0.39960298391843679</v>
      </c>
      <c r="H215" s="191">
        <f>H$190*VLOOKUP(H$214,$A$194:H$202,H$193,FALSE)</f>
        <v>-5.0672431554888077E-2</v>
      </c>
      <c r="I215" s="191">
        <f>I$190*VLOOKUP(I$214,$A$194:I$202,I$193,FALSE)</f>
        <v>-3.2708913920652796E-2</v>
      </c>
      <c r="J215" s="191">
        <f>J$190*VLOOKUP(J$214,$A$194:J$202,J$193,FALSE)</f>
        <v>-2.0030037286554225E-2</v>
      </c>
      <c r="K215" s="191">
        <f>K$190*VLOOKUP(K$214,$A$194:K$202,K$193,FALSE)</f>
        <v>-1.1564347419270326E-2</v>
      </c>
    </row>
    <row r="216" spans="1:11" ht="15" hidden="1" customHeight="1" outlineLevel="1">
      <c r="A216" t="s">
        <v>381</v>
      </c>
    </row>
    <row r="217" spans="1:11" ht="15" hidden="1" customHeight="1" outlineLevel="2">
      <c r="A217">
        <v>1</v>
      </c>
      <c r="B217" s="191">
        <f t="shared" ref="B217:K217" si="84">B$33*(B87)*B$215</f>
        <v>-1.0010354298756752</v>
      </c>
      <c r="C217" s="316">
        <f t="shared" si="84"/>
        <v>-3.4972597865210647E-2</v>
      </c>
      <c r="D217" s="191">
        <f t="shared" si="84"/>
        <v>-0.32829729526223272</v>
      </c>
      <c r="F217" s="191">
        <f t="shared" si="84"/>
        <v>-2.3875720347621798</v>
      </c>
      <c r="G217" s="191">
        <f t="shared" si="84"/>
        <v>-56.33012099086627</v>
      </c>
      <c r="H217" s="191">
        <f t="shared" si="84"/>
        <v>-16.071863097459758</v>
      </c>
      <c r="I217" s="191">
        <f t="shared" si="84"/>
        <v>-18.443276479699914</v>
      </c>
      <c r="J217" s="191">
        <f t="shared" si="84"/>
        <v>-25.411846815190778</v>
      </c>
      <c r="K217" s="191">
        <f t="shared" si="84"/>
        <v>-40.754268331544267</v>
      </c>
    </row>
    <row r="218" spans="1:11" ht="15" hidden="1" customHeight="1" outlineLevel="2">
      <c r="A218">
        <v>2</v>
      </c>
      <c r="B218" s="191">
        <f t="shared" ref="B218:K218" si="85">B$33*(B88)*B$215</f>
        <v>-0.96975307269206068</v>
      </c>
      <c r="C218" s="316">
        <f t="shared" si="85"/>
        <v>-3.3879704181922821E-2</v>
      </c>
      <c r="D218" s="191">
        <f t="shared" si="85"/>
        <v>-0.31803800478528804</v>
      </c>
      <c r="F218" s="191">
        <f t="shared" si="85"/>
        <v>-2.3129604086758619</v>
      </c>
      <c r="G218" s="191">
        <f t="shared" si="85"/>
        <v>-54.56980470990171</v>
      </c>
      <c r="H218" s="191">
        <f t="shared" si="85"/>
        <v>-15.569617375664144</v>
      </c>
      <c r="I218" s="191">
        <f t="shared" si="85"/>
        <v>-17.866924089709293</v>
      </c>
      <c r="J218" s="191">
        <f t="shared" si="85"/>
        <v>-24.617726602216074</v>
      </c>
      <c r="K218" s="191">
        <f t="shared" si="85"/>
        <v>-39.480697446183513</v>
      </c>
    </row>
    <row r="219" spans="1:11" ht="15" hidden="1" customHeight="1" outlineLevel="2">
      <c r="A219">
        <v>3</v>
      </c>
      <c r="B219" s="191">
        <f t="shared" ref="B219:K219" si="86">B$33*(B89)*B$215</f>
        <v>-0.93847071550844563</v>
      </c>
      <c r="C219" s="316">
        <f t="shared" si="86"/>
        <v>-3.278681049863498E-2</v>
      </c>
      <c r="D219" s="191">
        <f t="shared" si="86"/>
        <v>-0.30777871430834319</v>
      </c>
      <c r="F219" s="191">
        <f t="shared" si="86"/>
        <v>-2.2383487825895436</v>
      </c>
      <c r="G219" s="191">
        <f t="shared" si="86"/>
        <v>-52.809488428937136</v>
      </c>
      <c r="H219" s="191">
        <f t="shared" si="86"/>
        <v>-15.067371653868523</v>
      </c>
      <c r="I219" s="191">
        <f t="shared" si="86"/>
        <v>-17.290571699718672</v>
      </c>
      <c r="J219" s="191">
        <f t="shared" si="86"/>
        <v>-23.823606389241355</v>
      </c>
      <c r="K219" s="191">
        <f t="shared" si="86"/>
        <v>-38.207126560822751</v>
      </c>
    </row>
    <row r="220" spans="1:11" ht="15" hidden="1" customHeight="1" outlineLevel="2">
      <c r="A220">
        <v>4</v>
      </c>
      <c r="B220" s="191">
        <f t="shared" ref="B220:K220" si="87">B$33*(B90)*B$215</f>
        <v>-0.9071883583248308</v>
      </c>
      <c r="C220" s="316">
        <f t="shared" si="87"/>
        <v>-3.169391681534716E-2</v>
      </c>
      <c r="D220" s="191">
        <f t="shared" si="87"/>
        <v>-0.29751942383139846</v>
      </c>
      <c r="F220" s="191">
        <f t="shared" si="87"/>
        <v>-2.1637371565032262</v>
      </c>
      <c r="G220" s="191">
        <f t="shared" si="87"/>
        <v>-51.04917214797257</v>
      </c>
      <c r="H220" s="191">
        <f t="shared" si="87"/>
        <v>-14.565125932072908</v>
      </c>
      <c r="I220" s="191">
        <f t="shared" si="87"/>
        <v>-16.714219309728051</v>
      </c>
      <c r="J220" s="191">
        <f t="shared" si="87"/>
        <v>-23.029486176266648</v>
      </c>
      <c r="K220" s="191">
        <f t="shared" si="87"/>
        <v>-36.933555675461996</v>
      </c>
    </row>
    <row r="221" spans="1:11" ht="15" hidden="1" customHeight="1" outlineLevel="2">
      <c r="A221">
        <v>5</v>
      </c>
      <c r="B221" s="191">
        <f t="shared" ref="B221:K221" si="88">B$33*(B91)*B$215</f>
        <v>-0.87590600114121586</v>
      </c>
      <c r="C221" s="316">
        <f t="shared" si="88"/>
        <v>-3.0601023132059316E-2</v>
      </c>
      <c r="D221" s="191">
        <f t="shared" si="88"/>
        <v>-0.28726013335445366</v>
      </c>
      <c r="F221" s="191">
        <f t="shared" si="88"/>
        <v>-2.0891255304169074</v>
      </c>
      <c r="G221" s="191">
        <f t="shared" si="88"/>
        <v>-49.288855867007982</v>
      </c>
      <c r="H221" s="191">
        <f t="shared" si="88"/>
        <v>-14.062880210277285</v>
      </c>
      <c r="I221" s="191">
        <f t="shared" si="88"/>
        <v>-16.137866919737423</v>
      </c>
      <c r="J221" s="191">
        <f t="shared" si="88"/>
        <v>-22.23536596329193</v>
      </c>
      <c r="K221" s="191">
        <f t="shared" si="88"/>
        <v>-35.659984790101234</v>
      </c>
    </row>
    <row r="222" spans="1:11" ht="15" hidden="1" customHeight="1" outlineLevel="2">
      <c r="A222">
        <v>6</v>
      </c>
      <c r="B222" s="191">
        <f t="shared" ref="B222:K222" si="89">B$33*(B92)*B$215</f>
        <v>-0.84462364395760092</v>
      </c>
      <c r="C222" s="316">
        <f t="shared" si="89"/>
        <v>-2.9508129448771486E-2</v>
      </c>
      <c r="D222" s="191">
        <f t="shared" si="89"/>
        <v>-0.27700084287750892</v>
      </c>
      <c r="F222" s="191">
        <f t="shared" si="89"/>
        <v>-2.0145139043305891</v>
      </c>
      <c r="G222" s="191">
        <f t="shared" si="89"/>
        <v>-47.528539586043415</v>
      </c>
      <c r="H222" s="191">
        <f t="shared" si="89"/>
        <v>-13.560634488481671</v>
      </c>
      <c r="I222" s="191">
        <f t="shared" si="89"/>
        <v>-15.561514529746804</v>
      </c>
      <c r="J222" s="191">
        <f t="shared" si="89"/>
        <v>-21.441245750317218</v>
      </c>
      <c r="K222" s="191">
        <f t="shared" si="89"/>
        <v>-34.386413904740472</v>
      </c>
    </row>
    <row r="223" spans="1:11" ht="15" hidden="1" customHeight="1" outlineLevel="2">
      <c r="A223">
        <v>7</v>
      </c>
      <c r="B223" s="191">
        <f t="shared" ref="B223:K223" si="90">B$33*(B93)*B$215</f>
        <v>-0.81334128677398621</v>
      </c>
      <c r="C223" s="316">
        <f t="shared" si="90"/>
        <v>-2.8415235765483653E-2</v>
      </c>
      <c r="D223" s="191">
        <f t="shared" si="90"/>
        <v>-0.26674155240056413</v>
      </c>
      <c r="F223" s="191">
        <f t="shared" si="90"/>
        <v>-1.9399022782442714</v>
      </c>
      <c r="G223" s="191">
        <f t="shared" si="90"/>
        <v>-45.768223305078848</v>
      </c>
      <c r="H223" s="191">
        <f t="shared" si="90"/>
        <v>-13.058388766686052</v>
      </c>
      <c r="I223" s="191">
        <f t="shared" si="90"/>
        <v>-14.985162139756182</v>
      </c>
      <c r="J223" s="191">
        <f t="shared" si="90"/>
        <v>-20.647125537342507</v>
      </c>
      <c r="K223" s="191">
        <f t="shared" si="90"/>
        <v>-33.112843019379717</v>
      </c>
    </row>
    <row r="224" spans="1:11" ht="15" hidden="1" customHeight="1" outlineLevel="2">
      <c r="A224">
        <v>8</v>
      </c>
      <c r="B224" s="191">
        <f t="shared" ref="B224:K224" si="91">B$33*(B94)*B$215</f>
        <v>-0.78205892959037138</v>
      </c>
      <c r="C224" s="316">
        <f t="shared" si="91"/>
        <v>-2.7322342082195816E-2</v>
      </c>
      <c r="D224" s="191">
        <f t="shared" si="91"/>
        <v>-0.25648226192361934</v>
      </c>
      <c r="F224" s="191">
        <f t="shared" si="91"/>
        <v>-1.8652906521579531</v>
      </c>
      <c r="G224" s="191">
        <f t="shared" si="91"/>
        <v>-44.007907024114274</v>
      </c>
      <c r="H224" s="191">
        <f t="shared" si="91"/>
        <v>-12.556143044890435</v>
      </c>
      <c r="I224" s="191">
        <f t="shared" si="91"/>
        <v>-14.40880974976556</v>
      </c>
      <c r="J224" s="191">
        <f t="shared" si="91"/>
        <v>-19.853005324367796</v>
      </c>
      <c r="K224" s="191">
        <f t="shared" si="91"/>
        <v>-31.839272134018959</v>
      </c>
    </row>
    <row r="225" spans="1:11" ht="15" hidden="1" customHeight="1" outlineLevel="2">
      <c r="A225">
        <v>9</v>
      </c>
      <c r="B225" s="191">
        <f t="shared" ref="B225:K225" si="92">B$33*(B95)*B$215</f>
        <v>-0.75077657240675644</v>
      </c>
      <c r="C225" s="316">
        <f t="shared" si="92"/>
        <v>-2.6229448398907989E-2</v>
      </c>
      <c r="D225" s="191">
        <f t="shared" si="92"/>
        <v>-0.2462229714466746</v>
      </c>
      <c r="F225" s="191">
        <f t="shared" si="92"/>
        <v>-1.7906790260716352</v>
      </c>
      <c r="G225" s="191">
        <f t="shared" si="92"/>
        <v>-42.247590743149708</v>
      </c>
      <c r="H225" s="191">
        <f t="shared" si="92"/>
        <v>-12.053897323094819</v>
      </c>
      <c r="I225" s="191">
        <f t="shared" si="92"/>
        <v>-13.832457359774937</v>
      </c>
      <c r="J225" s="191">
        <f t="shared" si="92"/>
        <v>-19.058885111393085</v>
      </c>
      <c r="K225" s="191">
        <f t="shared" si="92"/>
        <v>-30.565701248658204</v>
      </c>
    </row>
    <row r="226" spans="1:11" ht="15" hidden="1" customHeight="1" outlineLevel="2">
      <c r="A226">
        <v>10</v>
      </c>
      <c r="B226" s="191">
        <f t="shared" ref="B226:K226" si="93">B$33*(B96)*B$215</f>
        <v>-0.71949421522314161</v>
      </c>
      <c r="C226" s="316">
        <f t="shared" si="93"/>
        <v>-2.5136554715620152E-2</v>
      </c>
      <c r="D226" s="191">
        <f t="shared" si="93"/>
        <v>-0.23596368096972978</v>
      </c>
      <c r="F226" s="191">
        <f t="shared" si="93"/>
        <v>-1.7160673999853169</v>
      </c>
      <c r="G226" s="191">
        <f t="shared" si="93"/>
        <v>-40.487274462185134</v>
      </c>
      <c r="H226" s="191">
        <f t="shared" si="93"/>
        <v>-11.5516516012992</v>
      </c>
      <c r="I226" s="191">
        <f t="shared" si="93"/>
        <v>-13.256104969784314</v>
      </c>
      <c r="J226" s="191">
        <f t="shared" si="93"/>
        <v>-18.26476489841837</v>
      </c>
      <c r="K226" s="191">
        <f t="shared" si="93"/>
        <v>-29.292130363297439</v>
      </c>
    </row>
    <row r="227" spans="1:11" ht="15" hidden="1" customHeight="1" outlineLevel="1" collapsed="1">
      <c r="A227" t="s">
        <v>516</v>
      </c>
      <c r="B227" s="191">
        <f>SUM(B217:B226)</f>
        <v>-8.6026482254940841</v>
      </c>
      <c r="C227" s="316">
        <f t="shared" ref="C227:K227" si="94">SUM(C217:C226)</f>
        <v>-0.30054576290415402</v>
      </c>
      <c r="D227" s="191">
        <f t="shared" si="94"/>
        <v>-2.8213048811598127</v>
      </c>
      <c r="F227" s="191">
        <f t="shared" si="94"/>
        <v>-20.518197173737487</v>
      </c>
      <c r="G227" s="191">
        <f t="shared" si="94"/>
        <v>-484.08697726525702</v>
      </c>
      <c r="H227" s="191">
        <f t="shared" si="94"/>
        <v>-138.11757349379479</v>
      </c>
      <c r="I227" s="191">
        <f t="shared" si="94"/>
        <v>-158.49690724742112</v>
      </c>
      <c r="J227" s="191">
        <f t="shared" si="94"/>
        <v>-218.38305856804575</v>
      </c>
      <c r="K227" s="191">
        <f t="shared" si="94"/>
        <v>-350.23199347420859</v>
      </c>
    </row>
    <row r="228" spans="1:11" ht="15" hidden="1" customHeight="1" outlineLevel="1">
      <c r="A228" t="s">
        <v>517</v>
      </c>
      <c r="B228" s="191">
        <f>B227*B192</f>
        <v>-1.0323177870592901</v>
      </c>
      <c r="C228" s="316">
        <f t="shared" ref="C228:K228" si="95">C227*C192</f>
        <v>-3.6065491548498481E-2</v>
      </c>
      <c r="D228" s="191">
        <f t="shared" si="95"/>
        <v>-0.33855658573917752</v>
      </c>
      <c r="F228" s="191">
        <f t="shared" si="95"/>
        <v>-2.4621836608484986</v>
      </c>
      <c r="G228" s="191">
        <f t="shared" si="95"/>
        <v>-58.090437271830837</v>
      </c>
      <c r="H228" s="191">
        <f t="shared" si="95"/>
        <v>-16.574108819255375</v>
      </c>
      <c r="I228" s="191">
        <f t="shared" si="95"/>
        <v>-19.019628869690532</v>
      </c>
      <c r="J228" s="191">
        <f t="shared" si="95"/>
        <v>-26.205967028165489</v>
      </c>
      <c r="K228" s="191">
        <f t="shared" si="95"/>
        <v>-42.027839216905029</v>
      </c>
    </row>
    <row r="229" spans="1:11" ht="15" hidden="1" customHeight="1" outlineLevel="1">
      <c r="A229" t="s">
        <v>520</v>
      </c>
      <c r="B229" s="191">
        <f t="shared" ref="B229:K229" si="96">B44*(2/3)*((1+B50+B50^2)/(1+B50))</f>
        <v>0.12666666666666665</v>
      </c>
      <c r="C229" s="316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hidden="1" customHeight="1" outlineLevel="1">
      <c r="A230" t="s">
        <v>522</v>
      </c>
      <c r="B230" s="191">
        <v>0.8</v>
      </c>
      <c r="C230" s="316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hidden="1" customHeight="1" outlineLevel="1">
      <c r="A231" t="s">
        <v>519</v>
      </c>
      <c r="B231" s="191">
        <f t="shared" ref="B231:K231" si="97">B228/(B33*B97*B229)</f>
        <v>-2.7003608465872204E-2</v>
      </c>
      <c r="C231" s="316">
        <f t="shared" si="97"/>
        <v>-2.3503624320422356E-2</v>
      </c>
      <c r="D231" s="191">
        <f t="shared" si="97"/>
        <v>-2.4514990987431332E-2</v>
      </c>
      <c r="F231" s="191">
        <f t="shared" si="97"/>
        <v>-3.2746685287533654E-2</v>
      </c>
      <c r="G231" s="191">
        <f t="shared" si="97"/>
        <v>-0.37857124792272956</v>
      </c>
      <c r="H231" s="191">
        <f t="shared" si="97"/>
        <v>-4.8005461473051868E-2</v>
      </c>
      <c r="I231" s="191">
        <f t="shared" si="97"/>
        <v>-3.0987392135355275E-2</v>
      </c>
      <c r="J231" s="191">
        <f t="shared" si="97"/>
        <v>-1.8975824797788213E-2</v>
      </c>
      <c r="K231" s="191">
        <f t="shared" si="97"/>
        <v>-1.0955697555098207E-2</v>
      </c>
    </row>
    <row r="232" spans="1:11" ht="15" hidden="1" customHeight="1" outlineLevel="1">
      <c r="A232" s="289" t="s">
        <v>524</v>
      </c>
      <c r="B232" s="287">
        <f t="shared" ref="B232:K232" si="98">(-B190*B192^2)/(B230*B3)</f>
        <v>-2.1379286291406711E-4</v>
      </c>
      <c r="C232" s="331">
        <f t="shared" si="98"/>
        <v>-9.2656791636244057E-4</v>
      </c>
      <c r="D232" s="287">
        <f t="shared" si="98"/>
        <v>-3.2214611966789743E-4</v>
      </c>
      <c r="E232" s="287"/>
      <c r="F232" s="287">
        <f t="shared" si="98"/>
        <v>-1.8442157528556364E-4</v>
      </c>
      <c r="G232" s="287">
        <f t="shared" si="98"/>
        <v>-1.4924165209605816E-3</v>
      </c>
      <c r="H232" s="287">
        <f t="shared" si="98"/>
        <v>-1.2616584802612485E-4</v>
      </c>
      <c r="I232" s="287">
        <f t="shared" si="98"/>
        <v>-6.1079778533164696E-5</v>
      </c>
      <c r="J232" s="287">
        <f t="shared" si="98"/>
        <v>-2.4935715168075836E-5</v>
      </c>
      <c r="K232" s="287">
        <f t="shared" si="98"/>
        <v>-8.6379851188346516E-6</v>
      </c>
    </row>
    <row r="233" spans="1:11" ht="15" hidden="1" customHeight="1" outlineLevel="2">
      <c r="A233">
        <v>0.06</v>
      </c>
      <c r="B233" s="287">
        <v>-3.957435565420617E-3</v>
      </c>
      <c r="C233" s="331"/>
      <c r="D233" s="287"/>
      <c r="E233" s="287"/>
      <c r="F233" s="287"/>
      <c r="G233" s="287"/>
      <c r="H233" s="287"/>
      <c r="I233" s="287"/>
      <c r="J233" s="287"/>
      <c r="K233" s="287"/>
    </row>
    <row r="234" spans="1:11" ht="15" hidden="1" customHeight="1" outlineLevel="2">
      <c r="A234">
        <v>0.1</v>
      </c>
      <c r="B234" s="287">
        <v>-1.0587217785124063E-3</v>
      </c>
      <c r="C234" s="331"/>
      <c r="D234" s="287"/>
      <c r="E234" s="287"/>
      <c r="F234" s="287"/>
      <c r="G234" s="287"/>
      <c r="H234" s="287"/>
      <c r="I234" s="287"/>
      <c r="J234" s="287"/>
      <c r="K234" s="287"/>
    </row>
    <row r="235" spans="1:11" ht="15" hidden="1" customHeight="1" outlineLevel="2">
      <c r="A235">
        <v>0.3</v>
      </c>
      <c r="B235" s="287">
        <v>-2.3663117870606997E-4</v>
      </c>
      <c r="C235" s="331"/>
      <c r="D235" s="287"/>
      <c r="E235" s="287"/>
      <c r="F235" s="287"/>
      <c r="G235" s="287"/>
      <c r="H235" s="287"/>
      <c r="I235" s="287"/>
      <c r="J235" s="287"/>
      <c r="K235" s="287"/>
    </row>
    <row r="236" spans="1:11" ht="15" hidden="1" customHeight="1" outlineLevel="2">
      <c r="A236">
        <v>0.5</v>
      </c>
      <c r="B236" s="287">
        <v>-1.1523587839424864E-4</v>
      </c>
      <c r="C236" s="331"/>
      <c r="D236" s="287"/>
      <c r="E236" s="287"/>
      <c r="F236" s="287"/>
      <c r="G236" s="287"/>
      <c r="H236" s="287"/>
      <c r="I236" s="287"/>
      <c r="J236" s="287"/>
      <c r="K236" s="287"/>
    </row>
    <row r="237" spans="1:11" ht="15" hidden="1" customHeight="1" outlineLevel="2">
      <c r="A237">
        <v>0.7</v>
      </c>
      <c r="B237" s="287">
        <v>-7.9021921140809409E-5</v>
      </c>
      <c r="C237" s="331"/>
      <c r="D237" s="287"/>
      <c r="E237" s="287"/>
      <c r="F237" s="287"/>
      <c r="G237" s="287"/>
      <c r="H237" s="287"/>
      <c r="I237" s="287"/>
      <c r="J237" s="287"/>
      <c r="K237" s="287"/>
    </row>
    <row r="238" spans="1:11" ht="15" hidden="1" customHeight="1" outlineLevel="2">
      <c r="A238">
        <v>1</v>
      </c>
      <c r="B238" s="287">
        <v>-5.1877556177959536E-4</v>
      </c>
      <c r="C238" s="331"/>
      <c r="D238" s="287"/>
      <c r="E238" s="287"/>
      <c r="F238" s="287"/>
      <c r="G238" s="287"/>
      <c r="H238" s="287"/>
      <c r="I238" s="287"/>
      <c r="J238" s="287"/>
      <c r="K238" s="287"/>
    </row>
    <row r="239" spans="1:11" ht="15" hidden="1" customHeight="1" outlineLevel="2">
      <c r="A239">
        <v>1.5</v>
      </c>
      <c r="B239" s="287">
        <v>-3.1795765043958875E-4</v>
      </c>
      <c r="C239" s="331"/>
      <c r="D239" s="287"/>
      <c r="E239" s="287"/>
      <c r="F239" s="287"/>
      <c r="G239" s="287"/>
      <c r="H239" s="287"/>
      <c r="I239" s="287"/>
      <c r="J239" s="287"/>
      <c r="K239" s="287"/>
    </row>
    <row r="240" spans="1:11" ht="15" hidden="1" customHeight="1" outlineLevel="2">
      <c r="A240">
        <v>2</v>
      </c>
      <c r="B240" s="287">
        <v>-6.841359360843149E-5</v>
      </c>
      <c r="C240" s="331"/>
      <c r="D240" s="287"/>
      <c r="E240" s="287"/>
      <c r="F240" s="287"/>
      <c r="G240" s="287"/>
      <c r="H240" s="287"/>
      <c r="I240" s="287"/>
      <c r="J240" s="287"/>
      <c r="K240" s="287"/>
    </row>
    <row r="241" spans="1:11" ht="15" hidden="1" customHeight="1" outlineLevel="2">
      <c r="A241">
        <v>3</v>
      </c>
      <c r="B241" s="287">
        <v>-1.795482812258461E-5</v>
      </c>
      <c r="C241" s="331"/>
      <c r="D241" s="287"/>
      <c r="E241" s="287"/>
      <c r="F241" s="287"/>
      <c r="G241" s="287"/>
      <c r="H241" s="287"/>
      <c r="I241" s="287"/>
      <c r="J241" s="287"/>
      <c r="K241" s="287"/>
    </row>
    <row r="242" spans="1:11" ht="15" hidden="1" customHeight="1" outlineLevel="2">
      <c r="A242">
        <v>5</v>
      </c>
      <c r="B242" s="287">
        <v>-4.5829625651869788E-6</v>
      </c>
      <c r="C242" s="331"/>
      <c r="D242" s="287"/>
      <c r="E242" s="287"/>
      <c r="F242" s="287"/>
      <c r="G242" s="287"/>
      <c r="H242" s="287"/>
      <c r="I242" s="287"/>
      <c r="J242" s="287"/>
      <c r="K242" s="287"/>
    </row>
    <row r="243" spans="1:11" ht="15" hidden="1" customHeight="1" outlineLevel="1" collapsed="1"/>
    <row r="244" spans="1:11" ht="15" hidden="1" customHeight="1" outlineLevel="1">
      <c r="A244" s="289" t="s">
        <v>525</v>
      </c>
      <c r="B244" s="191">
        <f>(B190*B192)/B230</f>
        <v>0.301875173272315</v>
      </c>
      <c r="C244" s="316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2">
      <c r="A245">
        <v>0.06</v>
      </c>
      <c r="B245" s="191">
        <v>0.42414518635482801</v>
      </c>
    </row>
    <row r="246" spans="1:11" ht="15" hidden="1" customHeight="1" outlineLevel="2">
      <c r="A246">
        <v>0.1</v>
      </c>
      <c r="B246" s="191">
        <v>0.42551395211156007</v>
      </c>
    </row>
    <row r="247" spans="1:11" ht="15" hidden="1" customHeight="1" outlineLevel="2">
      <c r="A247">
        <v>0.3</v>
      </c>
      <c r="B247" s="191">
        <v>0.4438239208910964</v>
      </c>
    </row>
    <row r="248" spans="1:11" ht="15" hidden="1" customHeight="1" outlineLevel="2">
      <c r="A248">
        <v>0.5</v>
      </c>
      <c r="B248" s="191">
        <v>0.48887831097616802</v>
      </c>
    </row>
    <row r="249" spans="1:11" ht="15" hidden="1" customHeight="1" outlineLevel="2">
      <c r="A249">
        <v>0.7</v>
      </c>
      <c r="B249" s="191">
        <v>0.59285203359655836</v>
      </c>
    </row>
    <row r="250" spans="1:11" ht="15" hidden="1" customHeight="1" outlineLevel="2">
      <c r="A250">
        <v>1</v>
      </c>
      <c r="B250" s="191">
        <v>6.7184169910531475</v>
      </c>
    </row>
    <row r="251" spans="1:11" ht="15" hidden="1" customHeight="1" outlineLevel="2">
      <c r="A251">
        <v>1.5</v>
      </c>
      <c r="B251" s="191">
        <v>0.85194189942741982</v>
      </c>
    </row>
    <row r="252" spans="1:11" ht="15" hidden="1" customHeight="1" outlineLevel="2">
      <c r="A252">
        <v>2</v>
      </c>
      <c r="B252" s="191">
        <v>0.54992613140311863</v>
      </c>
    </row>
    <row r="253" spans="1:11" ht="15" hidden="1" customHeight="1" outlineLevel="2">
      <c r="A253">
        <v>3</v>
      </c>
      <c r="B253" s="191">
        <v>0.33675960454009318</v>
      </c>
    </row>
    <row r="254" spans="1:11" ht="15" hidden="1" customHeight="1" outlineLevel="2">
      <c r="A254">
        <v>5</v>
      </c>
      <c r="B254" s="191">
        <v>0.19442824833341479</v>
      </c>
    </row>
    <row r="255" spans="1:11" ht="15" hidden="1" customHeight="1" outlineLevel="1" collapsed="1"/>
    <row r="256" spans="1:11" ht="15" hidden="1" customHeight="1" outlineLevel="1"/>
    <row r="257" spans="1:13" s="97" customFormat="1" ht="14.25" customHeight="1" collapsed="1">
      <c r="A257" s="315" t="s">
        <v>610</v>
      </c>
      <c r="B257" s="314"/>
      <c r="C257" s="321"/>
      <c r="D257" s="314"/>
      <c r="E257" s="314"/>
      <c r="F257" s="314"/>
      <c r="G257" s="314"/>
      <c r="H257" s="314"/>
      <c r="I257" s="314"/>
      <c r="J257" s="314"/>
      <c r="K257" s="314"/>
      <c r="M257" s="333"/>
    </row>
    <row r="258" spans="1:13" ht="15" customHeight="1" thickBot="1"/>
    <row r="259" spans="1:13" ht="15" customHeight="1" thickBot="1">
      <c r="A259" s="303" t="s">
        <v>561</v>
      </c>
    </row>
    <row r="260" spans="1:13" ht="15" customHeight="1">
      <c r="A260" t="s">
        <v>353</v>
      </c>
      <c r="B260" s="191">
        <f t="shared" ref="B260" si="100">DiameterRocket</f>
        <v>8</v>
      </c>
    </row>
    <row r="261" spans="1:13" ht="15" customHeight="1">
      <c r="A261" t="s">
        <v>354</v>
      </c>
      <c r="B261" s="191">
        <f t="shared" ref="B261" si="101">B260/100</f>
        <v>0.08</v>
      </c>
    </row>
    <row r="262" spans="1:13" ht="15" customHeight="1">
      <c r="A262" s="305" t="s">
        <v>574</v>
      </c>
      <c r="B262" s="261">
        <v>30</v>
      </c>
    </row>
    <row r="263" spans="1:13" ht="15" customHeight="1">
      <c r="A263" t="s">
        <v>356</v>
      </c>
      <c r="B263" s="191">
        <f>B262/100</f>
        <v>0.3</v>
      </c>
    </row>
    <row r="264" spans="1:13" ht="15" customHeight="1">
      <c r="A264" t="s">
        <v>569</v>
      </c>
      <c r="B264" s="191">
        <f>B262/B260</f>
        <v>3.75</v>
      </c>
    </row>
    <row r="265" spans="1:13" ht="15" customHeight="1">
      <c r="A265" s="305" t="s">
        <v>570</v>
      </c>
      <c r="B265" s="191">
        <v>120</v>
      </c>
    </row>
    <row r="266" spans="1:13" ht="15" customHeight="1">
      <c r="A266" t="s">
        <v>356</v>
      </c>
      <c r="B266" s="191">
        <f>B265/100</f>
        <v>1.2</v>
      </c>
    </row>
    <row r="267" spans="1:13" ht="15" customHeight="1">
      <c r="A267" s="305" t="s">
        <v>571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05" t="s">
        <v>572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04" t="s">
        <v>573</v>
      </c>
      <c r="B271" s="191">
        <f>B262+B265+B267</f>
        <v>150</v>
      </c>
    </row>
    <row r="272" spans="1:13" ht="15" customHeight="1">
      <c r="A272" t="s">
        <v>356</v>
      </c>
      <c r="B272" s="191">
        <f>B271/100</f>
        <v>1.5</v>
      </c>
    </row>
    <row r="273" spans="1:2" ht="15" customHeight="1">
      <c r="A273" t="s">
        <v>601</v>
      </c>
      <c r="B273" s="191">
        <f t="shared" ref="B273" si="102">CrossSecAreaRocket</f>
        <v>5.0265482457436689E-3</v>
      </c>
    </row>
    <row r="275" spans="1:2" ht="15" customHeight="1">
      <c r="A275" s="265" t="s">
        <v>373</v>
      </c>
    </row>
    <row r="276" spans="1:2" ht="15" customHeight="1">
      <c r="A276" t="s">
        <v>611</v>
      </c>
      <c r="B276" s="186">
        <f>(B20*B3*B271)/B23</f>
        <v>1695281468.7357903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171.40568390848762</v>
      </c>
    </row>
    <row r="280" spans="1:2" ht="15" customHeight="1">
      <c r="A280" s="272" t="s">
        <v>495</v>
      </c>
      <c r="B280" s="278">
        <f>B292</f>
        <v>3.4737397769582792</v>
      </c>
    </row>
    <row r="281" spans="1:2" ht="15" hidden="1" customHeight="1" outlineLevel="1">
      <c r="A281" s="271" t="s">
        <v>527</v>
      </c>
      <c r="B281" s="191">
        <f>B271/$A286</f>
        <v>30</v>
      </c>
    </row>
    <row r="282" spans="1:2" ht="15" hidden="1" customHeight="1" outlineLevel="1">
      <c r="A282">
        <v>1</v>
      </c>
      <c r="B282" s="186">
        <f>(B$20*B$3*($A282*B$281))/B$23</f>
        <v>339056293.74715805</v>
      </c>
    </row>
    <row r="283" spans="1:2" ht="15" hidden="1" customHeight="1" outlineLevel="1">
      <c r="A283">
        <v>2</v>
      </c>
      <c r="B283" s="186">
        <f>(B$20*B$3*($A283*B$281))/B$23</f>
        <v>678112587.4943161</v>
      </c>
    </row>
    <row r="284" spans="1:2" ht="15" hidden="1" customHeight="1" outlineLevel="1">
      <c r="A284">
        <v>3</v>
      </c>
      <c r="B284" s="186">
        <f>(B$20*B$3*($A284*B$281))/B$23</f>
        <v>1017168881.2414742</v>
      </c>
    </row>
    <row r="285" spans="1:2" ht="15" hidden="1" customHeight="1" outlineLevel="1">
      <c r="A285">
        <v>4</v>
      </c>
      <c r="B285" s="186">
        <f>(B$20*B$3*($A285*B$281))/B$23</f>
        <v>1356225174.9886322</v>
      </c>
    </row>
    <row r="286" spans="1:2" ht="15" hidden="1" customHeight="1" outlineLevel="1">
      <c r="A286">
        <v>5</v>
      </c>
      <c r="B286" s="186">
        <f>(B$20*B$3*($A286*B$281))/B$23</f>
        <v>1695281468.7357903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4.0803205453735458</v>
      </c>
    </row>
    <row r="289" spans="1:2" ht="15" hidden="1" customHeight="1" outlineLevel="1">
      <c r="A289">
        <v>2</v>
      </c>
      <c r="B289" s="186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6">
        <f t="shared" si="103"/>
        <v>3.6557977114895004</v>
      </c>
    </row>
    <row r="291" spans="1:2" ht="15" hidden="1" customHeight="1" outlineLevel="1">
      <c r="A291">
        <v>4</v>
      </c>
      <c r="B291" s="186">
        <f t="shared" si="103"/>
        <v>3.5521253492036875</v>
      </c>
    </row>
    <row r="292" spans="1:2" ht="15" hidden="1" customHeight="1" outlineLevel="1">
      <c r="A292">
        <v>5</v>
      </c>
      <c r="B292" s="186">
        <f t="shared" si="103"/>
        <v>3.4737397769582792</v>
      </c>
    </row>
    <row r="293" spans="1:2" ht="15" customHeight="1" collapsed="1">
      <c r="A293" s="272" t="s">
        <v>494</v>
      </c>
      <c r="B293" s="278">
        <f>B299</f>
        <v>3.4343897581788925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4.0340992679044092</v>
      </c>
    </row>
    <row r="296" spans="1:2" ht="15" hidden="1" customHeight="1" outlineLevel="1">
      <c r="A296">
        <v>2</v>
      </c>
      <c r="B296" s="186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6">
        <f t="shared" si="104"/>
        <v>3.6143853669163799</v>
      </c>
    </row>
    <row r="298" spans="1:2" ht="15" hidden="1" customHeight="1" outlineLevel="1">
      <c r="A298">
        <v>4</v>
      </c>
      <c r="B298" s="186">
        <f t="shared" si="104"/>
        <v>3.5118873900666636</v>
      </c>
    </row>
    <row r="299" spans="1:2" ht="15" hidden="1" customHeight="1" outlineLevel="1">
      <c r="A299">
        <v>5</v>
      </c>
      <c r="B299" s="186">
        <f t="shared" si="104"/>
        <v>3.4343897581788925</v>
      </c>
    </row>
    <row r="300" spans="1:2" ht="15" customHeight="1" collapsed="1"/>
    <row r="301" spans="1:2" ht="15" customHeight="1">
      <c r="A301" s="267" t="s">
        <v>674</v>
      </c>
      <c r="B301" s="191">
        <f>B8*B7*B302</f>
        <v>24.290672238575272</v>
      </c>
    </row>
    <row r="302" spans="1:2" ht="15" customHeight="1">
      <c r="A302" s="305" t="s">
        <v>580</v>
      </c>
      <c r="B302" s="308">
        <f>B304*B303+(4/PI())*(B265/B260)*B306*B310</f>
        <v>0.27292856979605018</v>
      </c>
    </row>
    <row r="303" spans="1:2" ht="15" customHeight="1">
      <c r="A303" t="s">
        <v>588</v>
      </c>
      <c r="B303" s="191">
        <f>SIN(RADIANS(B13))*COS(RADIANS(B13))</f>
        <v>8.6824088833465166E-2</v>
      </c>
    </row>
    <row r="304" spans="1:2" ht="15" customHeight="1">
      <c r="A304" t="s">
        <v>583</v>
      </c>
      <c r="B304" s="191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579</v>
      </c>
      <c r="B305" s="191">
        <f>0.5 *(4*(B264^2)-1)</f>
        <v>27.625</v>
      </c>
    </row>
    <row r="306" spans="1:2" ht="15" customHeight="1">
      <c r="A306" t="s">
        <v>581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584</v>
      </c>
      <c r="B307" s="191">
        <f>0.5*(B308*B309-B305)</f>
        <v>0.66903105243725491</v>
      </c>
    </row>
    <row r="308" spans="1:2" ht="15" customHeight="1">
      <c r="A308" t="s">
        <v>585</v>
      </c>
      <c r="B308" s="191">
        <f>((B305+1)^2)/(SQRT(2*B305+1))</f>
        <v>109.25208333333333</v>
      </c>
    </row>
    <row r="309" spans="1:2" ht="15" customHeight="1">
      <c r="A309" t="s">
        <v>586</v>
      </c>
      <c r="B309" s="191">
        <f>ASIN((SQRT(2*B305+1))/(B305+1))</f>
        <v>0.26510306459334804</v>
      </c>
    </row>
    <row r="310" spans="1:2" ht="15" customHeight="1">
      <c r="A310" t="s">
        <v>587</v>
      </c>
      <c r="B310" s="191">
        <f>B309*(B262/B271)+(B267+B265)/B271</f>
        <v>0.85302061291866971</v>
      </c>
    </row>
    <row r="312" spans="1:2" ht="15" customHeight="1">
      <c r="A312" s="267" t="s">
        <v>600</v>
      </c>
      <c r="B312" s="191">
        <f>B313-B315</f>
        <v>-73.362903908042213</v>
      </c>
    </row>
    <row r="313" spans="1:2" ht="15" customHeight="1">
      <c r="A313" t="s">
        <v>599</v>
      </c>
      <c r="B313" s="191">
        <f>B314*B262</f>
        <v>13.98</v>
      </c>
    </row>
    <row r="314" spans="1:2" ht="15" customHeight="1">
      <c r="A314" t="s">
        <v>595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591</v>
      </c>
      <c r="B315" s="191">
        <f>(B271/2)*B318</f>
        <v>87.342903908042217</v>
      </c>
    </row>
    <row r="316" spans="1:2" ht="15" customHeight="1">
      <c r="A316" t="s">
        <v>590</v>
      </c>
      <c r="B316" s="191">
        <f>(1/B307)*(B308*B309-B317)</f>
        <v>1.2482217960875066</v>
      </c>
    </row>
    <row r="317" spans="1:2" ht="15" customHeight="1">
      <c r="A317" t="s">
        <v>586</v>
      </c>
      <c r="B317" s="191">
        <f>(2/(2*B305+1))*(B305^2+B305+1/3)</f>
        <v>28.127962962962965</v>
      </c>
    </row>
    <row r="318" spans="1:2" ht="15" customHeight="1">
      <c r="A318" t="s">
        <v>589</v>
      </c>
      <c r="B318" s="191">
        <f>(1/B310)*(B319+B320+B321+B322-B323)</f>
        <v>1.1645720521072296</v>
      </c>
    </row>
    <row r="319" spans="1:2" ht="15" customHeight="1">
      <c r="A319" t="s">
        <v>585</v>
      </c>
      <c r="B319" s="191">
        <f>B307*B316*((B262/B271)^2)</f>
        <v>3.3403965676461811E-2</v>
      </c>
    </row>
    <row r="320" spans="1:2" ht="15" customHeight="1">
      <c r="A320" t="s">
        <v>586</v>
      </c>
      <c r="B320" s="191">
        <f>(B265/B271)^2</f>
        <v>0.64000000000000012</v>
      </c>
    </row>
    <row r="321" spans="1:2" ht="15" customHeight="1">
      <c r="A321" t="s">
        <v>592</v>
      </c>
      <c r="B321" s="191">
        <f>2*(B265*B262)/B271^2</f>
        <v>0.32</v>
      </c>
    </row>
    <row r="322" spans="1:2" ht="15" customHeight="1">
      <c r="A322" t="s">
        <v>593</v>
      </c>
      <c r="B322" s="191">
        <f>2*(B267/B271)</f>
        <v>0</v>
      </c>
    </row>
    <row r="323" spans="1:2" ht="15" customHeight="1">
      <c r="A323" t="s">
        <v>594</v>
      </c>
      <c r="B323" s="191">
        <f>(B267/B271)^2</f>
        <v>0</v>
      </c>
    </row>
    <row r="325" spans="1:2" ht="15" customHeight="1">
      <c r="A325" s="306" t="s">
        <v>576</v>
      </c>
    </row>
    <row r="326" spans="1:2" ht="15" customHeight="1">
      <c r="A326" s="266" t="s">
        <v>582</v>
      </c>
    </row>
    <row r="327" spans="1:2" ht="15" hidden="1" customHeight="1" outlineLevel="1">
      <c r="A327" t="s">
        <v>578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07" t="s">
        <v>577</v>
      </c>
      <c r="B353" s="307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07" t="s">
        <v>577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577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04" t="s">
        <v>596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4" t="s">
        <v>597</v>
      </c>
      <c r="B440" s="304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598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602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603</v>
      </c>
    </row>
    <row r="501" spans="1:2" ht="15" hidden="1" customHeight="1" outlineLevel="1">
      <c r="A501">
        <v>0</v>
      </c>
      <c r="B501" s="191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08">
        <f>(B499-B493)/(RADIANS(A499-A493))</f>
        <v>2.6165447807264344</v>
      </c>
    </row>
    <row r="508" spans="1:2" ht="15" hidden="1" customHeight="1" outlineLevel="1">
      <c r="A508" s="312" t="s">
        <v>605</v>
      </c>
      <c r="B508" s="313">
        <f>(B496-B493)/(RADIANS(A496-A493))</f>
        <v>2.9120776693435939</v>
      </c>
    </row>
    <row r="509" spans="1:2" ht="15" hidden="1" customHeight="1" outlineLevel="1">
      <c r="A509" s="309" t="s">
        <v>608</v>
      </c>
      <c r="B509" s="308">
        <f>(B499-B496)/(RADIANS(A499-A496))</f>
        <v>2.3210118921092744</v>
      </c>
    </row>
    <row r="510" spans="1:2" ht="15" hidden="1" customHeight="1" outlineLevel="1">
      <c r="A510" t="s">
        <v>604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0.33222985333585608</v>
      </c>
    </row>
    <row r="513" spans="1:2" ht="15" hidden="1" customHeight="1" outlineLevel="1">
      <c r="A513">
        <v>10</v>
      </c>
      <c r="B513" s="191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1">
        <f t="shared" si="106"/>
        <v>0.99668956000756825</v>
      </c>
    </row>
    <row r="515" spans="1:2" ht="15" hidden="1" customHeight="1" outlineLevel="1">
      <c r="A515">
        <v>20</v>
      </c>
      <c r="B515" s="191">
        <f t="shared" si="106"/>
        <v>1.3289194133434243</v>
      </c>
    </row>
    <row r="516" spans="1:2" ht="15" hidden="1" customHeight="1" outlineLevel="1">
      <c r="A516">
        <v>25</v>
      </c>
      <c r="B516" s="191">
        <f t="shared" si="106"/>
        <v>1.6611492666792806</v>
      </c>
    </row>
    <row r="517" spans="1:2" ht="15" hidden="1" customHeight="1" outlineLevel="1">
      <c r="A517">
        <v>30</v>
      </c>
      <c r="B517" s="191">
        <f t="shared" si="106"/>
        <v>1.9933791200151365</v>
      </c>
    </row>
    <row r="518" spans="1:2" ht="15" hidden="1" customHeight="1" outlineLevel="1">
      <c r="A518" t="s">
        <v>606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1">
        <f t="shared" si="107"/>
        <v>0.63805706852365507</v>
      </c>
    </row>
    <row r="522" spans="1:2" ht="15" hidden="1" customHeight="1" outlineLevel="1">
      <c r="A522">
        <v>15</v>
      </c>
      <c r="B522" s="191">
        <f t="shared" si="107"/>
        <v>0.9570856027854826</v>
      </c>
    </row>
    <row r="523" spans="1:2" ht="15" hidden="1" customHeight="1" outlineLevel="1">
      <c r="A523" s="310" t="s">
        <v>607</v>
      </c>
      <c r="B523" s="311"/>
    </row>
    <row r="524" spans="1:2" ht="15" hidden="1" customHeight="1" outlineLevel="1">
      <c r="A524" s="310">
        <v>15</v>
      </c>
      <c r="B524" s="311">
        <f>B$291*RADIANS(A524)</f>
        <v>0.92994424180736523</v>
      </c>
    </row>
    <row r="525" spans="1:2" ht="15" hidden="1" customHeight="1" outlineLevel="1">
      <c r="A525" s="310">
        <v>20</v>
      </c>
      <c r="B525" s="311">
        <f t="shared" ref="B525:B527" si="108">B$291*RADIANS(A525)</f>
        <v>1.2399256557431537</v>
      </c>
    </row>
    <row r="526" spans="1:2" ht="15" hidden="1" customHeight="1" outlineLevel="1">
      <c r="A526" s="310">
        <v>25</v>
      </c>
      <c r="B526" s="311">
        <f t="shared" si="108"/>
        <v>1.5499070696789421</v>
      </c>
    </row>
    <row r="527" spans="1:2" ht="15" hidden="1" customHeight="1" outlineLevel="1">
      <c r="A527" s="310">
        <v>30</v>
      </c>
      <c r="B527" s="311">
        <f t="shared" si="108"/>
        <v>1.8598884836147305</v>
      </c>
    </row>
    <row r="528" spans="1:2" ht="15" customHeight="1" collapsed="1"/>
    <row r="529" spans="1:26" ht="15" customHeight="1">
      <c r="A529" t="s">
        <v>609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15" t="s">
        <v>620</v>
      </c>
      <c r="B540" s="314"/>
      <c r="C540" s="321"/>
      <c r="D540" s="314"/>
      <c r="E540" s="314"/>
      <c r="F540" s="314"/>
      <c r="G540" s="314"/>
      <c r="H540" s="314"/>
      <c r="I540" s="314"/>
      <c r="J540" s="314"/>
      <c r="K540" s="314"/>
      <c r="M540" s="333"/>
    </row>
    <row r="542" spans="1:26" ht="15" customHeight="1" thickBot="1">
      <c r="A542" t="s">
        <v>617</v>
      </c>
      <c r="B542" s="191">
        <v>15</v>
      </c>
      <c r="N542" t="s">
        <v>252</v>
      </c>
      <c r="R542" t="s">
        <v>627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42" t="s">
        <v>626</v>
      </c>
      <c r="S543" s="342" t="s">
        <v>628</v>
      </c>
      <c r="T543" s="342" t="s">
        <v>629</v>
      </c>
      <c r="U543" s="342" t="s">
        <v>630</v>
      </c>
      <c r="W543" s="30" t="s">
        <v>634</v>
      </c>
      <c r="X543" s="342" t="s">
        <v>671</v>
      </c>
      <c r="Z543" t="s">
        <v>632</v>
      </c>
    </row>
    <row r="544" spans="1:26" ht="15" customHeight="1">
      <c r="A544" s="266" t="s">
        <v>616</v>
      </c>
      <c r="B544" s="191">
        <f>B271-B542</f>
        <v>135</v>
      </c>
      <c r="N544" s="34" t="s">
        <v>275</v>
      </c>
      <c r="O544" s="30" t="s">
        <v>276</v>
      </c>
      <c r="P544" s="35" t="s">
        <v>277</v>
      </c>
      <c r="R544" s="342" t="s">
        <v>635</v>
      </c>
      <c r="S544" s="342" t="s">
        <v>636</v>
      </c>
      <c r="T544" s="342" t="s">
        <v>637</v>
      </c>
      <c r="U544" s="342" t="s">
        <v>638</v>
      </c>
      <c r="W544" s="30" t="s">
        <v>644</v>
      </c>
      <c r="X544" s="342" t="s">
        <v>672</v>
      </c>
      <c r="Z544" t="s">
        <v>631</v>
      </c>
    </row>
    <row r="545" spans="1:26" ht="15" customHeight="1" thickBot="1">
      <c r="A545" s="271" t="s">
        <v>356</v>
      </c>
      <c r="B545" s="191">
        <f>B544/100</f>
        <v>1.35</v>
      </c>
      <c r="N545" s="36" t="s">
        <v>280</v>
      </c>
      <c r="O545" s="37" t="s">
        <v>277</v>
      </c>
      <c r="P545" s="38" t="s">
        <v>281</v>
      </c>
      <c r="R545" s="342" t="s">
        <v>639</v>
      </c>
      <c r="S545" s="342" t="s">
        <v>640</v>
      </c>
      <c r="T545" s="342" t="s">
        <v>641</v>
      </c>
      <c r="U545" s="342" t="s">
        <v>642</v>
      </c>
      <c r="W545" s="30" t="s">
        <v>645</v>
      </c>
      <c r="X545" s="342" t="s">
        <v>673</v>
      </c>
      <c r="Z545" s="340" t="s">
        <v>633</v>
      </c>
    </row>
    <row r="546" spans="1:26" ht="15" customHeight="1">
      <c r="N546" s="339"/>
      <c r="O546" s="339"/>
      <c r="P546" s="339"/>
      <c r="R546" s="338">
        <v>0</v>
      </c>
      <c r="S546" s="338">
        <v>0</v>
      </c>
      <c r="T546" s="343" t="s">
        <v>643</v>
      </c>
      <c r="U546" s="338">
        <v>0</v>
      </c>
      <c r="W546" s="338">
        <v>0</v>
      </c>
      <c r="X546" s="338">
        <v>0</v>
      </c>
    </row>
    <row r="547" spans="1:26" ht="15" customHeight="1">
      <c r="A547" t="s">
        <v>618</v>
      </c>
      <c r="N547" s="338"/>
      <c r="O547" s="338"/>
      <c r="P547" s="338"/>
    </row>
    <row r="548" spans="1:26" ht="15" customHeight="1">
      <c r="A548" t="s">
        <v>622</v>
      </c>
      <c r="N548" s="338"/>
      <c r="O548" s="338"/>
      <c r="P548" s="338"/>
      <c r="R548" s="338"/>
      <c r="S548" s="338"/>
      <c r="T548" s="338"/>
      <c r="U548" s="338"/>
      <c r="W548" s="338"/>
    </row>
    <row r="549" spans="1:26" ht="15" customHeight="1">
      <c r="A549" t="s">
        <v>621</v>
      </c>
      <c r="R549" s="338"/>
      <c r="S549" s="338"/>
      <c r="T549" s="338"/>
      <c r="U549" s="338"/>
      <c r="W549" s="338"/>
    </row>
    <row r="550" spans="1:26" ht="15" customHeight="1">
      <c r="A550" t="s">
        <v>619</v>
      </c>
      <c r="R550" s="338"/>
      <c r="S550" s="338"/>
      <c r="T550" s="338"/>
      <c r="U550" s="338"/>
      <c r="W550" s="338"/>
    </row>
    <row r="551" spans="1:26" ht="15" customHeight="1">
      <c r="A551" t="s">
        <v>356</v>
      </c>
      <c r="R551" s="338"/>
      <c r="S551" s="338"/>
      <c r="T551" s="338"/>
      <c r="U551" s="338"/>
      <c r="W551" s="338"/>
    </row>
    <row r="552" spans="1:26" ht="15" customHeight="1">
      <c r="A552" t="s">
        <v>624</v>
      </c>
    </row>
    <row r="553" spans="1:26" ht="15" customHeight="1">
      <c r="A553" t="s">
        <v>356</v>
      </c>
    </row>
    <row r="574" spans="28:28" ht="15" customHeight="1">
      <c r="AB574" t="s">
        <v>632</v>
      </c>
    </row>
    <row r="575" spans="28:28" ht="15" customHeight="1">
      <c r="AB575" s="341" t="s">
        <v>658</v>
      </c>
    </row>
    <row r="576" spans="28:28" ht="15" customHeight="1">
      <c r="AB576" t="s">
        <v>659</v>
      </c>
    </row>
    <row r="577" spans="14:28" ht="15" customHeight="1">
      <c r="AB577" t="s">
        <v>631</v>
      </c>
    </row>
    <row r="578" spans="14:28" ht="15" customHeight="1">
      <c r="AB578" s="340" t="s">
        <v>633</v>
      </c>
    </row>
    <row r="579" spans="14:28" ht="15" customHeight="1">
      <c r="N579" t="s">
        <v>646</v>
      </c>
    </row>
    <row r="581" spans="14:28" ht="15" customHeight="1">
      <c r="N581" s="338" t="s">
        <v>647</v>
      </c>
      <c r="O581" s="338" t="s">
        <v>650</v>
      </c>
      <c r="P581" s="338" t="s">
        <v>653</v>
      </c>
      <c r="Q581" s="338" t="s">
        <v>660</v>
      </c>
      <c r="R581" s="338" t="s">
        <v>661</v>
      </c>
      <c r="T581" s="338" t="s">
        <v>666</v>
      </c>
      <c r="U581" s="338">
        <v>0</v>
      </c>
    </row>
    <row r="582" spans="14:28" ht="15" customHeight="1">
      <c r="N582" s="338" t="s">
        <v>648</v>
      </c>
      <c r="O582" s="338" t="s">
        <v>651</v>
      </c>
      <c r="P582" s="338" t="s">
        <v>654</v>
      </c>
      <c r="Q582" s="338" t="s">
        <v>662</v>
      </c>
      <c r="R582" s="338" t="s">
        <v>664</v>
      </c>
      <c r="T582" s="338" t="s">
        <v>667</v>
      </c>
      <c r="U582" s="338" t="s">
        <v>669</v>
      </c>
    </row>
    <row r="583" spans="14:28" ht="15" customHeight="1">
      <c r="N583" s="338" t="s">
        <v>649</v>
      </c>
      <c r="O583" s="338" t="s">
        <v>652</v>
      </c>
      <c r="P583" s="338" t="s">
        <v>655</v>
      </c>
      <c r="Q583" s="338" t="s">
        <v>663</v>
      </c>
      <c r="R583" s="338" t="s">
        <v>665</v>
      </c>
      <c r="T583" s="338" t="s">
        <v>668</v>
      </c>
      <c r="U583" s="338" t="s">
        <v>670</v>
      </c>
    </row>
    <row r="584" spans="14:28" ht="15" customHeight="1">
      <c r="N584" s="338">
        <v>0</v>
      </c>
      <c r="O584" s="338">
        <v>1</v>
      </c>
      <c r="P584" s="338" t="s">
        <v>656</v>
      </c>
      <c r="Q584" s="338">
        <v>0</v>
      </c>
      <c r="R584" s="338">
        <v>0</v>
      </c>
      <c r="T584" s="338">
        <v>0</v>
      </c>
      <c r="U584" s="338">
        <v>0</v>
      </c>
    </row>
    <row r="585" spans="14:28" ht="15" customHeight="1">
      <c r="N585" s="338">
        <v>0</v>
      </c>
      <c r="O585" s="338">
        <v>0</v>
      </c>
      <c r="P585" s="338" t="s">
        <v>657</v>
      </c>
      <c r="Q585" s="338">
        <v>0</v>
      </c>
      <c r="R585" s="338">
        <v>0</v>
      </c>
      <c r="T585" s="338">
        <v>0</v>
      </c>
      <c r="U585" s="338">
        <v>0</v>
      </c>
    </row>
    <row r="587" spans="14:28" ht="15" customHeight="1">
      <c r="N587" s="338"/>
      <c r="O587" s="338"/>
      <c r="P587" s="338"/>
      <c r="Q587" s="338"/>
      <c r="R587" s="338"/>
      <c r="T587" s="338"/>
      <c r="U587" s="338"/>
    </row>
    <row r="588" spans="14:28" ht="15" customHeight="1">
      <c r="N588" s="338"/>
      <c r="O588" s="338"/>
      <c r="P588" s="338"/>
      <c r="Q588" s="338"/>
      <c r="R588" s="338"/>
      <c r="T588" s="338"/>
      <c r="U588" s="338"/>
    </row>
    <row r="589" spans="14:28" ht="15" customHeight="1">
      <c r="N589" s="338"/>
      <c r="O589" s="338"/>
      <c r="P589" s="338"/>
      <c r="Q589" s="338"/>
      <c r="R589" s="338"/>
      <c r="T589" s="338"/>
      <c r="U589" s="338"/>
    </row>
    <row r="590" spans="14:28" ht="15" customHeight="1">
      <c r="N590" s="338"/>
      <c r="O590" s="338"/>
      <c r="P590" s="338"/>
      <c r="Q590" s="338"/>
      <c r="R590" s="338"/>
      <c r="T590" s="338"/>
      <c r="U590" s="338"/>
    </row>
    <row r="591" spans="14:28" ht="15" customHeight="1">
      <c r="N591" s="338"/>
      <c r="O591" s="338"/>
      <c r="P591" s="338"/>
      <c r="Q591" s="338"/>
      <c r="R591" s="338"/>
      <c r="T591" s="338"/>
      <c r="U591" s="338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50" activePane="bottomLeft" state="frozen"/>
      <selection pane="bottomLeft" activeCell="E69" sqref="E69"/>
    </sheetView>
  </sheetViews>
  <sheetFormatPr defaultColWidth="9.125" defaultRowHeight="14.25"/>
  <cols>
    <col min="1" max="1" width="21.625" style="404" customWidth="1"/>
    <col min="2" max="4" width="9.375" style="279" customWidth="1"/>
    <col min="5" max="5" width="12.5" style="279" customWidth="1"/>
    <col min="6" max="6" width="13.375" style="279" bestFit="1" customWidth="1"/>
    <col min="7" max="7" width="9.375" style="279" customWidth="1"/>
    <col min="8" max="8" width="13.375" style="279" bestFit="1" customWidth="1"/>
    <col min="9" max="9" width="12.25" style="279" customWidth="1"/>
    <col min="10" max="12" width="9.375" style="279" customWidth="1"/>
    <col min="14" max="14" width="17.125" customWidth="1"/>
  </cols>
  <sheetData>
    <row r="1" spans="1:14" ht="45">
      <c r="A1" s="403" t="s">
        <v>505</v>
      </c>
      <c r="B1" s="279">
        <v>0.06</v>
      </c>
      <c r="C1" s="279">
        <v>0.1</v>
      </c>
      <c r="D1" s="279">
        <v>0.3</v>
      </c>
      <c r="E1" s="279">
        <v>0.5</v>
      </c>
      <c r="F1" s="279">
        <v>0.7</v>
      </c>
      <c r="G1" s="279">
        <v>0.85</v>
      </c>
      <c r="H1" s="279">
        <v>1</v>
      </c>
      <c r="I1" s="279">
        <v>1.5</v>
      </c>
      <c r="J1" s="279">
        <v>2</v>
      </c>
      <c r="K1" s="279">
        <v>3</v>
      </c>
      <c r="L1" s="279">
        <v>5</v>
      </c>
    </row>
    <row r="2" spans="1:14" ht="28.5">
      <c r="A2" s="404" t="s">
        <v>526</v>
      </c>
      <c r="B2" s="279">
        <f t="shared" ref="B2:L2" si="0">B1*$O$22</f>
        <v>20.435320012174994</v>
      </c>
      <c r="C2" s="279">
        <f t="shared" si="0"/>
        <v>34.058866686958332</v>
      </c>
      <c r="D2" s="279">
        <f t="shared" si="0"/>
        <v>102.17660006087497</v>
      </c>
      <c r="E2" s="279">
        <f t="shared" si="0"/>
        <v>170.29433343479164</v>
      </c>
      <c r="F2" s="279">
        <f t="shared" si="0"/>
        <v>238.41206680870829</v>
      </c>
      <c r="G2" s="279">
        <f t="shared" si="0"/>
        <v>289.50036683914578</v>
      </c>
      <c r="H2" s="279">
        <f t="shared" si="0"/>
        <v>340.58866686958328</v>
      </c>
      <c r="I2" s="279">
        <f t="shared" si="0"/>
        <v>510.88300030437495</v>
      </c>
      <c r="J2" s="279">
        <f t="shared" si="0"/>
        <v>681.17733373916656</v>
      </c>
      <c r="K2" s="279">
        <f t="shared" si="0"/>
        <v>1021.7660006087499</v>
      </c>
      <c r="L2" s="279">
        <f t="shared" si="0"/>
        <v>1702.9433343479163</v>
      </c>
      <c r="N2" t="s">
        <v>504</v>
      </c>
    </row>
    <row r="3" spans="1:14" ht="28.5">
      <c r="A3" s="404" t="s">
        <v>536</v>
      </c>
      <c r="B3" s="279">
        <f t="shared" ref="B3:L3" si="1">0.5*$O$25*B2^2</f>
        <v>255.57261004799989</v>
      </c>
      <c r="C3" s="279">
        <f t="shared" si="1"/>
        <v>709.92391680000003</v>
      </c>
      <c r="D3" s="279">
        <f t="shared" si="1"/>
        <v>6389.3152511999979</v>
      </c>
      <c r="E3" s="279">
        <f t="shared" si="1"/>
        <v>17748.097919999997</v>
      </c>
      <c r="F3" s="279">
        <f t="shared" si="1"/>
        <v>34786.271923199994</v>
      </c>
      <c r="G3" s="279">
        <f t="shared" si="1"/>
        <v>51292.002988799984</v>
      </c>
      <c r="H3" s="279">
        <f t="shared" si="1"/>
        <v>70992.391679999986</v>
      </c>
      <c r="I3" s="279">
        <f t="shared" si="1"/>
        <v>159732.88127999997</v>
      </c>
      <c r="J3" s="279">
        <f t="shared" si="1"/>
        <v>283969.56671999994</v>
      </c>
      <c r="K3" s="279">
        <f t="shared" si="1"/>
        <v>638931.52511999989</v>
      </c>
      <c r="L3" s="279">
        <f t="shared" si="1"/>
        <v>1774809.7919999994</v>
      </c>
    </row>
    <row r="4" spans="1:14">
      <c r="A4" s="404" t="s">
        <v>501</v>
      </c>
      <c r="B4" s="291"/>
      <c r="C4" s="291"/>
      <c r="D4" s="291"/>
      <c r="E4" s="291"/>
      <c r="F4" s="291"/>
      <c r="G4" s="291"/>
      <c r="H4" s="291"/>
      <c r="I4" s="291"/>
      <c r="J4" s="291"/>
      <c r="K4" s="291"/>
      <c r="L4" s="291"/>
    </row>
    <row r="5" spans="1:14">
      <c r="A5" s="404">
        <v>0</v>
      </c>
      <c r="B5" s="291">
        <v>7.8450769E-4</v>
      </c>
      <c r="C5">
        <v>3.1759599999999999E-2</v>
      </c>
      <c r="D5" s="291">
        <v>0.26043301000000002</v>
      </c>
      <c r="E5" s="291">
        <v>0.56825183999999995</v>
      </c>
      <c r="F5" s="291">
        <v>0.82876609000000001</v>
      </c>
      <c r="G5" s="291"/>
      <c r="H5" s="291">
        <v>5.2529211999999999E-3</v>
      </c>
      <c r="I5" s="291">
        <v>3.6308104999999999</v>
      </c>
      <c r="J5" s="291"/>
      <c r="K5" s="291"/>
      <c r="L5" s="291"/>
    </row>
    <row r="6" spans="1:14">
      <c r="A6" s="404">
        <v>5</v>
      </c>
      <c r="B6" s="291">
        <v>0.19458151000000001</v>
      </c>
      <c r="C6">
        <v>0.52755589000000003</v>
      </c>
      <c r="D6" s="291">
        <v>4.5966256000000003</v>
      </c>
      <c r="E6" s="291">
        <v>12.268511</v>
      </c>
      <c r="F6" s="291">
        <v>29.241693999999999</v>
      </c>
      <c r="G6" s="291"/>
      <c r="H6" s="291"/>
      <c r="I6" s="291"/>
      <c r="J6" s="291"/>
      <c r="K6" s="291"/>
      <c r="L6" s="291"/>
    </row>
    <row r="7" spans="1:14">
      <c r="A7" s="404">
        <v>10</v>
      </c>
      <c r="B7" s="291">
        <v>0.42862950999999999</v>
      </c>
      <c r="C7">
        <v>1.1841634999999999</v>
      </c>
      <c r="D7" s="291">
        <v>9.8018798999999994</v>
      </c>
      <c r="E7" s="291">
        <v>26.248533999999999</v>
      </c>
      <c r="F7" s="291">
        <v>64.390786000000006</v>
      </c>
      <c r="G7" s="291"/>
      <c r="H7" s="291"/>
      <c r="I7" s="291"/>
      <c r="J7" s="291"/>
      <c r="K7" s="291"/>
      <c r="L7" s="291"/>
    </row>
    <row r="8" spans="1:14">
      <c r="A8" s="404">
        <v>15</v>
      </c>
      <c r="B8" s="291">
        <v>0.79119804999999999</v>
      </c>
      <c r="C8">
        <v>2.1524812999999998</v>
      </c>
      <c r="D8" s="291">
        <v>17.881902</v>
      </c>
      <c r="E8" s="291">
        <v>47.922269999999997</v>
      </c>
      <c r="F8" s="291">
        <v>119.26938</v>
      </c>
      <c r="G8" s="291"/>
      <c r="H8" s="291"/>
      <c r="I8" s="291"/>
      <c r="J8" s="291"/>
      <c r="K8" s="291"/>
      <c r="L8" s="291"/>
    </row>
    <row r="9" spans="1:14">
      <c r="A9" s="404">
        <v>20</v>
      </c>
      <c r="B9" s="291">
        <v>1.2914511</v>
      </c>
      <c r="C9">
        <v>3.5853510000000002</v>
      </c>
      <c r="D9" s="291">
        <v>29.276669999999999</v>
      </c>
      <c r="E9" s="291">
        <v>78.625001999999995</v>
      </c>
      <c r="F9" s="291">
        <v>198.89642000000001</v>
      </c>
      <c r="G9" s="291"/>
      <c r="H9" s="291"/>
      <c r="I9" s="291"/>
      <c r="J9" s="291"/>
      <c r="K9" s="291"/>
      <c r="L9" s="291"/>
    </row>
    <row r="10" spans="1:14">
      <c r="A10" s="404">
        <v>25</v>
      </c>
      <c r="B10" s="291">
        <v>1.8725259999999999</v>
      </c>
      <c r="C10">
        <v>5.1210000999999998</v>
      </c>
      <c r="D10" s="291">
        <v>41.888305000000003</v>
      </c>
      <c r="E10" s="291">
        <v>113.86475</v>
      </c>
      <c r="F10" s="291">
        <v>293.72726</v>
      </c>
      <c r="G10" s="291"/>
      <c r="H10" s="291"/>
      <c r="I10" s="291"/>
      <c r="J10" s="291"/>
      <c r="K10" s="291"/>
      <c r="L10" s="291"/>
    </row>
    <row r="11" spans="1:14">
      <c r="A11" s="404">
        <v>30</v>
      </c>
      <c r="B11" s="291"/>
      <c r="C11" s="291"/>
      <c r="D11" s="291"/>
      <c r="E11" s="291"/>
      <c r="F11" s="291"/>
      <c r="G11" s="291"/>
      <c r="H11" s="291"/>
      <c r="I11" s="291"/>
      <c r="J11" s="291"/>
      <c r="K11" s="291"/>
      <c r="L11" s="291"/>
    </row>
    <row r="12" spans="1:14" ht="28.5">
      <c r="A12" s="404" t="s">
        <v>502</v>
      </c>
      <c r="B12" s="291"/>
      <c r="C12" s="291"/>
      <c r="D12" s="291"/>
      <c r="E12" s="291"/>
      <c r="F12" s="291"/>
      <c r="G12" s="291"/>
      <c r="H12" s="291"/>
      <c r="I12" s="291"/>
      <c r="J12" s="291"/>
      <c r="K12" s="291"/>
      <c r="L12" s="291"/>
    </row>
    <row r="13" spans="1:14">
      <c r="A13" s="404">
        <v>0</v>
      </c>
      <c r="B13" s="279">
        <v>3.0247540000000002E-3</v>
      </c>
      <c r="C13" s="279">
        <v>7.5993731999999996E-3</v>
      </c>
      <c r="D13" s="279">
        <v>4.7434295999999997E-3</v>
      </c>
      <c r="E13" s="279">
        <v>8.7547752000000003E-3</v>
      </c>
      <c r="F13" s="279">
        <v>4.0891260000000002E-3</v>
      </c>
      <c r="H13" s="279">
        <v>3.6209692000000002E-2</v>
      </c>
      <c r="I13" s="279">
        <v>1.7392082</v>
      </c>
      <c r="J13" s="291"/>
      <c r="K13" s="291"/>
      <c r="L13" s="291"/>
    </row>
    <row r="14" spans="1:14">
      <c r="A14" s="404">
        <v>5</v>
      </c>
      <c r="B14" s="291"/>
      <c r="C14" s="291"/>
      <c r="D14" s="291"/>
      <c r="E14" s="291"/>
      <c r="F14" s="291"/>
      <c r="G14" s="291"/>
      <c r="H14" s="291"/>
      <c r="I14" s="291"/>
      <c r="J14" s="291"/>
      <c r="K14" s="291"/>
      <c r="L14" s="291"/>
    </row>
    <row r="15" spans="1:14">
      <c r="A15" s="404">
        <v>10</v>
      </c>
      <c r="B15" s="291"/>
      <c r="C15" s="291"/>
      <c r="D15" s="291"/>
      <c r="E15" s="291"/>
      <c r="F15" s="291"/>
      <c r="G15" s="291"/>
      <c r="H15" s="291"/>
      <c r="I15" s="291"/>
      <c r="J15" s="291"/>
      <c r="K15" s="291"/>
      <c r="L15" s="291"/>
    </row>
    <row r="16" spans="1:14">
      <c r="A16" s="404">
        <v>15</v>
      </c>
      <c r="B16" s="291"/>
      <c r="C16" s="291"/>
      <c r="D16" s="291"/>
      <c r="E16" s="291"/>
      <c r="F16" s="291"/>
      <c r="G16" s="291"/>
      <c r="H16" s="291"/>
      <c r="I16" s="291"/>
      <c r="J16" s="291"/>
      <c r="K16" s="291"/>
      <c r="L16" s="291"/>
    </row>
    <row r="17" spans="1:16">
      <c r="A17" s="404">
        <v>20</v>
      </c>
      <c r="B17" s="291"/>
      <c r="C17" s="291"/>
      <c r="D17" s="291"/>
      <c r="E17" s="291"/>
      <c r="F17" s="291"/>
      <c r="G17" s="291"/>
      <c r="H17" s="291"/>
      <c r="I17" s="291"/>
      <c r="J17" s="291"/>
      <c r="K17" s="291"/>
      <c r="L17" s="291"/>
    </row>
    <row r="18" spans="1:16">
      <c r="A18" s="404">
        <v>25</v>
      </c>
      <c r="B18" s="291"/>
      <c r="C18" s="291"/>
      <c r="D18" s="291"/>
      <c r="E18" s="291"/>
      <c r="F18" s="291"/>
      <c r="G18" s="291"/>
      <c r="H18" s="291"/>
      <c r="I18" s="291"/>
      <c r="J18" s="291"/>
      <c r="K18" s="291"/>
      <c r="L18" s="291"/>
    </row>
    <row r="19" spans="1:16">
      <c r="A19" s="404">
        <v>30</v>
      </c>
      <c r="B19" s="291"/>
      <c r="C19" s="291"/>
      <c r="D19" s="291"/>
      <c r="E19" s="291"/>
      <c r="F19" s="291"/>
      <c r="G19" s="291"/>
      <c r="H19" s="291"/>
      <c r="I19" s="291"/>
      <c r="J19" s="291"/>
      <c r="K19" s="291"/>
      <c r="L19" s="291"/>
    </row>
    <row r="20" spans="1:16">
      <c r="A20" s="404" t="s">
        <v>503</v>
      </c>
      <c r="B20" s="291"/>
      <c r="C20" s="291"/>
      <c r="D20" s="291"/>
      <c r="E20" s="291"/>
      <c r="F20" s="291"/>
      <c r="G20" s="291"/>
      <c r="H20" s="291"/>
      <c r="I20" s="291"/>
      <c r="J20" s="291"/>
      <c r="K20" s="291"/>
      <c r="L20" s="291"/>
    </row>
    <row r="21" spans="1:16">
      <c r="A21" s="404">
        <v>0</v>
      </c>
      <c r="B21" s="291">
        <v>0.29641506000000001</v>
      </c>
      <c r="C21" s="291">
        <v>0.81477829999999996</v>
      </c>
      <c r="D21" s="291">
        <v>6.9074483999999998</v>
      </c>
      <c r="E21" s="291">
        <v>17.254064</v>
      </c>
      <c r="F21" s="291">
        <v>54.863151999999999</v>
      </c>
      <c r="G21" s="291"/>
      <c r="H21" s="291">
        <v>188.40852000000001</v>
      </c>
      <c r="I21" s="291">
        <v>573.49603999999999</v>
      </c>
      <c r="J21" s="291"/>
      <c r="K21" s="291"/>
      <c r="L21" s="291"/>
    </row>
    <row r="22" spans="1:16">
      <c r="A22" s="404">
        <v>5</v>
      </c>
      <c r="B22" s="291">
        <v>0.37801504000000002</v>
      </c>
      <c r="C22" s="291">
        <v>0.98497402000000001</v>
      </c>
      <c r="D22" s="291">
        <v>8.5914915999999995</v>
      </c>
      <c r="E22" s="291">
        <v>21.475949</v>
      </c>
      <c r="F22" s="291">
        <v>63.763761000000002</v>
      </c>
      <c r="G22" s="291"/>
      <c r="H22" s="291"/>
      <c r="I22" s="291"/>
      <c r="J22" s="291"/>
      <c r="K22" s="291"/>
      <c r="L22" s="291"/>
      <c r="N22" t="s">
        <v>530</v>
      </c>
      <c r="O22">
        <f>SQRT(1.4*287.7*O23)</f>
        <v>340.58866686958328</v>
      </c>
      <c r="P22" t="s">
        <v>116</v>
      </c>
    </row>
    <row r="23" spans="1:16">
      <c r="A23" s="404">
        <v>10</v>
      </c>
      <c r="B23" s="291">
        <v>0.48563795999999998</v>
      </c>
      <c r="C23" s="291">
        <v>1.2745839000000001</v>
      </c>
      <c r="D23" s="291">
        <v>10.927485000000001</v>
      </c>
      <c r="E23" s="291">
        <v>27.565342999999999</v>
      </c>
      <c r="F23" s="291">
        <v>77.973401999999993</v>
      </c>
      <c r="G23" s="291"/>
      <c r="H23" s="291"/>
      <c r="I23" s="291"/>
      <c r="J23" s="291"/>
      <c r="K23" s="291"/>
      <c r="L23" s="291"/>
      <c r="N23" t="s">
        <v>531</v>
      </c>
      <c r="O23">
        <v>288</v>
      </c>
      <c r="P23" t="s">
        <v>119</v>
      </c>
    </row>
    <row r="24" spans="1:16">
      <c r="A24" s="404">
        <v>15</v>
      </c>
      <c r="B24" s="291">
        <v>0.64891173999999996</v>
      </c>
      <c r="C24" s="291">
        <v>1.7166106999999999</v>
      </c>
      <c r="D24" s="291">
        <v>14.520640999999999</v>
      </c>
      <c r="E24" s="291">
        <v>37.188338000000002</v>
      </c>
      <c r="F24" s="291">
        <v>101.77215</v>
      </c>
      <c r="G24" s="291"/>
      <c r="H24" s="291"/>
      <c r="I24" s="291"/>
      <c r="J24" s="291"/>
      <c r="K24" s="291"/>
      <c r="L24" s="291"/>
      <c r="N24" t="s">
        <v>535</v>
      </c>
      <c r="O24">
        <f>CrossSecAreaRocket</f>
        <v>5.0265482457436689E-3</v>
      </c>
      <c r="P24" t="s">
        <v>223</v>
      </c>
    </row>
    <row r="25" spans="1:16">
      <c r="A25" s="404">
        <v>20</v>
      </c>
      <c r="B25" s="291">
        <v>0.91188782000000002</v>
      </c>
      <c r="C25" s="291">
        <v>2.4546416999999998</v>
      </c>
      <c r="D25" s="291">
        <v>20.384616999999999</v>
      </c>
      <c r="E25" s="291">
        <v>52.879199</v>
      </c>
      <c r="F25" s="291">
        <v>141.97888</v>
      </c>
      <c r="G25" s="291"/>
      <c r="H25" s="291"/>
      <c r="I25" s="291"/>
      <c r="J25" s="291"/>
      <c r="K25" s="291"/>
      <c r="L25" s="291"/>
      <c r="N25" t="s">
        <v>537</v>
      </c>
      <c r="O25">
        <v>1.224</v>
      </c>
      <c r="P25" t="s">
        <v>316</v>
      </c>
    </row>
    <row r="26" spans="1:16">
      <c r="A26" s="404">
        <v>25</v>
      </c>
      <c r="B26" s="291">
        <v>1.2971326000000001</v>
      </c>
      <c r="C26" s="291">
        <v>3.4645633999999998</v>
      </c>
      <c r="D26" s="291">
        <v>28.749558</v>
      </c>
      <c r="E26" s="291">
        <v>75.871988999999999</v>
      </c>
      <c r="F26" s="291">
        <v>202.97076999999999</v>
      </c>
      <c r="G26" s="291"/>
      <c r="H26" s="291"/>
      <c r="I26" s="291"/>
      <c r="J26" s="291"/>
      <c r="K26" s="291"/>
      <c r="L26" s="291"/>
      <c r="N26" t="s">
        <v>538</v>
      </c>
      <c r="O26">
        <f>'FinAeroDesign 2.0'!B225</f>
        <v>0.8</v>
      </c>
      <c r="P26" t="s">
        <v>197</v>
      </c>
    </row>
    <row r="27" spans="1:16">
      <c r="A27" s="404">
        <v>30</v>
      </c>
      <c r="B27" s="291"/>
      <c r="C27" s="291"/>
      <c r="D27" s="291"/>
      <c r="E27" s="291"/>
      <c r="F27" s="291"/>
      <c r="G27" s="291"/>
      <c r="H27" s="291"/>
      <c r="I27" s="291"/>
      <c r="J27" s="291"/>
      <c r="K27" s="291"/>
      <c r="L27" s="291"/>
    </row>
    <row r="28" spans="1:16" ht="28.5">
      <c r="A28" s="404" t="s">
        <v>534</v>
      </c>
    </row>
    <row r="29" spans="1:16">
      <c r="A29" s="404">
        <v>0</v>
      </c>
      <c r="B29" s="292">
        <v>3.9376972E-7</v>
      </c>
      <c r="C29" s="292">
        <v>1.0719754999999999E-6</v>
      </c>
      <c r="D29" s="292">
        <v>3.4923999999999998E-6</v>
      </c>
      <c r="E29" s="292">
        <v>6.2106154000000003E-6</v>
      </c>
      <c r="F29" s="292">
        <v>1.0547894E-5</v>
      </c>
      <c r="G29" s="292">
        <v>1.0547894E-5</v>
      </c>
      <c r="H29" s="292">
        <v>3.5391137000000002E-5</v>
      </c>
      <c r="I29" s="292">
        <v>-4.6915793999999999E-5</v>
      </c>
    </row>
    <row r="30" spans="1:16">
      <c r="A30" s="404">
        <v>5</v>
      </c>
    </row>
    <row r="31" spans="1:16">
      <c r="A31" s="404">
        <v>10</v>
      </c>
    </row>
    <row r="32" spans="1:16">
      <c r="A32" s="404">
        <v>15</v>
      </c>
    </row>
    <row r="33" spans="1:16">
      <c r="A33" s="404">
        <v>20</v>
      </c>
    </row>
    <row r="34" spans="1:16">
      <c r="A34" s="404">
        <v>25</v>
      </c>
    </row>
    <row r="35" spans="1:16">
      <c r="A35" s="404">
        <v>30</v>
      </c>
    </row>
    <row r="36" spans="1:16" ht="28.5">
      <c r="A36" s="404" t="s">
        <v>533</v>
      </c>
      <c r="P36">
        <f>42*3</f>
        <v>126</v>
      </c>
    </row>
    <row r="37" spans="1:16">
      <c r="A37" s="404">
        <v>0</v>
      </c>
      <c r="B37" s="279">
        <v>-8.4067850000000004E-4</v>
      </c>
      <c r="C37" s="292">
        <v>-9.9430001999999994E-6</v>
      </c>
      <c r="D37" s="279">
        <v>-2.8579856000000002E-3</v>
      </c>
      <c r="E37" s="279">
        <v>-2.7765043000000001E-3</v>
      </c>
      <c r="F37" s="279">
        <v>-3.5801428E-3</v>
      </c>
      <c r="G37" s="279">
        <v>-3.5801428E-3</v>
      </c>
      <c r="H37" s="279">
        <v>-1.2667222000000001E-2</v>
      </c>
      <c r="I37" s="279">
        <v>1.9839978</v>
      </c>
    </row>
    <row r="38" spans="1:16">
      <c r="A38" s="404">
        <v>5</v>
      </c>
    </row>
    <row r="39" spans="1:16">
      <c r="A39" s="404">
        <v>10</v>
      </c>
    </row>
    <row r="40" spans="1:16">
      <c r="A40" s="404">
        <v>15</v>
      </c>
    </row>
    <row r="41" spans="1:16">
      <c r="A41" s="404">
        <v>20</v>
      </c>
    </row>
    <row r="42" spans="1:16">
      <c r="A42" s="404">
        <v>25</v>
      </c>
    </row>
    <row r="43" spans="1:16">
      <c r="A43" s="404">
        <v>30</v>
      </c>
    </row>
    <row r="44" spans="1:16" ht="28.5">
      <c r="A44" s="404" t="s">
        <v>532</v>
      </c>
    </row>
    <row r="45" spans="1:16">
      <c r="A45" s="404">
        <v>0</v>
      </c>
      <c r="B45" s="279">
        <v>-1.254186E-3</v>
      </c>
      <c r="C45" s="279">
        <v>-3.3242160000000001E-3</v>
      </c>
      <c r="D45" s="279">
        <v>-2.7258663000000001E-3</v>
      </c>
      <c r="E45" s="279">
        <v>-5.7863556000000002E-3</v>
      </c>
      <c r="F45" s="279">
        <v>-6.2785508000000002E-3</v>
      </c>
      <c r="H45" s="279">
        <v>2.9580740000000001E-2</v>
      </c>
      <c r="I45" s="279">
        <v>-1.2803529</v>
      </c>
    </row>
    <row r="46" spans="1:16">
      <c r="A46" s="404">
        <v>5</v>
      </c>
    </row>
    <row r="47" spans="1:16">
      <c r="A47" s="404">
        <v>10</v>
      </c>
    </row>
    <row r="48" spans="1:16">
      <c r="A48" s="404">
        <v>15</v>
      </c>
    </row>
    <row r="49" spans="1:12">
      <c r="A49" s="404">
        <v>20</v>
      </c>
    </row>
    <row r="50" spans="1:12">
      <c r="A50" s="404">
        <v>25</v>
      </c>
    </row>
    <row r="51" spans="1:12">
      <c r="A51" s="404">
        <v>30</v>
      </c>
    </row>
    <row r="52" spans="1:12">
      <c r="B52" s="291"/>
      <c r="C52" s="291"/>
      <c r="D52" s="291"/>
      <c r="E52" s="291"/>
      <c r="F52" s="291"/>
      <c r="G52" s="291"/>
      <c r="H52" s="291"/>
      <c r="I52" s="291"/>
      <c r="J52" s="291"/>
      <c r="K52" s="291"/>
      <c r="L52" s="291"/>
    </row>
    <row r="53" spans="1:12" s="295" customFormat="1" ht="45">
      <c r="A53" s="403" t="s">
        <v>506</v>
      </c>
      <c r="B53" s="294"/>
      <c r="C53" s="294"/>
      <c r="D53" s="294"/>
      <c r="E53" s="294"/>
      <c r="F53" s="294"/>
      <c r="G53" s="294"/>
      <c r="H53" s="294"/>
      <c r="I53" s="294"/>
      <c r="J53" s="294"/>
      <c r="K53" s="294"/>
      <c r="L53" s="294"/>
    </row>
    <row r="54" spans="1:12">
      <c r="A54" s="404" t="s">
        <v>501</v>
      </c>
      <c r="B54" s="344"/>
      <c r="C54" s="344"/>
      <c r="D54" s="344"/>
      <c r="E54" s="344"/>
      <c r="F54" s="344"/>
      <c r="G54" s="344"/>
      <c r="H54" s="344"/>
      <c r="I54" s="344"/>
    </row>
    <row r="55" spans="1:12">
      <c r="A55" s="404">
        <v>0</v>
      </c>
      <c r="B55" s="344">
        <f t="shared" ref="B55:I55" si="2">B5/(B$3*$O$24)</f>
        <v>6.1067907831386086E-4</v>
      </c>
      <c r="C55" s="344">
        <f t="shared" si="2"/>
        <v>8.9000687450521716E-3</v>
      </c>
      <c r="D55" s="344">
        <f t="shared" si="2"/>
        <v>8.1090851007109693E-3</v>
      </c>
      <c r="E55" s="344">
        <f t="shared" si="2"/>
        <v>6.3697029439947466E-3</v>
      </c>
      <c r="F55" s="344">
        <f t="shared" si="2"/>
        <v>4.7397368486932169E-3</v>
      </c>
      <c r="G55" s="344">
        <f t="shared" si="2"/>
        <v>0</v>
      </c>
      <c r="H55" s="344">
        <f t="shared" si="2"/>
        <v>1.4720386841251768E-5</v>
      </c>
      <c r="I55" s="344">
        <f t="shared" si="2"/>
        <v>4.5220920848789391E-3</v>
      </c>
    </row>
    <row r="56" spans="1:12">
      <c r="A56" s="404">
        <v>5</v>
      </c>
      <c r="B56" s="344">
        <f t="shared" ref="B56:I56" si="3">B6/(B$3*$O$24)</f>
        <v>0.15146678445397943</v>
      </c>
      <c r="C56" s="344">
        <f t="shared" si="3"/>
        <v>0.14783825009940876</v>
      </c>
      <c r="D56" s="344">
        <f t="shared" si="3"/>
        <v>0.1431248218745643</v>
      </c>
      <c r="E56" s="344">
        <f t="shared" si="3"/>
        <v>0.13752136840442425</v>
      </c>
      <c r="F56" s="344">
        <f t="shared" si="3"/>
        <v>0.16723407996822282</v>
      </c>
      <c r="G56" s="344">
        <f t="shared" si="3"/>
        <v>0</v>
      </c>
      <c r="H56" s="344">
        <f t="shared" si="3"/>
        <v>0</v>
      </c>
      <c r="I56" s="344">
        <f t="shared" si="3"/>
        <v>0</v>
      </c>
    </row>
    <row r="57" spans="1:12">
      <c r="A57" s="404">
        <v>10</v>
      </c>
      <c r="B57" s="344">
        <f t="shared" ref="B57:I57" si="4">B7/(B$3*$O$24)</f>
        <v>0.33365520496672479</v>
      </c>
      <c r="C57" s="344">
        <f t="shared" si="4"/>
        <v>0.33184097266280393</v>
      </c>
      <c r="D57" s="344">
        <f t="shared" si="4"/>
        <v>0.3052004746097598</v>
      </c>
      <c r="E57" s="344">
        <f t="shared" si="4"/>
        <v>0.29422758102348812</v>
      </c>
      <c r="F57" s="344">
        <f t="shared" si="4"/>
        <v>0.36825273717523765</v>
      </c>
      <c r="G57" s="344">
        <f t="shared" si="4"/>
        <v>0</v>
      </c>
      <c r="H57" s="344">
        <f t="shared" si="4"/>
        <v>0</v>
      </c>
      <c r="I57" s="344">
        <f t="shared" si="4"/>
        <v>0</v>
      </c>
    </row>
    <row r="58" spans="1:12">
      <c r="A58" s="404">
        <v>15</v>
      </c>
      <c r="B58" s="344">
        <f t="shared" ref="B58:I58" si="5">B8/(B$3*$O$24)</f>
        <v>0.61588701053742889</v>
      </c>
      <c r="C58" s="344">
        <f t="shared" si="5"/>
        <v>0.60319498804894478</v>
      </c>
      <c r="D58" s="344">
        <f t="shared" si="5"/>
        <v>0.55678757881181684</v>
      </c>
      <c r="E58" s="344">
        <f t="shared" si="5"/>
        <v>0.53717489819638975</v>
      </c>
      <c r="F58" s="344">
        <f t="shared" si="5"/>
        <v>0.68210497766238698</v>
      </c>
      <c r="G58" s="344">
        <f t="shared" si="5"/>
        <v>0</v>
      </c>
      <c r="H58" s="344">
        <f t="shared" si="5"/>
        <v>0</v>
      </c>
      <c r="I58" s="344">
        <f t="shared" si="5"/>
        <v>0</v>
      </c>
    </row>
    <row r="59" spans="1:12">
      <c r="A59" s="404">
        <v>20</v>
      </c>
      <c r="B59" s="344">
        <f t="shared" ref="B59:I59" si="6">B9/(B$3*$O$24)</f>
        <v>1.0052956490909881</v>
      </c>
      <c r="C59" s="344">
        <f t="shared" si="6"/>
        <v>1.0047314945761772</v>
      </c>
      <c r="D59" s="344">
        <f t="shared" si="6"/>
        <v>0.91158570296227726</v>
      </c>
      <c r="E59" s="344">
        <f t="shared" si="6"/>
        <v>0.8813309020011143</v>
      </c>
      <c r="F59" s="344">
        <f t="shared" si="6"/>
        <v>1.1374942849642442</v>
      </c>
      <c r="G59" s="344">
        <f t="shared" si="6"/>
        <v>0</v>
      </c>
      <c r="H59" s="344">
        <f t="shared" si="6"/>
        <v>0</v>
      </c>
      <c r="I59" s="344">
        <f t="shared" si="6"/>
        <v>0</v>
      </c>
    </row>
    <row r="60" spans="1:12">
      <c r="A60" s="404">
        <v>25</v>
      </c>
      <c r="B60" s="344">
        <f t="shared" ref="B60:I60" si="7">B10/(B$3*$O$24)</f>
        <v>1.4576179002129865</v>
      </c>
      <c r="C60" s="344">
        <f t="shared" si="7"/>
        <v>1.4350701184340813</v>
      </c>
      <c r="D60" s="344">
        <f t="shared" si="7"/>
        <v>1.3042733329754812</v>
      </c>
      <c r="E60" s="344">
        <f t="shared" si="7"/>
        <v>1.2763436600438036</v>
      </c>
      <c r="F60" s="344">
        <f t="shared" si="7"/>
        <v>1.6798345570433428</v>
      </c>
      <c r="G60" s="344">
        <f t="shared" si="7"/>
        <v>0</v>
      </c>
      <c r="H60" s="344">
        <f t="shared" si="7"/>
        <v>0</v>
      </c>
      <c r="I60" s="344">
        <f t="shared" si="7"/>
        <v>0</v>
      </c>
    </row>
    <row r="61" spans="1:12">
      <c r="A61" s="404">
        <v>30</v>
      </c>
      <c r="B61" s="344">
        <f t="shared" ref="B61:I61" si="8">B11/(B$3*$O$24)</f>
        <v>0</v>
      </c>
      <c r="C61" s="344">
        <f t="shared" si="8"/>
        <v>0</v>
      </c>
      <c r="D61" s="344">
        <f t="shared" si="8"/>
        <v>0</v>
      </c>
      <c r="E61" s="344">
        <f t="shared" si="8"/>
        <v>0</v>
      </c>
      <c r="F61" s="344">
        <f t="shared" si="8"/>
        <v>0</v>
      </c>
      <c r="G61" s="344">
        <f t="shared" si="8"/>
        <v>0</v>
      </c>
      <c r="H61" s="344">
        <f t="shared" si="8"/>
        <v>0</v>
      </c>
      <c r="I61" s="344">
        <f t="shared" si="8"/>
        <v>0</v>
      </c>
    </row>
    <row r="62" spans="1:12" s="264" customFormat="1" ht="30">
      <c r="A62" s="405" t="s">
        <v>675</v>
      </c>
      <c r="B62" s="293">
        <f>(B70-B64)/(RADIANS(A70))</f>
        <v>-35.202057862501682</v>
      </c>
      <c r="C62" s="293">
        <f t="shared" ref="C62:E62" si="9">(C70-C64)/(RADIANS(B70))</f>
        <v>61.87083218672209</v>
      </c>
      <c r="D62" s="293">
        <f t="shared" si="9"/>
        <v>57.464222923080257</v>
      </c>
      <c r="E62" s="293">
        <f t="shared" si="9"/>
        <v>61.830246618482832</v>
      </c>
      <c r="F62" s="293">
        <f>(F70-F64)/(RADIANS(E70))</f>
        <v>82.70317294535603</v>
      </c>
      <c r="G62" s="293"/>
      <c r="H62" s="293"/>
      <c r="I62" s="293"/>
      <c r="J62" s="293"/>
      <c r="K62" s="293"/>
      <c r="L62" s="293"/>
    </row>
    <row r="63" spans="1:12" s="264" customFormat="1" ht="30">
      <c r="A63" s="405" t="s">
        <v>680</v>
      </c>
      <c r="B63" s="293">
        <f>MEDIAN(B64:B65)</f>
        <v>1.9082045723341432</v>
      </c>
      <c r="C63" s="293">
        <f t="shared" ref="C63:F63" si="10">MEDIAN(C64:C65)</f>
        <v>1.8503150826627008</v>
      </c>
      <c r="D63" s="293">
        <f t="shared" si="10"/>
        <v>1.7022082748545719</v>
      </c>
      <c r="E63" s="293">
        <f t="shared" si="10"/>
        <v>1.6493041513546385</v>
      </c>
      <c r="F63" s="293">
        <f t="shared" si="10"/>
        <v>2.0827760716848713</v>
      </c>
      <c r="G63" s="293"/>
      <c r="H63" s="293"/>
      <c r="I63" s="293"/>
      <c r="J63" s="293"/>
      <c r="K63" s="293"/>
      <c r="L63" s="293"/>
    </row>
    <row r="64" spans="1:12">
      <c r="A64" s="406">
        <v>0</v>
      </c>
      <c r="B64" s="291">
        <f>(B56-B55)/(RADIANS($A56-$A55))</f>
        <v>1.7286836303612896</v>
      </c>
      <c r="C64" s="291">
        <f t="shared" ref="B64:I65" si="11">(C56-C55)/(RADIANS($A56-$A55))</f>
        <v>1.5921142809655722</v>
      </c>
      <c r="D64" s="291">
        <f t="shared" si="11"/>
        <v>1.547166376998212</v>
      </c>
      <c r="E64" s="291">
        <f t="shared" si="11"/>
        <v>1.5028873813988606</v>
      </c>
      <c r="F64" s="291">
        <f t="shared" si="11"/>
        <v>1.8620480110999427</v>
      </c>
      <c r="G64" s="291">
        <f t="shared" si="11"/>
        <v>0</v>
      </c>
      <c r="H64" s="291">
        <f t="shared" si="11"/>
        <v>-1.6868320776072793E-4</v>
      </c>
      <c r="I64" s="291">
        <f t="shared" si="11"/>
        <v>-5.1819358206615693E-2</v>
      </c>
      <c r="J64" s="291"/>
      <c r="K64" s="291"/>
      <c r="L64" s="291"/>
    </row>
    <row r="65" spans="1:12">
      <c r="A65" s="406">
        <v>5</v>
      </c>
      <c r="B65" s="291">
        <f t="shared" si="11"/>
        <v>2.0877255143069968</v>
      </c>
      <c r="C65" s="291">
        <f t="shared" si="11"/>
        <v>2.1085158843598295</v>
      </c>
      <c r="D65" s="291">
        <f t="shared" si="11"/>
        <v>1.8572501727109318</v>
      </c>
      <c r="E65" s="291">
        <f t="shared" si="11"/>
        <v>1.7957209213104164</v>
      </c>
      <c r="F65" s="291">
        <f t="shared" si="11"/>
        <v>2.3035041322697998</v>
      </c>
      <c r="G65" s="291">
        <f t="shared" si="11"/>
        <v>0</v>
      </c>
      <c r="H65" s="291">
        <f t="shared" si="11"/>
        <v>0</v>
      </c>
      <c r="I65" s="291">
        <f t="shared" si="11"/>
        <v>0</v>
      </c>
      <c r="J65" s="291"/>
      <c r="K65" s="291"/>
      <c r="L65" s="291"/>
    </row>
    <row r="66" spans="1:12">
      <c r="A66" s="406">
        <v>10</v>
      </c>
      <c r="B66" s="291">
        <f t="shared" ref="B66:I66" si="12">(B58-B57)/(RADIANS($A58-$A57))</f>
        <v>3.2341382607116365</v>
      </c>
      <c r="C66" s="291">
        <f t="shared" si="12"/>
        <v>3.1094879671107747</v>
      </c>
      <c r="D66" s="291">
        <f t="shared" si="12"/>
        <v>2.8829758501391858</v>
      </c>
      <c r="E66" s="291">
        <f t="shared" si="12"/>
        <v>2.78397118360669</v>
      </c>
      <c r="F66" s="291">
        <f t="shared" si="12"/>
        <v>3.5964817541277192</v>
      </c>
      <c r="G66" s="291">
        <f t="shared" si="12"/>
        <v>0</v>
      </c>
      <c r="H66" s="291">
        <f t="shared" si="12"/>
        <v>0</v>
      </c>
      <c r="I66" s="291">
        <f t="shared" si="12"/>
        <v>0</v>
      </c>
      <c r="J66" s="291"/>
      <c r="K66" s="291"/>
      <c r="L66" s="291"/>
    </row>
    <row r="67" spans="1:12">
      <c r="A67" s="406">
        <v>15</v>
      </c>
      <c r="B67" s="291">
        <f t="shared" ref="B67:I67" si="13">(B59-B58)/(RADIANS($A59-$A58))</f>
        <v>4.4622942990108596</v>
      </c>
      <c r="C67" s="291">
        <f t="shared" si="13"/>
        <v>4.6012694288875293</v>
      </c>
      <c r="D67" s="291">
        <f t="shared" si="13"/>
        <v>4.0656870185959981</v>
      </c>
      <c r="E67" s="291">
        <f t="shared" si="13"/>
        <v>3.9437373024198039</v>
      </c>
      <c r="F67" s="291">
        <f t="shared" si="13"/>
        <v>5.2183770687565003</v>
      </c>
      <c r="G67" s="291">
        <f t="shared" si="13"/>
        <v>0</v>
      </c>
      <c r="H67" s="291">
        <f t="shared" si="13"/>
        <v>0</v>
      </c>
      <c r="I67" s="291">
        <f t="shared" si="13"/>
        <v>0</v>
      </c>
      <c r="J67" s="291"/>
      <c r="K67" s="291"/>
      <c r="L67" s="291"/>
    </row>
    <row r="68" spans="1:12">
      <c r="A68" s="406">
        <v>20</v>
      </c>
      <c r="B68" s="291">
        <f t="shared" ref="B68:I68" si="14">(B60-B59)/(RADIANS($A60-$A59))</f>
        <v>5.1832311938294149</v>
      </c>
      <c r="C68" s="291">
        <f t="shared" si="14"/>
        <v>4.9313173817051483</v>
      </c>
      <c r="D68" s="291">
        <f t="shared" si="14"/>
        <v>4.4998687733502765</v>
      </c>
      <c r="E68" s="291">
        <f t="shared" si="14"/>
        <v>4.5265127779336929</v>
      </c>
      <c r="F68" s="291">
        <f t="shared" si="14"/>
        <v>6.2147617300218227</v>
      </c>
      <c r="G68" s="291">
        <f t="shared" si="14"/>
        <v>0</v>
      </c>
      <c r="H68" s="291">
        <f t="shared" si="14"/>
        <v>0</v>
      </c>
      <c r="I68" s="291">
        <f t="shared" si="14"/>
        <v>0</v>
      </c>
      <c r="J68" s="291"/>
      <c r="K68" s="291"/>
      <c r="L68" s="291"/>
    </row>
    <row r="69" spans="1:12">
      <c r="A69" s="406">
        <v>25</v>
      </c>
      <c r="B69" s="291">
        <f>(B61-B60)/(RADIANS($A61-$A60))</f>
        <v>-16.70307076498506</v>
      </c>
      <c r="C69" s="291">
        <f t="shared" ref="C69:I69" si="15">(C61-C60)/(RADIANS($A61-$A60))</f>
        <v>-16.444692218322412</v>
      </c>
      <c r="D69" s="291">
        <f t="shared" si="15"/>
        <v>-14.945871462191235</v>
      </c>
      <c r="E69" s="291">
        <f t="shared" si="15"/>
        <v>-14.625820985758056</v>
      </c>
      <c r="F69" s="291">
        <f t="shared" si="15"/>
        <v>-19.249486079762338</v>
      </c>
      <c r="G69" s="291">
        <f t="shared" si="15"/>
        <v>0</v>
      </c>
      <c r="H69" s="291">
        <f t="shared" si="15"/>
        <v>0</v>
      </c>
      <c r="I69" s="291">
        <f t="shared" si="15"/>
        <v>0</v>
      </c>
      <c r="J69" s="291"/>
      <c r="K69" s="291"/>
      <c r="L69" s="291"/>
    </row>
    <row r="70" spans="1:12">
      <c r="A70" s="406">
        <v>30</v>
      </c>
      <c r="B70" s="291">
        <f>IF($A70=30,B69,0)</f>
        <v>-16.70307076498506</v>
      </c>
      <c r="C70" s="291">
        <f t="shared" ref="C70:I70" si="16">IF($A70=30,C69,0)</f>
        <v>-16.444692218322412</v>
      </c>
      <c r="D70" s="291">
        <f t="shared" si="16"/>
        <v>-14.945871462191235</v>
      </c>
      <c r="E70" s="291">
        <f t="shared" si="16"/>
        <v>-14.625820985758056</v>
      </c>
      <c r="F70" s="291">
        <f t="shared" si="16"/>
        <v>-19.249486079762338</v>
      </c>
      <c r="G70" s="291">
        <f t="shared" si="16"/>
        <v>0</v>
      </c>
      <c r="H70" s="291">
        <f t="shared" si="16"/>
        <v>0</v>
      </c>
      <c r="I70" s="291">
        <f t="shared" si="16"/>
        <v>0</v>
      </c>
      <c r="J70" s="291"/>
      <c r="K70" s="291"/>
      <c r="L70" s="291"/>
    </row>
    <row r="71" spans="1:12" ht="42.75">
      <c r="A71" s="404" t="s">
        <v>678</v>
      </c>
    </row>
    <row r="72" spans="1:12">
      <c r="A72" s="404">
        <v>0</v>
      </c>
      <c r="B72" s="279">
        <f t="shared" ref="B72:I72" si="17">B13/(B$3*$O$24)</f>
        <v>2.3545390419897148E-3</v>
      </c>
      <c r="C72" s="279">
        <f t="shared" si="17"/>
        <v>2.1295905458288866E-3</v>
      </c>
      <c r="D72" s="279">
        <f t="shared" si="17"/>
        <v>1.4769584814010862E-4</v>
      </c>
      <c r="E72" s="279">
        <f t="shared" si="17"/>
        <v>9.813486457950088E-5</v>
      </c>
      <c r="F72" s="279">
        <f t="shared" si="17"/>
        <v>2.3385827937469665E-5</v>
      </c>
      <c r="G72" s="279">
        <f t="shared" si="17"/>
        <v>0</v>
      </c>
      <c r="H72" s="279">
        <f t="shared" si="17"/>
        <v>1.0147128680372731E-4</v>
      </c>
      <c r="I72" s="279">
        <f t="shared" si="17"/>
        <v>2.1661443457807964E-3</v>
      </c>
    </row>
    <row r="73" spans="1:12">
      <c r="A73" s="404">
        <v>5</v>
      </c>
    </row>
    <row r="74" spans="1:12">
      <c r="A74" s="404">
        <v>10</v>
      </c>
    </row>
    <row r="75" spans="1:12">
      <c r="A75" s="404">
        <v>15</v>
      </c>
    </row>
    <row r="76" spans="1:12">
      <c r="A76" s="404">
        <v>20</v>
      </c>
    </row>
    <row r="77" spans="1:12">
      <c r="A77" s="404">
        <v>25</v>
      </c>
    </row>
    <row r="78" spans="1:12">
      <c r="A78" s="404">
        <v>30</v>
      </c>
    </row>
    <row r="79" spans="1:12" s="264" customFormat="1" ht="30">
      <c r="A79" s="405" t="s">
        <v>676</v>
      </c>
      <c r="B79" s="293">
        <f>(B87-B81)/(RADIANS(A87))</f>
        <v>5.1529971455962699E-2</v>
      </c>
      <c r="C79" s="293"/>
      <c r="D79" s="293"/>
      <c r="E79" s="293"/>
      <c r="F79" s="293"/>
      <c r="G79" s="293"/>
      <c r="H79" s="293"/>
      <c r="I79" s="293"/>
      <c r="J79" s="293"/>
      <c r="K79" s="293"/>
      <c r="L79" s="293"/>
    </row>
    <row r="80" spans="1:12" s="264" customFormat="1" ht="30">
      <c r="A80" s="405" t="s">
        <v>677</v>
      </c>
      <c r="B80" s="293">
        <f>MEDIAN(B81:B87)</f>
        <v>0</v>
      </c>
      <c r="C80" s="293"/>
      <c r="D80" s="293"/>
      <c r="E80" s="293"/>
      <c r="F80" s="293"/>
      <c r="G80" s="293"/>
      <c r="H80" s="293"/>
      <c r="I80" s="293"/>
      <c r="J80" s="293"/>
      <c r="K80" s="293"/>
      <c r="L80" s="293"/>
    </row>
    <row r="81" spans="1:12">
      <c r="A81" s="406">
        <v>0</v>
      </c>
      <c r="B81" s="291">
        <f t="shared" ref="B81:I82" si="18">(B73-B72)/(RADIANS($A73-$A72))</f>
        <v>-2.6981029960957355E-2</v>
      </c>
      <c r="C81" s="291">
        <f t="shared" si="18"/>
        <v>-2.4403310073391304E-2</v>
      </c>
      <c r="D81" s="291">
        <f t="shared" si="18"/>
        <v>-1.6924697500066707E-3</v>
      </c>
      <c r="E81" s="291">
        <f t="shared" si="18"/>
        <v>-1.1245427126986549E-3</v>
      </c>
      <c r="F81" s="291">
        <f t="shared" si="18"/>
        <v>-2.6798184824722851E-4</v>
      </c>
      <c r="G81" s="291">
        <f t="shared" si="18"/>
        <v>0</v>
      </c>
      <c r="H81" s="291">
        <f t="shared" si="18"/>
        <v>-1.16277529512302E-3</v>
      </c>
      <c r="I81" s="291">
        <f t="shared" si="18"/>
        <v>-2.4822185765873295E-2</v>
      </c>
      <c r="J81" s="291"/>
      <c r="K81" s="291"/>
      <c r="L81" s="291"/>
    </row>
    <row r="82" spans="1:12">
      <c r="A82" s="406">
        <v>5</v>
      </c>
      <c r="B82" s="291">
        <f t="shared" si="18"/>
        <v>0</v>
      </c>
      <c r="C82" s="291">
        <f t="shared" si="18"/>
        <v>0</v>
      </c>
      <c r="D82" s="291">
        <f t="shared" si="18"/>
        <v>0</v>
      </c>
      <c r="E82" s="291">
        <f t="shared" si="18"/>
        <v>0</v>
      </c>
      <c r="F82" s="291">
        <f t="shared" si="18"/>
        <v>0</v>
      </c>
      <c r="G82" s="291">
        <f t="shared" si="18"/>
        <v>0</v>
      </c>
      <c r="H82" s="291">
        <f t="shared" si="18"/>
        <v>0</v>
      </c>
      <c r="I82" s="291">
        <f t="shared" si="18"/>
        <v>0</v>
      </c>
      <c r="J82" s="291"/>
      <c r="K82" s="291"/>
      <c r="L82" s="291"/>
    </row>
    <row r="83" spans="1:12">
      <c r="A83" s="406">
        <v>10</v>
      </c>
      <c r="B83" s="291">
        <f t="shared" ref="B83:I83" si="19">(B75-B74)/(RADIANS($A75-$A74))</f>
        <v>0</v>
      </c>
      <c r="C83" s="291">
        <f t="shared" si="19"/>
        <v>0</v>
      </c>
      <c r="D83" s="291">
        <f t="shared" si="19"/>
        <v>0</v>
      </c>
      <c r="E83" s="291">
        <f t="shared" si="19"/>
        <v>0</v>
      </c>
      <c r="F83" s="291">
        <f t="shared" si="19"/>
        <v>0</v>
      </c>
      <c r="G83" s="291">
        <f t="shared" si="19"/>
        <v>0</v>
      </c>
      <c r="H83" s="291">
        <f t="shared" si="19"/>
        <v>0</v>
      </c>
      <c r="I83" s="291">
        <f t="shared" si="19"/>
        <v>0</v>
      </c>
      <c r="J83" s="291"/>
      <c r="K83" s="291"/>
      <c r="L83" s="291"/>
    </row>
    <row r="84" spans="1:12">
      <c r="A84" s="406">
        <v>15</v>
      </c>
      <c r="B84" s="291">
        <f t="shared" ref="B84:I84" si="20">(B76-B75)/(RADIANS($A76-$A75))</f>
        <v>0</v>
      </c>
      <c r="C84" s="291">
        <f t="shared" si="20"/>
        <v>0</v>
      </c>
      <c r="D84" s="291">
        <f t="shared" si="20"/>
        <v>0</v>
      </c>
      <c r="E84" s="291">
        <f t="shared" si="20"/>
        <v>0</v>
      </c>
      <c r="F84" s="291">
        <f t="shared" si="20"/>
        <v>0</v>
      </c>
      <c r="G84" s="291">
        <f t="shared" si="20"/>
        <v>0</v>
      </c>
      <c r="H84" s="291">
        <f t="shared" si="20"/>
        <v>0</v>
      </c>
      <c r="I84" s="291">
        <f t="shared" si="20"/>
        <v>0</v>
      </c>
      <c r="J84" s="291"/>
      <c r="K84" s="291"/>
      <c r="L84" s="291"/>
    </row>
    <row r="85" spans="1:12">
      <c r="A85" s="406">
        <v>20</v>
      </c>
      <c r="B85" s="291">
        <f t="shared" ref="B85:I85" si="21">(B77-B76)/(RADIANS($A77-$A76))</f>
        <v>0</v>
      </c>
      <c r="C85" s="291">
        <f t="shared" si="21"/>
        <v>0</v>
      </c>
      <c r="D85" s="291">
        <f t="shared" si="21"/>
        <v>0</v>
      </c>
      <c r="E85" s="291">
        <f t="shared" si="21"/>
        <v>0</v>
      </c>
      <c r="F85" s="291">
        <f t="shared" si="21"/>
        <v>0</v>
      </c>
      <c r="G85" s="291">
        <f t="shared" si="21"/>
        <v>0</v>
      </c>
      <c r="H85" s="291">
        <f t="shared" si="21"/>
        <v>0</v>
      </c>
      <c r="I85" s="291">
        <f t="shared" si="21"/>
        <v>0</v>
      </c>
      <c r="J85" s="291"/>
      <c r="K85" s="291"/>
      <c r="L85" s="291"/>
    </row>
    <row r="86" spans="1:12">
      <c r="A86" s="406">
        <v>25</v>
      </c>
      <c r="B86" s="291">
        <f t="shared" ref="B86:I86" si="22">(B78-B77)/(RADIANS($A78-$A77))</f>
        <v>0</v>
      </c>
      <c r="C86" s="291">
        <f t="shared" si="22"/>
        <v>0</v>
      </c>
      <c r="D86" s="291">
        <f t="shared" si="22"/>
        <v>0</v>
      </c>
      <c r="E86" s="291">
        <f t="shared" si="22"/>
        <v>0</v>
      </c>
      <c r="F86" s="291">
        <f t="shared" si="22"/>
        <v>0</v>
      </c>
      <c r="G86" s="291">
        <f t="shared" si="22"/>
        <v>0</v>
      </c>
      <c r="H86" s="291">
        <f t="shared" si="22"/>
        <v>0</v>
      </c>
      <c r="I86" s="291">
        <f t="shared" si="22"/>
        <v>0</v>
      </c>
      <c r="J86" s="291"/>
      <c r="K86" s="291"/>
      <c r="L86" s="291"/>
    </row>
    <row r="87" spans="1:12">
      <c r="A87" s="406">
        <v>30</v>
      </c>
      <c r="B87" s="291">
        <f>IF($A87=30,B86,0)</f>
        <v>0</v>
      </c>
      <c r="C87" s="291">
        <f t="shared" ref="C87" si="23">IF($A87=30,C86,0)</f>
        <v>0</v>
      </c>
      <c r="D87" s="291">
        <f t="shared" ref="D87" si="24">IF($A87=30,D86,0)</f>
        <v>0</v>
      </c>
      <c r="E87" s="291">
        <f t="shared" ref="E87" si="25">IF($A87=30,E86,0)</f>
        <v>0</v>
      </c>
      <c r="F87" s="291">
        <f t="shared" ref="F87" si="26">IF($A87=30,F86,0)</f>
        <v>0</v>
      </c>
      <c r="G87" s="291">
        <f t="shared" ref="G87" si="27">IF($A87=30,G86,0)</f>
        <v>0</v>
      </c>
      <c r="H87" s="291">
        <f t="shared" ref="H87" si="28">IF($A87=30,H86,0)</f>
        <v>0</v>
      </c>
      <c r="I87" s="291">
        <f t="shared" ref="I87" si="29">IF($A87=30,I86,0)</f>
        <v>0</v>
      </c>
      <c r="J87" s="291"/>
      <c r="K87" s="291"/>
      <c r="L87" s="291"/>
    </row>
    <row r="88" spans="1:12">
      <c r="A88" s="404" t="s">
        <v>503</v>
      </c>
    </row>
    <row r="89" spans="1:12">
      <c r="A89" s="404">
        <v>0</v>
      </c>
      <c r="B89" s="279">
        <f t="shared" ref="B89:I89" si="30">B21/(B$3*$O$24)</f>
        <v>0.23073639423362155</v>
      </c>
      <c r="C89" s="279">
        <f t="shared" si="30"/>
        <v>0.22832727370548564</v>
      </c>
      <c r="D89" s="279">
        <f t="shared" si="30"/>
        <v>0.21507675583970642</v>
      </c>
      <c r="E89" s="279">
        <f t="shared" si="30"/>
        <v>0.19340590653727366</v>
      </c>
      <c r="F89" s="279">
        <f t="shared" si="30"/>
        <v>0.31376392724979491</v>
      </c>
      <c r="G89" s="279">
        <f t="shared" si="30"/>
        <v>0</v>
      </c>
      <c r="H89" s="279">
        <f t="shared" si="30"/>
        <v>0.5279817063670631</v>
      </c>
      <c r="I89" s="279">
        <f t="shared" si="30"/>
        <v>0.71427630364994688</v>
      </c>
    </row>
    <row r="90" spans="1:12">
      <c r="A90" s="404">
        <v>5</v>
      </c>
    </row>
    <row r="91" spans="1:12">
      <c r="A91" s="404">
        <v>10</v>
      </c>
    </row>
    <row r="92" spans="1:12">
      <c r="A92" s="404">
        <v>15</v>
      </c>
    </row>
    <row r="93" spans="1:12">
      <c r="A93" s="404">
        <v>20</v>
      </c>
    </row>
    <row r="94" spans="1:12">
      <c r="A94" s="404">
        <v>25</v>
      </c>
    </row>
    <row r="95" spans="1:12">
      <c r="A95" s="404">
        <v>30</v>
      </c>
    </row>
    <row r="96" spans="1:12" s="264" customFormat="1" ht="30">
      <c r="A96" s="405" t="s">
        <v>676</v>
      </c>
      <c r="B96" s="293">
        <f>(B104-B98)/(RADIANS(A104))</f>
        <v>5.0497526677929745</v>
      </c>
      <c r="C96" s="293"/>
      <c r="D96" s="293"/>
      <c r="E96" s="293"/>
      <c r="F96" s="293"/>
      <c r="G96" s="293"/>
      <c r="H96" s="293"/>
      <c r="I96" s="293"/>
      <c r="J96" s="293"/>
      <c r="K96" s="293"/>
      <c r="L96" s="293"/>
    </row>
    <row r="97" spans="1:12" s="264" customFormat="1" ht="30">
      <c r="A97" s="405" t="s">
        <v>677</v>
      </c>
      <c r="B97" s="293">
        <f>MEDIAN(B98:B104)</f>
        <v>0</v>
      </c>
      <c r="C97" s="293"/>
      <c r="D97" s="293"/>
      <c r="E97" s="293"/>
      <c r="F97" s="293"/>
      <c r="G97" s="293"/>
      <c r="H97" s="293"/>
      <c r="I97" s="293"/>
      <c r="J97" s="293"/>
      <c r="K97" s="293"/>
      <c r="L97" s="293"/>
    </row>
    <row r="98" spans="1:12">
      <c r="A98" s="406">
        <v>0</v>
      </c>
      <c r="B98" s="291">
        <f t="shared" ref="B98:I99" si="31">(B90-B89)/(RADIANS($A90-$A89))</f>
        <v>-2.6440443139306442</v>
      </c>
      <c r="C98" s="291">
        <f t="shared" si="31"/>
        <v>-2.6164378262105408</v>
      </c>
      <c r="D98" s="291">
        <f t="shared" si="31"/>
        <v>-2.4645980761961721</v>
      </c>
      <c r="E98" s="291">
        <f t="shared" si="31"/>
        <v>-2.2162684354974878</v>
      </c>
      <c r="F98" s="291">
        <f t="shared" si="31"/>
        <v>-3.5954697589726101</v>
      </c>
      <c r="G98" s="291">
        <f t="shared" si="31"/>
        <v>0</v>
      </c>
      <c r="H98" s="291">
        <f t="shared" si="31"/>
        <v>-6.0502246869896439</v>
      </c>
      <c r="I98" s="291">
        <f t="shared" si="31"/>
        <v>-8.1850035210693584</v>
      </c>
      <c r="J98" s="291"/>
      <c r="K98" s="291"/>
      <c r="L98" s="291"/>
    </row>
    <row r="99" spans="1:12">
      <c r="A99" s="406">
        <v>5</v>
      </c>
      <c r="B99" s="291">
        <f t="shared" si="31"/>
        <v>0</v>
      </c>
      <c r="C99" s="291">
        <f t="shared" si="31"/>
        <v>0</v>
      </c>
      <c r="D99" s="291">
        <f t="shared" si="31"/>
        <v>0</v>
      </c>
      <c r="E99" s="291">
        <f t="shared" si="31"/>
        <v>0</v>
      </c>
      <c r="F99" s="291">
        <f t="shared" si="31"/>
        <v>0</v>
      </c>
      <c r="G99" s="291">
        <f t="shared" si="31"/>
        <v>0</v>
      </c>
      <c r="H99" s="291">
        <f t="shared" si="31"/>
        <v>0</v>
      </c>
      <c r="I99" s="291">
        <f t="shared" si="31"/>
        <v>0</v>
      </c>
      <c r="J99" s="291"/>
      <c r="K99" s="291"/>
      <c r="L99" s="291"/>
    </row>
    <row r="100" spans="1:12">
      <c r="A100" s="406">
        <v>10</v>
      </c>
      <c r="B100" s="291">
        <f t="shared" ref="B100:I100" si="32">(B92-B91)/(RADIANS($A92-$A91))</f>
        <v>0</v>
      </c>
      <c r="C100" s="291">
        <f t="shared" si="32"/>
        <v>0</v>
      </c>
      <c r="D100" s="291">
        <f t="shared" si="32"/>
        <v>0</v>
      </c>
      <c r="E100" s="291">
        <f t="shared" si="32"/>
        <v>0</v>
      </c>
      <c r="F100" s="291">
        <f t="shared" si="32"/>
        <v>0</v>
      </c>
      <c r="G100" s="291">
        <f t="shared" si="32"/>
        <v>0</v>
      </c>
      <c r="H100" s="291">
        <f t="shared" si="32"/>
        <v>0</v>
      </c>
      <c r="I100" s="291">
        <f t="shared" si="32"/>
        <v>0</v>
      </c>
      <c r="J100" s="291"/>
      <c r="K100" s="291"/>
      <c r="L100" s="291"/>
    </row>
    <row r="101" spans="1:12">
      <c r="A101" s="406">
        <v>15</v>
      </c>
      <c r="B101" s="291">
        <f t="shared" ref="B101:I101" si="33">(B93-B92)/(RADIANS($A93-$A92))</f>
        <v>0</v>
      </c>
      <c r="C101" s="291">
        <f t="shared" si="33"/>
        <v>0</v>
      </c>
      <c r="D101" s="291">
        <f t="shared" si="33"/>
        <v>0</v>
      </c>
      <c r="E101" s="291">
        <f t="shared" si="33"/>
        <v>0</v>
      </c>
      <c r="F101" s="291">
        <f t="shared" si="33"/>
        <v>0</v>
      </c>
      <c r="G101" s="291">
        <f t="shared" si="33"/>
        <v>0</v>
      </c>
      <c r="H101" s="291">
        <f t="shared" si="33"/>
        <v>0</v>
      </c>
      <c r="I101" s="291">
        <f t="shared" si="33"/>
        <v>0</v>
      </c>
      <c r="J101" s="291"/>
      <c r="K101" s="291"/>
      <c r="L101" s="291"/>
    </row>
    <row r="102" spans="1:12">
      <c r="A102" s="406">
        <v>20</v>
      </c>
      <c r="B102" s="291">
        <f t="shared" ref="B102:I102" si="34">(B94-B93)/(RADIANS($A94-$A93))</f>
        <v>0</v>
      </c>
      <c r="C102" s="291">
        <f t="shared" si="34"/>
        <v>0</v>
      </c>
      <c r="D102" s="291">
        <f t="shared" si="34"/>
        <v>0</v>
      </c>
      <c r="E102" s="291">
        <f t="shared" si="34"/>
        <v>0</v>
      </c>
      <c r="F102" s="291">
        <f t="shared" si="34"/>
        <v>0</v>
      </c>
      <c r="G102" s="291">
        <f t="shared" si="34"/>
        <v>0</v>
      </c>
      <c r="H102" s="291">
        <f t="shared" si="34"/>
        <v>0</v>
      </c>
      <c r="I102" s="291">
        <f t="shared" si="34"/>
        <v>0</v>
      </c>
      <c r="J102" s="291"/>
      <c r="K102" s="291"/>
      <c r="L102" s="291"/>
    </row>
    <row r="103" spans="1:12">
      <c r="A103" s="406">
        <v>25</v>
      </c>
      <c r="B103" s="291">
        <f t="shared" ref="B103:I103" si="35">(B95-B94)/(RADIANS($A95-$A94))</f>
        <v>0</v>
      </c>
      <c r="C103" s="291">
        <f t="shared" si="35"/>
        <v>0</v>
      </c>
      <c r="D103" s="291">
        <f t="shared" si="35"/>
        <v>0</v>
      </c>
      <c r="E103" s="291">
        <f t="shared" si="35"/>
        <v>0</v>
      </c>
      <c r="F103" s="291">
        <f t="shared" si="35"/>
        <v>0</v>
      </c>
      <c r="G103" s="291">
        <f t="shared" si="35"/>
        <v>0</v>
      </c>
      <c r="H103" s="291">
        <f t="shared" si="35"/>
        <v>0</v>
      </c>
      <c r="I103" s="291">
        <f t="shared" si="35"/>
        <v>0</v>
      </c>
      <c r="J103" s="291"/>
      <c r="K103" s="291"/>
      <c r="L103" s="291"/>
    </row>
    <row r="104" spans="1:12">
      <c r="A104" s="406">
        <v>30</v>
      </c>
      <c r="B104" s="291">
        <f>IF($A104=30,B103,0)</f>
        <v>0</v>
      </c>
      <c r="C104" s="291">
        <f t="shared" ref="C104" si="36">IF($A104=30,C103,0)</f>
        <v>0</v>
      </c>
      <c r="D104" s="291">
        <f t="shared" ref="D104" si="37">IF($A104=30,D103,0)</f>
        <v>0</v>
      </c>
      <c r="E104" s="291">
        <f t="shared" ref="E104" si="38">IF($A104=30,E103,0)</f>
        <v>0</v>
      </c>
      <c r="F104" s="291">
        <f t="shared" ref="F104" si="39">IF($A104=30,F103,0)</f>
        <v>0</v>
      </c>
      <c r="G104" s="291">
        <f t="shared" ref="G104" si="40">IF($A104=30,G103,0)</f>
        <v>0</v>
      </c>
      <c r="H104" s="291">
        <f t="shared" ref="H104" si="41">IF($A104=30,H103,0)</f>
        <v>0</v>
      </c>
      <c r="I104" s="291">
        <f t="shared" ref="I104" si="42">IF($A104=30,I103,0)</f>
        <v>0</v>
      </c>
      <c r="J104" s="291"/>
      <c r="K104" s="291"/>
      <c r="L104" s="291"/>
    </row>
    <row r="105" spans="1:12" s="97" customFormat="1" ht="6.75" customHeight="1">
      <c r="A105" s="407"/>
      <c r="B105" s="345"/>
      <c r="C105" s="345"/>
      <c r="D105" s="345"/>
      <c r="E105" s="345"/>
      <c r="F105" s="345"/>
      <c r="G105" s="345"/>
      <c r="H105" s="345"/>
      <c r="I105" s="345"/>
      <c r="J105" s="345"/>
      <c r="K105" s="345"/>
      <c r="L105" s="345"/>
    </row>
    <row r="106" spans="1:12" ht="42.75">
      <c r="A106" s="404" t="s">
        <v>539</v>
      </c>
    </row>
    <row r="107" spans="1:12">
      <c r="A107" s="404">
        <v>0</v>
      </c>
      <c r="B107" s="279">
        <f t="shared" ref="B107:I107" si="43">B37/B5</f>
        <v>-1.0716000757111763</v>
      </c>
      <c r="C107" s="279">
        <f t="shared" si="43"/>
        <v>-3.1307069988287007E-4</v>
      </c>
      <c r="D107" s="279">
        <f t="shared" si="43"/>
        <v>-1.0973975994824926E-2</v>
      </c>
      <c r="E107" s="279">
        <f t="shared" si="43"/>
        <v>-4.8860454195801643E-3</v>
      </c>
      <c r="F107" s="279">
        <f t="shared" si="43"/>
        <v>-4.3198471115052503E-3</v>
      </c>
      <c r="H107" s="279">
        <f t="shared" si="43"/>
        <v>-2.4114624068603963</v>
      </c>
      <c r="I107" s="279">
        <f t="shared" si="43"/>
        <v>0.54643386097952507</v>
      </c>
    </row>
    <row r="108" spans="1:12">
      <c r="A108" s="404">
        <v>5</v>
      </c>
    </row>
    <row r="109" spans="1:12">
      <c r="A109" s="404">
        <v>10</v>
      </c>
    </row>
    <row r="110" spans="1:12">
      <c r="A110" s="404">
        <v>15</v>
      </c>
    </row>
    <row r="111" spans="1:12">
      <c r="A111" s="404">
        <v>20</v>
      </c>
    </row>
    <row r="112" spans="1:12">
      <c r="A112" s="404">
        <v>25</v>
      </c>
    </row>
    <row r="113" spans="1:9">
      <c r="A113" s="404">
        <v>30</v>
      </c>
    </row>
    <row r="114" spans="1:9" ht="42.75">
      <c r="A114" s="404" t="s">
        <v>540</v>
      </c>
    </row>
    <row r="115" spans="1:9">
      <c r="A115" s="404">
        <v>0</v>
      </c>
      <c r="B115" s="279">
        <f t="shared" ref="B115:I115" si="44">B45/B13</f>
        <v>-0.41464066168686775</v>
      </c>
      <c r="C115" s="279">
        <f t="shared" si="44"/>
        <v>-0.43743291880967239</v>
      </c>
      <c r="D115" s="279">
        <f t="shared" si="44"/>
        <v>-0.57466148543661322</v>
      </c>
      <c r="E115" s="279">
        <f t="shared" si="44"/>
        <v>-0.66093708494079895</v>
      </c>
      <c r="F115" s="279">
        <f t="shared" si="44"/>
        <v>-1.5354261032797718</v>
      </c>
      <c r="H115" s="279">
        <f t="shared" si="44"/>
        <v>0.81692879353958603</v>
      </c>
      <c r="I115" s="279">
        <f t="shared" si="44"/>
        <v>-0.7361699996584653</v>
      </c>
    </row>
    <row r="116" spans="1:9">
      <c r="A116" s="404">
        <v>5</v>
      </c>
    </row>
    <row r="117" spans="1:9">
      <c r="A117" s="404">
        <v>10</v>
      </c>
    </row>
    <row r="118" spans="1:9">
      <c r="A118" s="404">
        <v>15</v>
      </c>
    </row>
    <row r="119" spans="1:9">
      <c r="A119" s="404">
        <v>20</v>
      </c>
    </row>
    <row r="120" spans="1:9">
      <c r="A120" s="404">
        <v>25</v>
      </c>
    </row>
    <row r="121" spans="1:9">
      <c r="A121" s="404">
        <v>30</v>
      </c>
    </row>
  </sheetData>
  <conditionalFormatting sqref="B55:F55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56:F5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57:F57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58:F58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59:F59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60:F60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00" t="s">
        <v>541</v>
      </c>
      <c r="B1" s="400"/>
      <c r="C1" s="296">
        <v>0.5</v>
      </c>
      <c r="D1" s="296">
        <v>1</v>
      </c>
      <c r="E1" s="296">
        <v>1.5</v>
      </c>
      <c r="F1" s="296">
        <v>3</v>
      </c>
      <c r="G1" s="296">
        <v>5</v>
      </c>
      <c r="H1" s="297" t="s">
        <v>176</v>
      </c>
      <c r="J1" t="s">
        <v>679</v>
      </c>
    </row>
    <row r="2" spans="1:10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00" t="s">
        <v>542</v>
      </c>
      <c r="B6" s="400"/>
      <c r="C6">
        <v>50</v>
      </c>
      <c r="D6">
        <v>100</v>
      </c>
      <c r="E6">
        <v>200</v>
      </c>
      <c r="F6">
        <v>300</v>
      </c>
    </row>
    <row r="7" spans="1:10">
      <c r="A7" s="264">
        <v>3</v>
      </c>
      <c r="B7" s="264">
        <f>A7*2.54</f>
        <v>7.62</v>
      </c>
      <c r="C7" s="296">
        <f>C$6/$B7</f>
        <v>6.5616797900262469</v>
      </c>
      <c r="D7" s="296">
        <f t="shared" ref="D7:F9" si="4">D$6/$B7</f>
        <v>13.123359580052494</v>
      </c>
      <c r="E7" s="296">
        <f t="shared" si="4"/>
        <v>26.246719160104988</v>
      </c>
      <c r="F7" s="296">
        <f t="shared" si="4"/>
        <v>39.370078740157481</v>
      </c>
      <c r="G7" s="401" t="s">
        <v>176</v>
      </c>
    </row>
    <row r="8" spans="1:10">
      <c r="A8" s="264">
        <v>5</v>
      </c>
      <c r="B8" s="264">
        <f t="shared" ref="B8:B9" si="5">A8*2.54</f>
        <v>12.7</v>
      </c>
      <c r="C8" s="296">
        <f>C$6/$B8</f>
        <v>3.9370078740157481</v>
      </c>
      <c r="D8" s="296">
        <f t="shared" si="4"/>
        <v>7.8740157480314963</v>
      </c>
      <c r="E8" s="296">
        <f t="shared" si="4"/>
        <v>15.748031496062993</v>
      </c>
      <c r="F8" s="296">
        <f>F$6/$B8</f>
        <v>23.622047244094489</v>
      </c>
      <c r="G8" s="401"/>
    </row>
    <row r="9" spans="1:10">
      <c r="A9" s="264">
        <v>8</v>
      </c>
      <c r="B9" s="264">
        <f t="shared" si="5"/>
        <v>20.32</v>
      </c>
      <c r="C9" s="296">
        <f t="shared" ref="C9" si="6">C$6/$B9</f>
        <v>2.4606299212598426</v>
      </c>
      <c r="D9" s="296">
        <f t="shared" si="4"/>
        <v>4.9212598425196852</v>
      </c>
      <c r="E9" s="296">
        <f t="shared" si="4"/>
        <v>9.8425196850393704</v>
      </c>
      <c r="F9" s="296">
        <f t="shared" si="4"/>
        <v>14.763779527559056</v>
      </c>
      <c r="G9" s="401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topLeftCell="A50" zoomScale="97" workbookViewId="0">
      <selection activeCell="J138" sqref="J138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8" t="s">
        <v>384</v>
      </c>
    </row>
    <row r="4" spans="1:5">
      <c r="A4" s="187" t="s">
        <v>385</v>
      </c>
    </row>
    <row r="5" spans="1:5">
      <c r="B5" s="402"/>
      <c r="C5" s="402"/>
      <c r="D5" s="402"/>
      <c r="E5" s="402"/>
    </row>
    <row r="6" spans="1:5">
      <c r="A6" s="299" t="s">
        <v>386</v>
      </c>
      <c r="B6" s="299">
        <v>1.5</v>
      </c>
      <c r="C6" s="299">
        <v>3</v>
      </c>
      <c r="D6" s="299">
        <v>5</v>
      </c>
      <c r="E6" s="299">
        <v>7</v>
      </c>
    </row>
    <row r="7" spans="1:5">
      <c r="A7" s="299">
        <v>0</v>
      </c>
      <c r="B7" s="299">
        <v>2</v>
      </c>
      <c r="C7" s="299">
        <v>2</v>
      </c>
      <c r="D7" s="299">
        <v>2</v>
      </c>
      <c r="E7" s="299">
        <v>2</v>
      </c>
    </row>
    <row r="8" spans="1:5">
      <c r="A8" s="299">
        <v>0.3</v>
      </c>
      <c r="B8" s="299">
        <v>2.0099999999999998</v>
      </c>
      <c r="C8" s="299">
        <v>2.0099999999999998</v>
      </c>
      <c r="D8" s="299">
        <v>2.0099999999999998</v>
      </c>
      <c r="E8" s="299">
        <v>2.0099999999999998</v>
      </c>
    </row>
    <row r="9" spans="1:5">
      <c r="A9" s="299">
        <v>0.4</v>
      </c>
      <c r="B9" s="299">
        <v>2.02</v>
      </c>
      <c r="C9" s="299">
        <v>2.02</v>
      </c>
      <c r="D9" s="299">
        <v>2.02</v>
      </c>
      <c r="E9" s="299">
        <v>2.02</v>
      </c>
    </row>
    <row r="10" spans="1:5">
      <c r="A10" s="299">
        <v>0.5</v>
      </c>
      <c r="B10" s="299">
        <v>2.0299999999999998</v>
      </c>
      <c r="C10" s="299">
        <v>2.0299999999999998</v>
      </c>
      <c r="D10" s="299">
        <v>2.0299999999999998</v>
      </c>
      <c r="E10" s="299">
        <v>2.0299999999999998</v>
      </c>
    </row>
    <row r="11" spans="1:5">
      <c r="A11" s="299">
        <v>0.6</v>
      </c>
      <c r="B11" s="299">
        <v>2.0499999999999998</v>
      </c>
      <c r="C11" s="299">
        <v>2.0499999999999998</v>
      </c>
      <c r="D11" s="299">
        <v>2.0499999999999998</v>
      </c>
      <c r="E11" s="299">
        <v>2.0499999999999998</v>
      </c>
    </row>
    <row r="12" spans="1:5">
      <c r="A12" s="299">
        <v>0.7</v>
      </c>
      <c r="B12" s="299">
        <v>2.06</v>
      </c>
      <c r="C12" s="299">
        <v>2.06</v>
      </c>
      <c r="D12" s="299">
        <v>2.06</v>
      </c>
      <c r="E12" s="299">
        <v>2.06</v>
      </c>
    </row>
    <row r="13" spans="1:5">
      <c r="A13" s="299">
        <v>0.8</v>
      </c>
      <c r="B13" s="299">
        <v>2.1</v>
      </c>
      <c r="C13" s="299">
        <v>2.1</v>
      </c>
      <c r="D13" s="299">
        <v>2.1</v>
      </c>
      <c r="E13" s="299">
        <v>2.1</v>
      </c>
    </row>
    <row r="14" spans="1:5">
      <c r="A14" s="299">
        <v>0.9</v>
      </c>
      <c r="B14" s="299">
        <v>2.16</v>
      </c>
      <c r="C14" s="299">
        <v>2.16</v>
      </c>
      <c r="D14" s="299">
        <v>2.16</v>
      </c>
      <c r="E14" s="299">
        <v>2.16</v>
      </c>
    </row>
    <row r="15" spans="1:5">
      <c r="A15" s="299">
        <v>1</v>
      </c>
      <c r="B15" s="299">
        <v>2.2999999999999998</v>
      </c>
      <c r="C15" s="299">
        <v>2.2999999999999998</v>
      </c>
      <c r="D15" s="299">
        <v>2.2999999999999998</v>
      </c>
      <c r="E15" s="299">
        <v>2.2999999999999998</v>
      </c>
    </row>
    <row r="16" spans="1:5">
      <c r="A16" s="299">
        <v>1.05</v>
      </c>
      <c r="B16" s="299">
        <v>2.36</v>
      </c>
      <c r="C16" s="299">
        <v>2.36</v>
      </c>
      <c r="D16" s="299">
        <v>2.36</v>
      </c>
      <c r="E16" s="299">
        <v>2.36</v>
      </c>
    </row>
    <row r="17" spans="1:5">
      <c r="A17" s="299">
        <v>1.1000000000000001</v>
      </c>
      <c r="B17" s="299">
        <v>2.4</v>
      </c>
      <c r="C17" s="299">
        <v>2.4</v>
      </c>
      <c r="D17" s="299">
        <v>2.4</v>
      </c>
      <c r="E17" s="299">
        <v>2.4</v>
      </c>
    </row>
    <row r="18" spans="1:5">
      <c r="A18" s="299">
        <v>1.1499999999999999</v>
      </c>
      <c r="B18" s="299">
        <v>2.38</v>
      </c>
      <c r="C18" s="299">
        <v>2.37</v>
      </c>
      <c r="D18" s="299">
        <v>2.37</v>
      </c>
      <c r="E18" s="299">
        <v>2.38</v>
      </c>
    </row>
    <row r="19" spans="1:5">
      <c r="A19" s="299">
        <v>1.2</v>
      </c>
      <c r="B19" s="299">
        <v>2.37</v>
      </c>
      <c r="C19" s="299">
        <v>2.3199999999999998</v>
      </c>
      <c r="D19" s="299">
        <v>2.2999999999999998</v>
      </c>
      <c r="E19" s="299">
        <v>2.2999999999999998</v>
      </c>
    </row>
    <row r="20" spans="1:5">
      <c r="A20" s="299">
        <v>1.3</v>
      </c>
      <c r="B20" s="299">
        <v>2.35</v>
      </c>
      <c r="C20" s="299">
        <v>2.27</v>
      </c>
      <c r="D20" s="299">
        <v>2.21</v>
      </c>
      <c r="E20" s="299">
        <v>2.21</v>
      </c>
    </row>
    <row r="21" spans="1:5">
      <c r="A21" s="299">
        <v>1.4</v>
      </c>
      <c r="B21" s="299">
        <v>2.35</v>
      </c>
      <c r="C21" s="299">
        <v>2.25</v>
      </c>
      <c r="D21" s="299">
        <v>2.16</v>
      </c>
      <c r="E21" s="299">
        <v>2.13</v>
      </c>
    </row>
    <row r="22" spans="1:5">
      <c r="A22" s="299">
        <v>1.5</v>
      </c>
      <c r="B22" s="299">
        <v>2.35</v>
      </c>
      <c r="C22" s="299">
        <v>2.2400000000000002</v>
      </c>
      <c r="D22" s="299">
        <v>2.12</v>
      </c>
      <c r="E22" s="299">
        <v>2.08</v>
      </c>
    </row>
    <row r="23" spans="1:5">
      <c r="A23" s="299">
        <v>1.75</v>
      </c>
      <c r="B23" s="299">
        <v>2.37</v>
      </c>
      <c r="C23" s="299">
        <v>2.2599999999999998</v>
      </c>
      <c r="D23" s="299">
        <v>2.08</v>
      </c>
      <c r="E23" s="299">
        <v>2.0299999999999998</v>
      </c>
    </row>
    <row r="24" spans="1:5">
      <c r="A24" s="299">
        <v>2</v>
      </c>
      <c r="B24" s="299">
        <v>2.4</v>
      </c>
      <c r="C24" s="299">
        <v>2.31</v>
      </c>
      <c r="D24" s="299">
        <v>2.08</v>
      </c>
      <c r="E24" s="299">
        <v>2.0099999999999998</v>
      </c>
    </row>
    <row r="25" spans="1:5">
      <c r="A25" s="299">
        <v>2.25</v>
      </c>
      <c r="B25" s="299">
        <v>2.42</v>
      </c>
      <c r="C25" s="299">
        <v>2.36</v>
      </c>
      <c r="D25" s="299">
        <v>2.12</v>
      </c>
      <c r="E25" s="299">
        <v>2.0299999999999998</v>
      </c>
    </row>
    <row r="26" spans="1:5">
      <c r="A26" s="299">
        <v>2.5</v>
      </c>
      <c r="B26" s="299">
        <v>2.4500000000000002</v>
      </c>
      <c r="C26" s="299">
        <v>2.4</v>
      </c>
      <c r="D26" s="299">
        <v>2.15</v>
      </c>
      <c r="E26" s="299">
        <v>2.06</v>
      </c>
    </row>
    <row r="27" spans="1:5">
      <c r="A27" s="299">
        <v>3</v>
      </c>
      <c r="B27" s="299">
        <v>2.48</v>
      </c>
      <c r="C27" s="299">
        <v>2.4900000000000002</v>
      </c>
      <c r="D27" s="299">
        <v>2.2200000000000002</v>
      </c>
      <c r="E27" s="299">
        <v>2.1</v>
      </c>
    </row>
    <row r="28" spans="1:5">
      <c r="A28" s="299">
        <v>3.5</v>
      </c>
      <c r="B28" s="299">
        <v>2.5099999999999998</v>
      </c>
      <c r="C28" s="299">
        <v>2.57</v>
      </c>
      <c r="D28" s="299">
        <v>2.2799999999999998</v>
      </c>
      <c r="E28" s="299">
        <v>2.14</v>
      </c>
    </row>
    <row r="29" spans="1:5">
      <c r="A29" s="299">
        <v>4</v>
      </c>
      <c r="B29" s="299">
        <v>2.5299999999999998</v>
      </c>
      <c r="C29" s="299">
        <v>2.63</v>
      </c>
      <c r="D29" s="299">
        <v>2.34</v>
      </c>
      <c r="E29" s="299">
        <v>2.1800000000000002</v>
      </c>
    </row>
    <row r="30" spans="1:5">
      <c r="A30" s="299">
        <v>4.5</v>
      </c>
      <c r="B30" s="299">
        <v>2.56</v>
      </c>
      <c r="C30" s="299">
        <v>2.67</v>
      </c>
      <c r="D30" s="299">
        <v>2.39</v>
      </c>
      <c r="E30" s="299">
        <v>2.21</v>
      </c>
    </row>
    <row r="31" spans="1:5">
      <c r="A31" s="299">
        <v>5</v>
      </c>
      <c r="B31" s="299">
        <v>2.57</v>
      </c>
      <c r="C31" s="299">
        <v>2.7</v>
      </c>
      <c r="D31" s="299">
        <v>2.4300000000000002</v>
      </c>
      <c r="E31" s="299">
        <v>2.2400000000000002</v>
      </c>
    </row>
    <row r="33" spans="1:7">
      <c r="A33" s="300" t="s">
        <v>551</v>
      </c>
      <c r="B33" s="299"/>
      <c r="C33" s="299"/>
      <c r="D33" s="299"/>
      <c r="E33" s="299"/>
      <c r="F33" s="299"/>
      <c r="G33" s="299"/>
    </row>
    <row r="34" spans="1:7">
      <c r="A34" s="299"/>
      <c r="B34" s="299" t="s">
        <v>387</v>
      </c>
      <c r="C34" s="299"/>
      <c r="D34" s="299"/>
      <c r="E34" s="299"/>
      <c r="F34" s="299"/>
      <c r="G34" s="299"/>
    </row>
    <row r="35" spans="1:7">
      <c r="A35" s="299" t="s">
        <v>386</v>
      </c>
      <c r="B35" s="299">
        <v>1.5</v>
      </c>
      <c r="C35" s="299">
        <v>2</v>
      </c>
      <c r="D35" s="299">
        <v>3</v>
      </c>
      <c r="E35" s="299">
        <v>5</v>
      </c>
      <c r="F35" s="299">
        <v>6</v>
      </c>
      <c r="G35" s="299">
        <v>7</v>
      </c>
    </row>
    <row r="36" spans="1:7">
      <c r="A36" s="299">
        <v>0</v>
      </c>
      <c r="B36" s="299">
        <v>0.46600000000000003</v>
      </c>
      <c r="C36" s="299">
        <v>0.46600000000000003</v>
      </c>
      <c r="D36" s="299">
        <v>0.46600000000000003</v>
      </c>
      <c r="E36" s="299">
        <v>0.46600000000000003</v>
      </c>
      <c r="F36" s="299">
        <v>0.46600000000000003</v>
      </c>
      <c r="G36" s="299">
        <v>0.46600000000000003</v>
      </c>
    </row>
    <row r="37" spans="1:7">
      <c r="A37" s="299">
        <v>1</v>
      </c>
      <c r="B37" s="299">
        <v>0.46600000000000003</v>
      </c>
      <c r="C37" s="299">
        <v>0.46600000000000003</v>
      </c>
      <c r="D37" s="299">
        <v>0.46600000000000003</v>
      </c>
      <c r="E37" s="299">
        <v>0.46600000000000003</v>
      </c>
      <c r="F37" s="299">
        <v>0.46600000000000003</v>
      </c>
      <c r="G37" s="299">
        <v>0.46600000000000003</v>
      </c>
    </row>
    <row r="38" spans="1:7">
      <c r="A38" s="299">
        <v>2</v>
      </c>
      <c r="B38" s="299">
        <v>0.75</v>
      </c>
      <c r="C38" s="299">
        <v>1.02</v>
      </c>
      <c r="D38" s="299">
        <v>1.59</v>
      </c>
      <c r="E38" s="299">
        <v>2.1</v>
      </c>
      <c r="F38" s="299">
        <v>3.02</v>
      </c>
      <c r="G38" s="299">
        <v>3.35</v>
      </c>
    </row>
    <row r="39" spans="1:7">
      <c r="A39" s="299">
        <v>3</v>
      </c>
      <c r="B39" s="299">
        <v>0.93</v>
      </c>
      <c r="C39" s="299">
        <v>1.25</v>
      </c>
      <c r="D39" s="299">
        <v>1.84</v>
      </c>
      <c r="E39" s="299">
        <v>2.4</v>
      </c>
      <c r="F39" s="299">
        <v>3.23</v>
      </c>
      <c r="G39" s="299">
        <v>3.43</v>
      </c>
    </row>
    <row r="40" spans="1:7">
      <c r="A40" s="299">
        <v>4</v>
      </c>
      <c r="B40" s="299">
        <v>1.2</v>
      </c>
      <c r="C40" s="299">
        <v>1.52</v>
      </c>
      <c r="D40" s="299">
        <v>2.08</v>
      </c>
      <c r="E40" s="299">
        <v>2.6</v>
      </c>
      <c r="F40" s="299">
        <v>3.43</v>
      </c>
      <c r="G40" s="299">
        <v>3.74</v>
      </c>
    </row>
    <row r="41" spans="1:7">
      <c r="A41" s="299">
        <v>5</v>
      </c>
      <c r="B41" s="299">
        <v>1.35</v>
      </c>
      <c r="C41" s="299">
        <v>1.62</v>
      </c>
      <c r="D41" s="299">
        <v>2.12</v>
      </c>
      <c r="E41" s="299">
        <v>2.6</v>
      </c>
      <c r="F41" s="299">
        <v>3.43</v>
      </c>
      <c r="G41" s="299">
        <v>3.74</v>
      </c>
    </row>
    <row r="43" spans="1:7">
      <c r="A43" t="s">
        <v>543</v>
      </c>
      <c r="B43">
        <f>B35</f>
        <v>1.5</v>
      </c>
      <c r="C43" t="s">
        <v>388</v>
      </c>
      <c r="D43" t="s">
        <v>545</v>
      </c>
    </row>
    <row r="44" spans="1:7">
      <c r="A44" s="298" t="s">
        <v>544</v>
      </c>
      <c r="B44" s="298">
        <f>1.5*B45</f>
        <v>12</v>
      </c>
      <c r="C44" s="298" t="s">
        <v>196</v>
      </c>
      <c r="D44" t="s">
        <v>546</v>
      </c>
      <c r="E44">
        <f>B45*10</f>
        <v>80</v>
      </c>
      <c r="F44" t="s">
        <v>196</v>
      </c>
    </row>
    <row r="45" spans="1:7">
      <c r="A45" s="298" t="s">
        <v>548</v>
      </c>
      <c r="B45" s="298">
        <v>8</v>
      </c>
      <c r="C45" s="298" t="s">
        <v>196</v>
      </c>
      <c r="D45" t="s">
        <v>547</v>
      </c>
    </row>
    <row r="48" spans="1:7" ht="30">
      <c r="A48" s="188" t="s">
        <v>389</v>
      </c>
    </row>
    <row r="56" spans="1:4">
      <c r="A56" s="299" t="s">
        <v>390</v>
      </c>
      <c r="B56" s="299"/>
      <c r="C56" s="299"/>
      <c r="D56" s="299"/>
    </row>
    <row r="57" spans="1:4">
      <c r="A57" s="299" t="s">
        <v>84</v>
      </c>
      <c r="B57" s="299" t="s">
        <v>391</v>
      </c>
      <c r="C57" s="299" t="s">
        <v>392</v>
      </c>
      <c r="D57" s="299" t="s">
        <v>560</v>
      </c>
    </row>
    <row r="58" spans="1:4">
      <c r="A58" s="299">
        <v>0</v>
      </c>
      <c r="B58" s="299">
        <v>0</v>
      </c>
      <c r="C58" s="301">
        <v>1E-3</v>
      </c>
      <c r="D58" s="302">
        <f>(C58-C58)/C58</f>
        <v>0</v>
      </c>
    </row>
    <row r="59" spans="1:4">
      <c r="A59" s="299">
        <v>5</v>
      </c>
      <c r="B59" s="299">
        <v>5.0000000000000001E-3</v>
      </c>
      <c r="C59" s="301">
        <f t="shared" ref="C59:C64" si="0">(B59-B58)/(A59)</f>
        <v>1E-3</v>
      </c>
      <c r="D59" s="302">
        <f>(C59-C58)/C58</f>
        <v>0</v>
      </c>
    </row>
    <row r="60" spans="1:4">
      <c r="A60" s="299">
        <v>10</v>
      </c>
      <c r="B60" s="299">
        <v>1.4999999999999999E-2</v>
      </c>
      <c r="C60" s="301">
        <f t="shared" si="0"/>
        <v>9.999999999999998E-4</v>
      </c>
      <c r="D60" s="302">
        <f t="shared" ref="D60:D64" si="1">(C60-C59)/C59</f>
        <v>-2.1684043449710089E-16</v>
      </c>
    </row>
    <row r="61" spans="1:4">
      <c r="A61" s="299">
        <v>15</v>
      </c>
      <c r="B61" s="299">
        <v>3.5000000000000003E-2</v>
      </c>
      <c r="C61" s="301">
        <f t="shared" si="0"/>
        <v>1.3333333333333335E-3</v>
      </c>
      <c r="D61" s="302">
        <f>(C61-C60)/C60</f>
        <v>0.33333333333333376</v>
      </c>
    </row>
    <row r="62" spans="1:4">
      <c r="A62" s="299">
        <v>20</v>
      </c>
      <c r="B62" s="299">
        <v>6.5000000000000002E-2</v>
      </c>
      <c r="C62" s="301">
        <f t="shared" si="0"/>
        <v>1.5E-3</v>
      </c>
      <c r="D62" s="302">
        <f t="shared" si="1"/>
        <v>0.12499999999999988</v>
      </c>
    </row>
    <row r="63" spans="1:4">
      <c r="A63" s="299">
        <v>25</v>
      </c>
      <c r="B63" s="299">
        <v>0.11</v>
      </c>
      <c r="C63" s="301">
        <f t="shared" si="0"/>
        <v>1.8E-3</v>
      </c>
      <c r="D63" s="302">
        <f t="shared" si="1"/>
        <v>0.19999999999999996</v>
      </c>
    </row>
    <row r="64" spans="1:4">
      <c r="A64" s="299">
        <v>30</v>
      </c>
      <c r="B64" s="299">
        <v>0.17499999999999999</v>
      </c>
      <c r="C64" s="301">
        <f t="shared" si="0"/>
        <v>2.1666666666666661E-3</v>
      </c>
      <c r="D64" s="302">
        <f t="shared" si="1"/>
        <v>0.20370370370370344</v>
      </c>
    </row>
    <row r="65" spans="1:14">
      <c r="A65" s="299"/>
      <c r="B65" s="299" t="s">
        <v>393</v>
      </c>
      <c r="C65" s="301">
        <f>AVERAGE(C58:C64)</f>
        <v>1.3999999999999998E-3</v>
      </c>
      <c r="D65" s="299"/>
    </row>
    <row r="67" spans="1:14">
      <c r="A67" s="299" t="s">
        <v>394</v>
      </c>
      <c r="B67" s="299"/>
    </row>
    <row r="68" spans="1:14">
      <c r="A68" s="299" t="s">
        <v>395</v>
      </c>
      <c r="B68" s="299" t="s">
        <v>396</v>
      </c>
    </row>
    <row r="69" spans="1:14">
      <c r="A69" s="299">
        <v>0</v>
      </c>
      <c r="B69" s="299">
        <v>6.3E-2</v>
      </c>
    </row>
    <row r="70" spans="1:14">
      <c r="A70" s="299">
        <v>0.5</v>
      </c>
      <c r="B70" s="299">
        <v>6.8000000000000005E-2</v>
      </c>
    </row>
    <row r="71" spans="1:14">
      <c r="A71" s="299">
        <v>0.7</v>
      </c>
      <c r="B71" s="299">
        <v>6.9000000000000006E-2</v>
      </c>
      <c r="M71" t="s">
        <v>575</v>
      </c>
      <c r="N71">
        <v>0.85</v>
      </c>
    </row>
    <row r="72" spans="1:14">
      <c r="A72" s="299">
        <v>0.8</v>
      </c>
      <c r="B72" s="299">
        <v>6.9000000000000006E-2</v>
      </c>
      <c r="M72" t="s">
        <v>392</v>
      </c>
      <c r="N72">
        <f>VLOOKUP(N71,A69:B81,2,TRUE)</f>
        <v>6.9000000000000006E-2</v>
      </c>
    </row>
    <row r="73" spans="1:14">
      <c r="A73" s="299">
        <v>0.9</v>
      </c>
      <c r="B73" s="299">
        <v>6.7000000000000004E-2</v>
      </c>
    </row>
    <row r="74" spans="1:14">
      <c r="A74" s="299">
        <v>1</v>
      </c>
      <c r="B74" s="299">
        <v>6.6000000000000003E-2</v>
      </c>
    </row>
    <row r="75" spans="1:14">
      <c r="A75" s="299">
        <v>1.2</v>
      </c>
      <c r="B75" s="299">
        <v>6.3E-2</v>
      </c>
    </row>
    <row r="76" spans="1:14">
      <c r="A76" s="299">
        <v>1.5</v>
      </c>
      <c r="B76" s="299">
        <v>5.7000000000000002E-2</v>
      </c>
    </row>
    <row r="77" spans="1:14">
      <c r="A77" s="299">
        <v>2</v>
      </c>
      <c r="B77" s="299">
        <v>0.06</v>
      </c>
    </row>
    <row r="78" spans="1:14">
      <c r="A78" s="299">
        <v>2.5</v>
      </c>
      <c r="B78" s="299">
        <v>6.6000000000000003E-2</v>
      </c>
    </row>
    <row r="79" spans="1:14">
      <c r="A79" s="299">
        <v>3</v>
      </c>
      <c r="B79" s="299">
        <v>7.6999999999999999E-2</v>
      </c>
    </row>
    <row r="80" spans="1:14">
      <c r="A80" s="299">
        <v>3.5</v>
      </c>
      <c r="B80" s="299">
        <v>9.1999999999999998E-2</v>
      </c>
    </row>
    <row r="81" spans="1:4">
      <c r="A81" s="299">
        <v>4</v>
      </c>
      <c r="B81" s="299">
        <v>0.115</v>
      </c>
    </row>
    <row r="83" spans="1:4">
      <c r="A83" t="s">
        <v>397</v>
      </c>
      <c r="B83" t="s">
        <v>398</v>
      </c>
    </row>
    <row r="85" spans="1:4">
      <c r="D85" t="s">
        <v>549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550</v>
      </c>
    </row>
    <row r="103" spans="1:10">
      <c r="A103" t="s">
        <v>552</v>
      </c>
    </row>
    <row r="105" spans="1:10">
      <c r="I105" t="s">
        <v>553</v>
      </c>
    </row>
    <row r="111" spans="1:10">
      <c r="J111" t="s">
        <v>554</v>
      </c>
    </row>
    <row r="112" spans="1:10" ht="15">
      <c r="J112" t="s">
        <v>555</v>
      </c>
    </row>
    <row r="114" spans="1:18">
      <c r="J114" t="s">
        <v>556</v>
      </c>
    </row>
    <row r="115" spans="1:18">
      <c r="J115" t="s">
        <v>557</v>
      </c>
    </row>
    <row r="117" spans="1:18">
      <c r="R117" t="s">
        <v>559</v>
      </c>
    </row>
    <row r="123" spans="1:18">
      <c r="A123" t="s">
        <v>558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purl.org/dc/elements/1.1/"/>
    <ds:schemaRef ds:uri="http://schemas.microsoft.com/office/2006/metadata/properties"/>
    <ds:schemaRef ds:uri="http://purl.org/dc/terms/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11</vt:i4>
      </vt:variant>
    </vt:vector>
  </HeadingPairs>
  <TitlesOfParts>
    <vt:vector size="25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dcterms:created xsi:type="dcterms:W3CDTF">2024-07-02T19:27:32Z</dcterms:created>
  <dcterms:modified xsi:type="dcterms:W3CDTF">2025-08-15T18:09:11Z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