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ink/ink9.xml" ContentType="application/inkml+xml"/>
  <Override PartName="/xl/ink/ink10.xml" ContentType="application/inkml+xml"/>
  <Override PartName="/xl/ink/ink11.xml" ContentType="application/inkml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7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BF4C8ADD-D7AF-49EF-AC56-34EDEFFB457B}" xr6:coauthVersionLast="47" xr6:coauthVersionMax="47" xr10:uidLastSave="{00000000-0000-0000-0000-000000000000}"/>
  <bookViews>
    <workbookView xWindow="28680" yWindow="1770" windowWidth="29040" windowHeight="15720" tabRatio="864" firstSheet="1" activeTab="1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V1" sheetId="25" r:id="rId5"/>
    <sheet name="RocketAeroDesign 3.0 " sheetId="24" r:id="rId6"/>
    <sheet name="FinAeroDesign 2.0" sheetId="17" r:id="rId7"/>
    <sheet name="CFD forebody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5">'RocketAeroDesign 3.0 '!$B$2</definedName>
    <definedName name="Airflow">'FinAeroDesign 2.0'!$B$2</definedName>
    <definedName name="AoAfins" localSheetId="5">'RocketAeroDesign 3.0 '!$B$13</definedName>
    <definedName name="AoAfins">'FinAeroDesign 2.0'!$B$9</definedName>
    <definedName name="AoSfins" localSheetId="5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bending">SimpleCompositesV1!$D$116</definedName>
    <definedName name="ScuComp">SimpleCompositesV1!$B$57</definedName>
    <definedName name="ScyComp">SimpleCompositesV1!$B$56</definedName>
    <definedName name="SsyComp">SimpleCompositesV1!$D$38</definedName>
    <definedName name="StyComp">SimpleCompositesV1!$B$55</definedName>
    <definedName name="tubeZ">SimpleCompositesV1!$I$83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8" l="1"/>
  <c r="O34" i="22"/>
  <c r="O30" i="22"/>
  <c r="O32" i="22"/>
  <c r="O27" i="22"/>
  <c r="B7" i="24"/>
  <c r="C17" i="17"/>
  <c r="B15" i="17"/>
  <c r="D198" i="25" l="1"/>
  <c r="P201" i="25"/>
  <c r="D200" i="25"/>
  <c r="D199" i="25"/>
  <c r="D201" i="25"/>
  <c r="D209" i="25" s="1"/>
  <c r="D197" i="25"/>
  <c r="E197" i="25" s="1"/>
  <c r="D202" i="25"/>
  <c r="D268" i="25"/>
  <c r="D270" i="25" s="1"/>
  <c r="D273" i="25" s="1"/>
  <c r="D279" i="25" s="1"/>
  <c r="D264" i="25"/>
  <c r="D262" i="25"/>
  <c r="D246" i="25"/>
  <c r="C231" i="25" l="1"/>
  <c r="D208" i="25"/>
  <c r="D210" i="25" s="1"/>
  <c r="G214" i="25"/>
  <c r="C216" i="25" s="1"/>
  <c r="H216" i="25" s="1"/>
  <c r="F216" i="25" s="1"/>
  <c r="D211" i="25"/>
  <c r="D236" i="25"/>
  <c r="H231" i="25" l="1"/>
  <c r="F231" i="25" s="1"/>
  <c r="C217" i="25"/>
  <c r="H217" i="25" s="1"/>
  <c r="F217" i="25" s="1"/>
  <c r="D240" i="25"/>
  <c r="D243" i="25" s="1"/>
  <c r="D249" i="25" s="1"/>
  <c r="D263" i="25"/>
  <c r="D269" i="25" s="1"/>
  <c r="D272" i="25" s="1"/>
  <c r="D278" i="25" s="1"/>
  <c r="D237" i="25"/>
  <c r="D241" i="25" s="1"/>
  <c r="D245" i="25" s="1"/>
  <c r="D250" i="25" s="1"/>
  <c r="C334" i="25"/>
  <c r="C218" i="25" l="1"/>
  <c r="H218" i="25" s="1"/>
  <c r="F218" i="25" s="1"/>
  <c r="C336" i="25"/>
  <c r="C219" i="25" l="1"/>
  <c r="H219" i="25" s="1"/>
  <c r="F219" i="25" s="1"/>
  <c r="S187" i="25"/>
  <c r="C331" i="25"/>
  <c r="C332" i="25"/>
  <c r="C333" i="25"/>
  <c r="C335" i="25"/>
  <c r="C326" i="25"/>
  <c r="C327" i="25"/>
  <c r="C328" i="25"/>
  <c r="C329" i="25"/>
  <c r="C330" i="25"/>
  <c r="C325" i="25"/>
  <c r="F183" i="25"/>
  <c r="G173" i="25"/>
  <c r="F173" i="25"/>
  <c r="D172" i="25"/>
  <c r="H20" i="25"/>
  <c r="H29" i="25"/>
  <c r="H27" i="25"/>
  <c r="J146" i="25"/>
  <c r="J145" i="25" s="1"/>
  <c r="C220" i="25" l="1"/>
  <c r="H220" i="25" s="1"/>
  <c r="F220" i="25" s="1"/>
  <c r="I107" i="25"/>
  <c r="D205" i="25" s="1"/>
  <c r="D206" i="25" s="1"/>
  <c r="D207" i="25" s="1"/>
  <c r="J144" i="25"/>
  <c r="B146" i="25" s="1"/>
  <c r="G153" i="25"/>
  <c r="C338" i="25"/>
  <c r="C141" i="25"/>
  <c r="D20" i="25"/>
  <c r="J28" i="25"/>
  <c r="C50" i="25" s="1"/>
  <c r="C48" i="25"/>
  <c r="H23" i="25"/>
  <c r="H26" i="25"/>
  <c r="E51" i="25"/>
  <c r="E50" i="25" s="1"/>
  <c r="D219" i="25" l="1"/>
  <c r="E219" i="25" s="1"/>
  <c r="G219" i="25" s="1"/>
  <c r="D231" i="25"/>
  <c r="E231" i="25" s="1"/>
  <c r="G231" i="25" s="1"/>
  <c r="D216" i="25"/>
  <c r="E216" i="25" s="1"/>
  <c r="G216" i="25" s="1"/>
  <c r="D217" i="25"/>
  <c r="E217" i="25" s="1"/>
  <c r="G217" i="25" s="1"/>
  <c r="D218" i="25"/>
  <c r="E218" i="25" s="1"/>
  <c r="G218" i="25" s="1"/>
  <c r="C221" i="25"/>
  <c r="H221" i="25" s="1"/>
  <c r="F221" i="25" s="1"/>
  <c r="D220" i="25"/>
  <c r="E220" i="25" s="1"/>
  <c r="G220" i="25" s="1"/>
  <c r="H25" i="25"/>
  <c r="D50" i="25" s="1"/>
  <c r="H28" i="25"/>
  <c r="C222" i="25" l="1"/>
  <c r="H222" i="25" s="1"/>
  <c r="F222" i="25" s="1"/>
  <c r="D221" i="25"/>
  <c r="E221" i="25" s="1"/>
  <c r="G221" i="25" s="1"/>
  <c r="D25" i="25"/>
  <c r="B44" i="25"/>
  <c r="D44" i="25"/>
  <c r="B53" i="25" s="1"/>
  <c r="I81" i="25"/>
  <c r="C223" i="25" l="1"/>
  <c r="H223" i="25" s="1"/>
  <c r="F223" i="25" s="1"/>
  <c r="D222" i="25"/>
  <c r="E222" i="25" s="1"/>
  <c r="G222" i="25" s="1"/>
  <c r="D108" i="25"/>
  <c r="D109" i="25"/>
  <c r="M136" i="25"/>
  <c r="L127" i="25"/>
  <c r="L138" i="25" s="1"/>
  <c r="M124" i="25"/>
  <c r="M125" i="25" s="1"/>
  <c r="M126" i="25" s="1"/>
  <c r="M127" i="25" s="1"/>
  <c r="L123" i="25"/>
  <c r="L136" i="25" s="1"/>
  <c r="L125" i="25"/>
  <c r="B48" i="25"/>
  <c r="B50" i="25"/>
  <c r="D82" i="25"/>
  <c r="D81" i="25"/>
  <c r="D77" i="25"/>
  <c r="F24" i="25"/>
  <c r="J26" i="25"/>
  <c r="D51" i="25"/>
  <c r="D48" i="25"/>
  <c r="E48" i="25" s="1"/>
  <c r="C224" i="25" l="1"/>
  <c r="H224" i="25" s="1"/>
  <c r="F224" i="25" s="1"/>
  <c r="D223" i="25"/>
  <c r="E223" i="25" s="1"/>
  <c r="G223" i="25" s="1"/>
  <c r="D83" i="25"/>
  <c r="D38" i="25"/>
  <c r="D35" i="25"/>
  <c r="B109" i="25"/>
  <c r="B108" i="25" s="1"/>
  <c r="C124" i="25" s="1"/>
  <c r="B132" i="25"/>
  <c r="I109" i="25"/>
  <c r="D122" i="25" s="1"/>
  <c r="B125" i="25" s="1"/>
  <c r="B51" i="25"/>
  <c r="J27" i="25"/>
  <c r="C53" i="25"/>
  <c r="C44" i="25"/>
  <c r="C43" i="25"/>
  <c r="D43" i="25" s="1"/>
  <c r="D37" i="25" s="1"/>
  <c r="D36" i="25" s="1"/>
  <c r="E53" i="25" s="1"/>
  <c r="C42" i="25"/>
  <c r="L137" i="25"/>
  <c r="M137" i="25" s="1"/>
  <c r="M138" i="25" s="1"/>
  <c r="L126" i="25"/>
  <c r="L124" i="25"/>
  <c r="L128" i="25"/>
  <c r="M128" i="25"/>
  <c r="D26" i="25"/>
  <c r="B42" i="25" s="1"/>
  <c r="H32" i="25"/>
  <c r="H36" i="25" s="1"/>
  <c r="H37" i="25" s="1"/>
  <c r="D32" i="25"/>
  <c r="C225" i="25" l="1"/>
  <c r="H225" i="25" s="1"/>
  <c r="F225" i="25" s="1"/>
  <c r="D224" i="25"/>
  <c r="E224" i="25" s="1"/>
  <c r="G224" i="25" s="1"/>
  <c r="D125" i="25"/>
  <c r="I79" i="25"/>
  <c r="C93" i="25"/>
  <c r="H94" i="25" s="1"/>
  <c r="D124" i="25"/>
  <c r="D112" i="25"/>
  <c r="D153" i="25" s="1"/>
  <c r="C125" i="25"/>
  <c r="D113" i="25"/>
  <c r="F113" i="25"/>
  <c r="B126" i="25"/>
  <c r="C51" i="25"/>
  <c r="D28" i="25"/>
  <c r="B43" i="25" s="1"/>
  <c r="B57" i="25"/>
  <c r="B56" i="25"/>
  <c r="D42" i="25"/>
  <c r="D34" i="25" s="1"/>
  <c r="D33" i="25"/>
  <c r="N37" i="16"/>
  <c r="D225" i="25" l="1"/>
  <c r="E225" i="25" s="1"/>
  <c r="G225" i="25" s="1"/>
  <c r="C226" i="25"/>
  <c r="H226" i="25" s="1"/>
  <c r="F226" i="25" s="1"/>
  <c r="I87" i="25"/>
  <c r="I78" i="25"/>
  <c r="D132" i="25"/>
  <c r="D114" i="25"/>
  <c r="D115" i="25" s="1"/>
  <c r="F114" i="25"/>
  <c r="C132" i="25"/>
  <c r="C126" i="25"/>
  <c r="D126" i="25"/>
  <c r="B127" i="25"/>
  <c r="B55" i="25"/>
  <c r="D53" i="25"/>
  <c r="C24" i="16"/>
  <c r="C28" i="16" s="1"/>
  <c r="N41" i="16"/>
  <c r="L41" i="16" s="1"/>
  <c r="L36" i="16"/>
  <c r="N36" i="16" s="1"/>
  <c r="G299" i="25"/>
  <c r="I299" i="25"/>
  <c r="G300" i="25"/>
  <c r="I300" i="25"/>
  <c r="G301" i="25"/>
  <c r="I301" i="25"/>
  <c r="G302" i="25"/>
  <c r="I302" i="25"/>
  <c r="G303" i="25"/>
  <c r="I303" i="25"/>
  <c r="G304" i="25"/>
  <c r="I304" i="25"/>
  <c r="G305" i="25"/>
  <c r="I305" i="25"/>
  <c r="G306" i="25"/>
  <c r="I306" i="25"/>
  <c r="G307" i="25"/>
  <c r="I307" i="25"/>
  <c r="I298" i="25"/>
  <c r="G298" i="25"/>
  <c r="D301" i="25"/>
  <c r="H301" i="25" s="1"/>
  <c r="D302" i="25"/>
  <c r="H302" i="25" s="1"/>
  <c r="D303" i="25"/>
  <c r="H303" i="25" s="1"/>
  <c r="D304" i="25"/>
  <c r="H304" i="25" s="1"/>
  <c r="D305" i="25"/>
  <c r="H305" i="25" s="1"/>
  <c r="D306" i="25"/>
  <c r="H306" i="25" s="1"/>
  <c r="D307" i="25"/>
  <c r="H307" i="25" s="1"/>
  <c r="D299" i="25"/>
  <c r="H299" i="25" s="1"/>
  <c r="D300" i="25"/>
  <c r="H300" i="25" s="1"/>
  <c r="D298" i="25"/>
  <c r="H298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D226" i="25" l="1"/>
  <c r="E226" i="25" s="1"/>
  <c r="G226" i="25" s="1"/>
  <c r="C227" i="25"/>
  <c r="H227" i="25" s="1"/>
  <c r="F227" i="25" s="1"/>
  <c r="I83" i="25"/>
  <c r="D116" i="25" s="1"/>
  <c r="C94" i="25"/>
  <c r="I80" i="25"/>
  <c r="I82" i="25"/>
  <c r="D150" i="25" s="1"/>
  <c r="I86" i="25"/>
  <c r="I88" i="25" s="1"/>
  <c r="C127" i="25"/>
  <c r="D127" i="25"/>
  <c r="B12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D227" i="25" l="1"/>
  <c r="E227" i="25" s="1"/>
  <c r="G227" i="25" s="1"/>
  <c r="C228" i="25"/>
  <c r="H228" i="25" s="1"/>
  <c r="F228" i="25" s="1"/>
  <c r="H93" i="25"/>
  <c r="D86" i="25"/>
  <c r="D87" i="25" s="1"/>
  <c r="D88" i="25" s="1"/>
  <c r="D119" i="25"/>
  <c r="D155" i="25"/>
  <c r="D151" i="25"/>
  <c r="D118" i="25"/>
  <c r="D159" i="25"/>
  <c r="D149" i="25"/>
  <c r="I171" i="25"/>
  <c r="I172" i="25"/>
  <c r="I169" i="25"/>
  <c r="I170" i="25"/>
  <c r="D170" i="25"/>
  <c r="D173" i="25" s="1"/>
  <c r="D175" i="25" s="1"/>
  <c r="D184" i="25"/>
  <c r="D187" i="25" s="1"/>
  <c r="D189" i="25" s="1"/>
  <c r="D177" i="25"/>
  <c r="D180" i="25" s="1"/>
  <c r="D182" i="25" s="1"/>
  <c r="D117" i="25"/>
  <c r="D120" i="25" s="1"/>
  <c r="D156" i="25" s="1"/>
  <c r="D128" i="25"/>
  <c r="C128" i="25"/>
  <c r="B129" i="25"/>
  <c r="C23" i="24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229" i="25" l="1"/>
  <c r="H229" i="25" s="1"/>
  <c r="F229" i="25" s="1"/>
  <c r="D228" i="25"/>
  <c r="E228" i="25" s="1"/>
  <c r="G228" i="25" s="1"/>
  <c r="I173" i="25"/>
  <c r="I174" i="25" s="1"/>
  <c r="G160" i="25" s="1"/>
  <c r="D162" i="25"/>
  <c r="D163" i="25" s="1"/>
  <c r="D164" i="25" s="1"/>
  <c r="D166" i="25" s="1"/>
  <c r="D160" i="25"/>
  <c r="D161" i="25" s="1"/>
  <c r="D152" i="25"/>
  <c r="D154" i="25" s="1"/>
  <c r="J55" i="24"/>
  <c r="J57" i="24" s="1"/>
  <c r="J103" i="24" s="1"/>
  <c r="C24" i="24"/>
  <c r="C129" i="25"/>
  <c r="D129" i="25"/>
  <c r="B130" i="25"/>
  <c r="C29" i="24"/>
  <c r="C31" i="24" s="1"/>
  <c r="C30" i="24"/>
  <c r="C32" i="24" s="1"/>
  <c r="C55" i="24"/>
  <c r="C57" i="24" s="1"/>
  <c r="C102" i="24" s="1"/>
  <c r="C99" i="24" s="1"/>
  <c r="C133" i="24" s="1"/>
  <c r="J24" i="24"/>
  <c r="C103" i="24"/>
  <c r="K244" i="24"/>
  <c r="G5" i="24"/>
  <c r="G33" i="24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D229" i="25" l="1"/>
  <c r="E229" i="25" s="1"/>
  <c r="G229" i="25" s="1"/>
  <c r="C230" i="25"/>
  <c r="J102" i="24"/>
  <c r="D130" i="25"/>
  <c r="C130" i="25"/>
  <c r="B131" i="25"/>
  <c r="G29" i="24"/>
  <c r="G31" i="24" s="1"/>
  <c r="G202" i="24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 s="1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D230" i="25" l="1"/>
  <c r="E230" i="25" s="1"/>
  <c r="G230" i="25" s="1"/>
  <c r="H230" i="25"/>
  <c r="F230" i="25" s="1"/>
  <c r="H99" i="24"/>
  <c r="C131" i="25"/>
  <c r="D131" i="25"/>
  <c r="B133" i="25"/>
  <c r="C232" i="24"/>
  <c r="B307" i="24"/>
  <c r="D190" i="24"/>
  <c r="D244" i="24" s="1"/>
  <c r="D133" i="24"/>
  <c r="D135" i="24" s="1"/>
  <c r="D146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G135" i="24"/>
  <c r="G77" i="24"/>
  <c r="G88" i="24" s="1"/>
  <c r="G66" i="24"/>
  <c r="G99" i="24"/>
  <c r="J69" i="24"/>
  <c r="J80" i="24"/>
  <c r="J91" i="24" s="1"/>
  <c r="J146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D232" i="24" l="1"/>
  <c r="D136" i="24"/>
  <c r="D147" i="24" s="1"/>
  <c r="C133" i="25"/>
  <c r="D133" i="25"/>
  <c r="B134" i="25"/>
  <c r="C9" i="21"/>
  <c r="D9" i="21"/>
  <c r="E9" i="21"/>
  <c r="F9" i="21"/>
  <c r="F8" i="21"/>
  <c r="C8" i="21"/>
  <c r="D8" i="21"/>
  <c r="E8" i="21"/>
  <c r="I80" i="24"/>
  <c r="I91" i="24" s="1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134" i="25" l="1"/>
  <c r="D134" i="25"/>
  <c r="B135" i="25"/>
  <c r="F137" i="24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D135" i="25" l="1"/>
  <c r="C135" i="25"/>
  <c r="B136" i="25"/>
  <c r="C138" i="24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8" i="17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136" i="25" l="1"/>
  <c r="D136" i="25"/>
  <c r="B137" i="25"/>
  <c r="E18" i="17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137" i="25" l="1"/>
  <c r="D137" i="25"/>
  <c r="B138" i="25"/>
  <c r="C7" i="17"/>
  <c r="C4" i="17"/>
  <c r="C26" i="17" s="1"/>
  <c r="C28" i="17" s="1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6" i="17"/>
  <c r="B8" i="17"/>
  <c r="G108" i="17" l="1"/>
  <c r="I109" i="17"/>
  <c r="K100" i="17"/>
  <c r="C138" i="25"/>
  <c r="D138" i="25"/>
  <c r="B139" i="25"/>
  <c r="K25" i="17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8" i="24" l="1"/>
  <c r="D139" i="25"/>
  <c r="C139" i="25"/>
  <c r="B140" i="25"/>
  <c r="J154" i="24"/>
  <c r="J157" i="24" s="1"/>
  <c r="J159" i="24" s="1"/>
  <c r="H96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D143" i="24" l="1"/>
  <c r="H97" i="24"/>
  <c r="B141" i="25"/>
  <c r="D141" i="25" s="1"/>
  <c r="C140" i="25"/>
  <c r="D140" i="25"/>
  <c r="H143" i="24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D231" i="24" s="1"/>
  <c r="K156" i="24"/>
  <c r="K158" i="24" s="1"/>
  <c r="H225" i="24"/>
  <c r="H227" i="24" s="1"/>
  <c r="H228" i="24" s="1"/>
  <c r="H231" i="24" s="1"/>
  <c r="G96" i="24"/>
  <c r="G226" i="24" s="1"/>
  <c r="K231" i="24"/>
  <c r="G95" i="24"/>
  <c r="G152" i="24"/>
  <c r="I159" i="24"/>
  <c r="F153" i="24"/>
  <c r="D154" i="24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D156" i="24" l="1"/>
  <c r="D158" i="24" s="1"/>
  <c r="D157" i="24"/>
  <c r="G144" i="24"/>
  <c r="G155" i="24" s="1"/>
  <c r="F156" i="24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C96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C128" i="17" s="1"/>
  <c r="C138" i="17" s="1"/>
  <c r="C149" i="17" s="1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0" i="17" l="1"/>
  <c r="F221" i="17"/>
  <c r="F212" i="17"/>
  <c r="F219" i="17"/>
  <c r="F215" i="17"/>
  <c r="F213" i="17"/>
  <c r="F218" i="17"/>
  <c r="F216" i="17"/>
  <c r="F214" i="17"/>
  <c r="F222" i="17" s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  <author>Juan Leonardo Valadez Ortiz</author>
  </authors>
  <commentList>
    <comment ref="B4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1" authorId="1" shapeId="0" xr:uid="{00000000-0006-0000-04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Datum is from nose-tip</t>
        </r>
      </text>
    </comment>
    <comment ref="B296" authorId="1" shapeId="0" xr:uid="{00000000-0006-0000-0400-000003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09E66-A355-4043-9677-8978F4A06610}" keepAlive="1" name="Query - pressure-coef-distribution-15AoA" description="Connection to the 'pressure-coef-distribution-15AoA' query in the workbook." type="5" refreshedVersion="8" background="1" saveData="1">
    <dbPr connection="Provider=Microsoft.Mashup.OleDb.1;Data Source=$Workbook$;Location=pressure-coef-distribution-15AoA;Extended Properties=&quot;&quot;" command="SELECT * FROM [pressure-coef-distribution-15AoA]"/>
  </connection>
</connections>
</file>

<file path=xl/sharedStrings.xml><?xml version="1.0" encoding="utf-8"?>
<sst xmlns="http://schemas.openxmlformats.org/spreadsheetml/2006/main" count="1663" uniqueCount="1047">
  <si>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</si>
  <si>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</si>
  <si>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</si>
  <si>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</si>
  <si>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</si>
  <si>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</si>
  <si>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</si>
  <si>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</si>
  <si>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</si>
  <si>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</si>
  <si>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</si>
  <si>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</si>
  <si>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</si>
  <si>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</si>
  <si>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</si>
  <si>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</si>
  <si>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</si>
  <si>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</si>
  <si>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</si>
  <si>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</si>
  <si>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</si>
  <si>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</si>
  <si>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</si>
  <si>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</si>
  <si>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</si>
  <si>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</si>
  <si>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</si>
  <si>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</si>
  <si>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</si>
  <si>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</si>
  <si>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</si>
  <si>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</si>
  <si>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</si>
  <si>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</si>
  <si>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</si>
  <si>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</si>
  <si>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</si>
  <si>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</si>
  <si>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</si>
  <si>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</si>
  <si>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</si>
  <si>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</si>
  <si>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</si>
  <si>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</si>
  <si>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</si>
  <si>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</si>
  <si>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</si>
  <si>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</si>
  <si>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</si>
  <si>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</si>
  <si>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</si>
  <si>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</si>
  <si>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</si>
  <si>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</si>
  <si>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</si>
  <si>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</si>
  <si>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</si>
  <si>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</si>
  <si>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</si>
  <si>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</si>
  <si>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</si>
  <si>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</si>
  <si>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</si>
  <si>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</si>
  <si>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</si>
  <si>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</si>
  <si>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</si>
  <si>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</si>
  <si>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</si>
  <si>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</si>
  <si>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</si>
  <si>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</si>
  <si>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</si>
  <si>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</si>
  <si>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</si>
  <si>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</si>
  <si>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</si>
  <si>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</si>
  <si>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</si>
  <si>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</si>
  <si>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</si>
  <si>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</si>
  <si>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</si>
  <si>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</si>
  <si>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</si>
  <si>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</si>
  <si>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</si>
  <si>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</si>
  <si>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</si>
  <si>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</si>
  <si>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</si>
  <si>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</si>
  <si>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</si>
  <si>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</si>
  <si>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</si>
  <si>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</si>
  <si>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</si>
  <si>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</si>
  <si>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</si>
  <si>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</si>
  <si>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</si>
  <si>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</si>
  <si>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</si>
  <si>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</si>
  <si>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</si>
  <si>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</si>
  <si>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</si>
  <si>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</si>
  <si>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</si>
  <si>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</si>
  <si>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</si>
  <si>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</si>
  <si>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</si>
  <si>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</si>
  <si>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</si>
  <si>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</si>
  <si>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</si>
  <si>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</si>
  <si>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</si>
  <si>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</si>
  <si>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</si>
  <si>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</si>
  <si>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</si>
  <si>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</si>
  <si>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</si>
  <si>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</si>
  <si>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</si>
  <si>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</si>
  <si>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</si>
  <si>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</si>
  <si>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</si>
  <si>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</si>
  <si>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</si>
  <si>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</si>
  <si>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</si>
  <si>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</si>
  <si>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</si>
  <si>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</si>
  <si>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</si>
  <si>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</si>
  <si>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</si>
  <si>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</si>
  <si>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</si>
  <si>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</si>
  <si>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</si>
  <si>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</si>
  <si>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</si>
  <si>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</si>
  <si>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</si>
  <si>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</si>
  <si>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</si>
  <si>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</si>
  <si>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</si>
  <si>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</si>
  <si>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</si>
  <si>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</si>
  <si>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</si>
  <si>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</si>
  <si>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</si>
  <si>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</si>
  <si>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</si>
  <si>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</si>
  <si>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</si>
  <si>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</si>
  <si>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</si>
  <si>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</si>
  <si>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</si>
  <si>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</si>
  <si>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</si>
  <si>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</si>
  <si>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</si>
  <si>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</si>
  <si>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</si>
  <si>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</si>
  <si>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</si>
  <si>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</si>
  <si>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</si>
  <si>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</si>
  <si>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</si>
  <si>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</si>
  <si>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</si>
  <si>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</si>
  <si>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</si>
  <si>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</si>
  <si>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</si>
  <si>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</si>
  <si>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</si>
  <si>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</si>
  <si>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</si>
  <si>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</si>
  <si>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</si>
  <si>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</si>
  <si>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</si>
  <si>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</si>
  <si>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</si>
  <si>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</si>
  <si>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</si>
  <si>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</si>
  <si>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</si>
  <si>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</si>
  <si>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</si>
  <si>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</si>
  <si>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</si>
  <si>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</si>
  <si>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</si>
  <si>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</si>
  <si>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</si>
  <si>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</si>
  <si>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</si>
  <si>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</si>
  <si>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</si>
  <si>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</si>
  <si>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</si>
  <si>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</si>
  <si>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</si>
  <si>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</si>
  <si>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</si>
  <si>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</si>
  <si>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</si>
  <si>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</si>
  <si>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</si>
  <si>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</si>
  <si>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</si>
  <si>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</si>
  <si>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</si>
  <si>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</si>
  <si>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</si>
  <si>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</si>
  <si>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</si>
  <si>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</si>
  <si>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</si>
  <si>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</si>
  <si>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</si>
  <si>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</si>
  <si>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</si>
  <si>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</si>
  <si>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</si>
  <si>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</si>
  <si>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</si>
  <si>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</si>
  <si>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</si>
  <si>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</si>
  <si>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</si>
  <si>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</si>
  <si>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</si>
  <si>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</si>
  <si>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</si>
  <si>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</si>
  <si>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</si>
  <si>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</si>
  <si>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</si>
  <si>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</si>
  <si>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</si>
  <si>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</si>
  <si>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</si>
  <si>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</si>
  <si>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</si>
  <si>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</si>
  <si>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</si>
  <si>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</si>
  <si>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</si>
  <si>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</si>
  <si>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</si>
  <si>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</si>
  <si>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</si>
  <si>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</si>
  <si>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</si>
  <si>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</si>
  <si>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</si>
  <si>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</si>
  <si>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</si>
  <si>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</si>
  <si>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</si>
  <si>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</si>
  <si>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</si>
  <si>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</si>
  <si>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</si>
  <si>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</si>
  <si>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</si>
  <si>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</si>
  <si>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</si>
  <si>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</si>
  <si>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</si>
  <si>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</si>
  <si>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</si>
  <si>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</si>
  <si>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</si>
  <si>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</si>
  <si>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</si>
  <si>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</si>
  <si>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</si>
  <si>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</si>
  <si>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</si>
  <si>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</si>
  <si>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</si>
  <si>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</si>
  <si>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</si>
  <si>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</si>
  <si>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</si>
  <si>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</si>
  <si>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</si>
  <si>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</si>
  <si>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</si>
  <si>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</si>
  <si>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</si>
  <si>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</si>
  <si>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</si>
  <si>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</si>
  <si>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</si>
  <si>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</si>
  <si>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</si>
  <si>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</si>
  <si>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</si>
  <si>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</si>
  <si>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</si>
  <si>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</si>
  <si>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</si>
  <si>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</si>
  <si>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</si>
  <si>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</si>
  <si>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</si>
  <si>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</si>
  <si>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</si>
  <si>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</si>
  <si>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</si>
  <si>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</si>
  <si>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</si>
  <si>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</si>
  <si>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</si>
  <si>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</si>
  <si>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</si>
  <si>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</si>
  <si>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</si>
  <si>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</si>
  <si>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</si>
  <si>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</si>
  <si>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</si>
  <si>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</si>
  <si>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</si>
  <si>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</si>
  <si>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</si>
  <si>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</si>
  <si>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</si>
  <si>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</si>
  <si>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</si>
  <si>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</si>
  <si>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</si>
  <si>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</si>
  <si>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</si>
  <si>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</si>
  <si>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</si>
  <si>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</si>
  <si>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</si>
  <si>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</si>
  <si>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</si>
  <si>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</si>
  <si>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</si>
  <si>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</si>
  <si>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</si>
  <si>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</si>
  <si>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</si>
  <si>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</si>
  <si>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</si>
  <si>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</si>
  <si>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</si>
  <si>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</si>
  <si>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</si>
  <si>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</si>
  <si>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</si>
  <si>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</si>
  <si>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</si>
  <si>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</si>
  <si>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</si>
  <si>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</si>
  <si>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</si>
  <si>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</si>
  <si>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</si>
  <si>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</si>
  <si>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</si>
  <si>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</si>
  <si>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</si>
  <si>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</si>
  <si>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</si>
  <si>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</si>
  <si>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</si>
  <si>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</si>
  <si>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</si>
  <si>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</si>
  <si>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</si>
  <si>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</si>
  <si>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</si>
  <si>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</si>
  <si>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</si>
  <si>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</si>
  <si>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</si>
  <si>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</si>
  <si>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</si>
  <si>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</si>
  <si>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</si>
  <si>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</si>
  <si>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</si>
  <si>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</si>
  <si>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</si>
  <si>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</si>
  <si>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</si>
  <si>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</si>
  <si>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</si>
  <si>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</si>
  <si>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</si>
  <si>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</si>
  <si>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</si>
  <si>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</si>
  <si>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</si>
  <si>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</si>
  <si>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</si>
  <si>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</si>
  <si>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</si>
  <si>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</si>
  <si>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</si>
  <si>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</si>
  <si>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</si>
  <si>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</si>
  <si>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</si>
  <si>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</si>
  <si>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</si>
  <si>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</si>
  <si>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</si>
  <si>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</si>
  <si>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</si>
  <si>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</si>
  <si>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</si>
  <si>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</si>
  <si>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</si>
  <si>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</si>
  <si>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</si>
  <si>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</si>
  <si>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</si>
  <si>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</si>
  <si>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</si>
  <si>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</si>
  <si>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</si>
  <si>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</si>
  <si>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</si>
  <si>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</si>
  <si>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</si>
  <si>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</si>
  <si>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</si>
  <si>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</si>
  <si>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</si>
  <si>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</si>
  <si>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</si>
  <si>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</si>
  <si>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</si>
  <si>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</si>
  <si>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</si>
  <si>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</si>
  <si>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</si>
  <si>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</si>
  <si>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</si>
  <si>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</si>
  <si>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</si>
  <si>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</si>
  <si>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</si>
  <si>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</si>
  <si>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</si>
  <si>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</si>
  <si>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</si>
  <si>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</si>
  <si>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</si>
  <si>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</si>
  <si>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</si>
  <si>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</si>
  <si>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</si>
  <si>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</si>
  <si>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</si>
  <si>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</si>
  <si>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</si>
  <si>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</si>
  <si>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</si>
  <si>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</si>
  <si>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</si>
  <si>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</si>
  <si>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</si>
  <si>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</si>
  <si>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</si>
  <si>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</si>
  <si>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</si>
  <si>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</si>
  <si>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</si>
  <si>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</si>
  <si>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</si>
  <si>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</si>
  <si>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</si>
  <si>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</si>
  <si>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</si>
  <si>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</si>
  <si>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</si>
  <si>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</si>
  <si>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</si>
  <si>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</si>
  <si>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</si>
  <si>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</si>
  <si>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</si>
  <si>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</si>
  <si>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</si>
  <si>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</si>
  <si>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</si>
  <si>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</si>
  <si>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</si>
  <si>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</si>
  <si>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</si>
  <si>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</si>
  <si>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</si>
  <si>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</si>
  <si>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</si>
  <si>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</si>
  <si>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</si>
  <si>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</si>
  <si>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</si>
  <si>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</si>
  <si>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</si>
  <si>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</si>
  <si>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</si>
  <si>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</si>
  <si>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</si>
  <si>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</si>
  <si>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</si>
  <si>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</si>
  <si>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</si>
  <si>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</si>
  <si>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</si>
  <si>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</si>
  <si>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</si>
  <si>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</si>
  <si>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</si>
  <si>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</si>
  <si>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</si>
  <si>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</si>
  <si>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</si>
  <si>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</si>
  <si>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</si>
  <si>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</si>
  <si>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</si>
  <si>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</si>
  <si>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</si>
  <si>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</si>
  <si>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</si>
  <si>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</si>
  <si>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</si>
  <si>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</si>
  <si>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</si>
  <si>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</si>
  <si>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</si>
  <si>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</si>
  <si>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</si>
  <si>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</si>
  <si>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</si>
  <si>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</si>
  <si>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</si>
  <si>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</si>
  <si>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</si>
  <si>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Length-overall (m)</t>
  </si>
  <si>
    <t>Cr-in body(cm)</t>
  </si>
  <si>
    <t>Ct-in body (cm)</t>
  </si>
  <si>
    <t>Sweep angle - LE (deg)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</si>
  <si>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</si>
  <si>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</si>
  <si>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</si>
  <si>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</si>
  <si>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</si>
  <si>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</si>
  <si>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</si>
  <si>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</si>
  <si>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</si>
  <si>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</si>
  <si>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</si>
  <si>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</si>
  <si>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</si>
  <si>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</si>
  <si>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</si>
  <si>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</si>
  <si>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</si>
  <si>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</si>
  <si>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</si>
  <si>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</si>
  <si>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</si>
  <si>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</si>
  <si>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</si>
  <si>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</si>
  <si>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</si>
  <si>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</si>
  <si>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</si>
  <si>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</si>
  <si>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</si>
  <si>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</si>
  <si>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</si>
  <si>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</si>
  <si>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</si>
  <si>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</si>
  <si>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</si>
  <si>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</si>
  <si>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</si>
  <si>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</si>
  <si>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</si>
  <si>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</si>
  <si>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</si>
  <si>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</si>
  <si>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</si>
  <si>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</si>
  <si>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</si>
  <si>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</si>
  <si>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</si>
  <si>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</si>
  <si>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</si>
  <si>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</si>
  <si>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</si>
  <si>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</si>
  <si>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</si>
  <si>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</si>
  <si>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</si>
  <si>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</si>
  <si>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</si>
  <si>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</si>
  <si>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</si>
  <si>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</si>
  <si>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</si>
  <si>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</si>
  <si>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</si>
  <si>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</si>
  <si>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</si>
  <si>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</si>
  <si>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</si>
  <si>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</si>
  <si>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</si>
  <si>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</si>
  <si>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</si>
  <si>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</si>
  <si>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</si>
  <si>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</si>
  <si>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</si>
  <si>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</si>
  <si>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</si>
  <si>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</si>
  <si>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</si>
  <si>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</si>
  <si>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</si>
  <si>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</si>
  <si>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</si>
  <si>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</si>
  <si>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</si>
  <si>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</si>
  <si>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</si>
  <si>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</si>
  <si>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</si>
  <si>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</si>
  <si>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</si>
  <si>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</si>
  <si>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</si>
  <si>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</si>
  <si>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</si>
  <si>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</si>
  <si>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</si>
  <si>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</si>
  <si>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</si>
  <si>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</si>
  <si>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</si>
  <si>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</si>
  <si>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</si>
  <si>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</si>
  <si>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</si>
  <si>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</si>
  <si>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</si>
  <si>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</si>
  <si>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</si>
  <si>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</si>
  <si>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</si>
  <si>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</si>
  <si>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</si>
  <si>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</si>
  <si>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</si>
  <si>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</si>
  <si>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</si>
  <si>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</si>
  <si>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</si>
  <si>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</si>
  <si>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</si>
  <si>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</si>
  <si>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</si>
  <si>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</si>
  <si>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</si>
  <si>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</si>
  <si>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</si>
  <si>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</si>
  <si>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</si>
  <si>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</si>
  <si>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</si>
  <si>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</si>
  <si>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</si>
  <si>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</si>
  <si>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</si>
  <si>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</si>
  <si>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</si>
  <si>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</si>
  <si>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</si>
  <si>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</si>
  <si>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</si>
  <si>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</si>
  <si>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</si>
  <si>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</si>
  <si>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Composite tube weight estimation</t>
  </si>
  <si>
    <t>Composite fin weight estimation</t>
  </si>
  <si>
    <t>Simple Composites v1.0</t>
  </si>
  <si>
    <t>Fiber density</t>
  </si>
  <si>
    <t xml:space="preserve">Resine density </t>
  </si>
  <si>
    <t>Composite density</t>
  </si>
  <si>
    <t>N</t>
  </si>
  <si>
    <t>Composite mechanical properties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</si>
  <si>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</si>
  <si>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</si>
  <si>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</si>
  <si>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</si>
  <si>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</si>
  <si>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</si>
  <si>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</si>
  <si>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</si>
  <si>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</si>
  <si>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</si>
  <si>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</si>
  <si>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</si>
  <si>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</si>
  <si>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</si>
  <si>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</si>
  <si>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</si>
  <si>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</si>
  <si>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</si>
  <si>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</si>
  <si>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Gpa</t>
  </si>
  <si>
    <t>less</t>
  </si>
  <si>
    <t>equal</t>
  </si>
  <si>
    <t>higher</t>
  </si>
  <si>
    <t>Composite</t>
  </si>
  <si>
    <t>Note:</t>
  </si>
  <si>
    <t>Fiber εcu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</si>
  <si>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</si>
  <si>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</si>
  <si>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</si>
  <si>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</si>
  <si>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</si>
  <si>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</si>
  <si>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</si>
  <si>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</si>
  <si>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</si>
  <si>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</si>
  <si>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</si>
  <si>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</si>
  <si>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</si>
  <si>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</si>
  <si>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</si>
  <si>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</si>
  <si>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</si>
  <si>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</si>
  <si>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</si>
  <si>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</si>
  <si>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</si>
  <si>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</si>
  <si>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</si>
  <si>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</si>
  <si>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</si>
  <si>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</si>
  <si>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(N)</t>
  </si>
  <si>
    <t xml:space="preserve">Location </t>
  </si>
  <si>
    <t>(mm)</t>
  </si>
  <si>
    <t>(cause/how is the load generated and where is applied)</t>
  </si>
  <si>
    <t>Forebody lift in Cpforebody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</si>
  <si>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</si>
  <si>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</si>
  <si>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</si>
  <si>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Figure for load representation in rocket fuselage</t>
  </si>
  <si>
    <t>Color rep.</t>
  </si>
  <si>
    <t xml:space="preserve">Axial </t>
  </si>
  <si>
    <t>x mm</t>
  </si>
  <si>
    <t>Fin</t>
  </si>
  <si>
    <t>+</t>
  </si>
  <si>
    <t>(+/-)</t>
  </si>
  <si>
    <t>Moment graph</t>
  </si>
  <si>
    <t>y Nmm</t>
  </si>
  <si>
    <t>y N</t>
  </si>
  <si>
    <t>Nmm</t>
  </si>
  <si>
    <t>x position</t>
  </si>
  <si>
    <t>Moment</t>
  </si>
  <si>
    <t>Mmax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</si>
  <si>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</si>
  <si>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</si>
  <si>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</si>
  <si>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</si>
  <si>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</si>
  <si>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</si>
  <si>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</si>
  <si>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</si>
  <si>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</si>
  <si>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</si>
  <si>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</si>
  <si>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</si>
  <si>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</si>
  <si>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</si>
  <si>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</si>
  <si>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</si>
  <si>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</si>
  <si>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</si>
  <si>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</si>
  <si>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</si>
  <si>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</si>
  <si>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</si>
  <si>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</si>
  <si>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</si>
  <si>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</si>
  <si>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</si>
  <si>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</si>
  <si>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</si>
  <si>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</si>
  <si>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</si>
  <si>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</si>
  <si>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</si>
  <si>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</si>
  <si>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</si>
  <si>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</si>
  <si>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</si>
  <si>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1 kgf/cm2</t>
  </si>
  <si>
    <t>=</t>
  </si>
  <si>
    <t>0.098806 Mpa</t>
  </si>
  <si>
    <t>0.1 Mpa</t>
  </si>
  <si>
    <t>1.02 kgf/cm2</t>
  </si>
  <si>
    <t>Precio 2</t>
  </si>
  <si>
    <t>y comp</t>
  </si>
  <si>
    <t>x comp</t>
  </si>
  <si>
    <t>Matrix Scy</t>
  </si>
  <si>
    <r>
      <t xml:space="preserve">Matrix </t>
    </r>
    <r>
      <rPr>
        <sz val="11"/>
        <color theme="1"/>
        <rFont val="Calibri"/>
        <family val="2"/>
      </rPr>
      <t>εcy</t>
    </r>
  </si>
  <si>
    <t>Fiber:</t>
  </si>
  <si>
    <t xml:space="preserve">HexForce  7533 </t>
  </si>
  <si>
    <t>Matrix:</t>
  </si>
  <si>
    <t>Epoxy resin Q102R Quintum</t>
  </si>
  <si>
    <t>Variables of interest:</t>
  </si>
  <si>
    <t>gr/m^2</t>
  </si>
  <si>
    <r>
      <t xml:space="preserve">Aprox, density </t>
    </r>
    <r>
      <rPr>
        <sz val="11"/>
        <color theme="1"/>
        <rFont val="Aptos Narrow"/>
        <family val="2"/>
      </rPr>
      <t>ρf</t>
    </r>
  </si>
  <si>
    <t>Fabric Weight, ρs</t>
  </si>
  <si>
    <t>Aprox, thickness</t>
  </si>
  <si>
    <t>Longitudinal</t>
  </si>
  <si>
    <t>Forebody drag in Cpforebody</t>
  </si>
  <si>
    <t>Fins drag in Cpfins</t>
  </si>
  <si>
    <t>Fins lift in Cpfins</t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</si>
  <si>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downwards</t>
    </r>
    <r>
      <rPr>
        <sz val="11"/>
        <color theme="1"/>
        <rFont val="Aptos Narrow"/>
        <family val="2"/>
        <scheme val="minor"/>
      </rPr>
      <t xml:space="preserve"> CG</t>
    </r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</si>
  <si>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forward</t>
    </r>
    <r>
      <rPr>
        <sz val="11"/>
        <color theme="1"/>
        <rFont val="Aptos Narrow"/>
        <family val="2"/>
        <scheme val="minor"/>
      </rPr>
      <t xml:space="preserve"> CG</t>
    </r>
  </si>
  <si>
    <t>Manufacture first considerations</t>
  </si>
  <si>
    <t>Mandril material</t>
  </si>
  <si>
    <t>Loads involved:</t>
  </si>
  <si>
    <t>Worst AoA &gt; determine maximum load at max Q &gt; SF of using composites Higher than 3</t>
  </si>
  <si>
    <t>15°</t>
  </si>
  <si>
    <t>Max Q</t>
  </si>
  <si>
    <t>kPa</t>
  </si>
  <si>
    <t>due Mach:</t>
  </si>
  <si>
    <t>Maximum moments</t>
  </si>
  <si>
    <t>Mforwards</t>
  </si>
  <si>
    <t>location</t>
  </si>
  <si>
    <t>mm^3</t>
  </si>
  <si>
    <t>mm^2</t>
  </si>
  <si>
    <r>
      <t xml:space="preserve">Sec. Modulus </t>
    </r>
    <r>
      <rPr>
        <b/>
        <sz val="11"/>
        <color theme="1"/>
        <rFont val="Aptos Narrow"/>
        <family val="2"/>
        <scheme val="minor"/>
      </rPr>
      <t>Z</t>
    </r>
  </si>
  <si>
    <t>Stress,bending</t>
  </si>
  <si>
    <t>Mdownwards</t>
  </si>
  <si>
    <t>Sections</t>
  </si>
  <si>
    <t>L=</t>
  </si>
  <si>
    <t>Shear at X1</t>
  </si>
  <si>
    <t>MaxMass</t>
  </si>
  <si>
    <t>Dry mass</t>
  </si>
  <si>
    <t>mass grain</t>
  </si>
  <si>
    <t>Scdrag</t>
  </si>
  <si>
    <t>Scinertia</t>
  </si>
  <si>
    <t>Scbending</t>
  </si>
  <si>
    <t>Sctotal</t>
  </si>
  <si>
    <t>SF rocket tension</t>
  </si>
  <si>
    <t>SF rocket compressibe</t>
  </si>
  <si>
    <t>Note: max inertia is not present at highest Q in this case</t>
  </si>
  <si>
    <t>there is an inertia caused by drag, the Gs experimented</t>
  </si>
  <si>
    <t>are equal to Gs=(DragMaxQ/DryMass)/g</t>
  </si>
  <si>
    <t>GsMaxQ:</t>
  </si>
  <si>
    <t>Inertial load CG</t>
  </si>
  <si>
    <t>SF rocket shear</t>
  </si>
  <si>
    <t>Fiber Ssu</t>
  </si>
  <si>
    <t>Fiber εsu</t>
  </si>
  <si>
    <t>Ssy composite</t>
  </si>
  <si>
    <t>SF tube tension</t>
  </si>
  <si>
    <t>SF tube compression</t>
  </si>
  <si>
    <t>Sshear</t>
  </si>
  <si>
    <t>SF tube shear</t>
  </si>
  <si>
    <t>Stress, shear</t>
  </si>
  <si>
    <t>Matrix Ssu</t>
  </si>
  <si>
    <t>Note: increasing layer, could affect the shear stress</t>
  </si>
  <si>
    <t>behavior on the composite</t>
  </si>
  <si>
    <t>Note: almost always as the fins</t>
  </si>
  <si>
    <t>contribute in more lift due AoA</t>
  </si>
  <si>
    <t>Malla de distribucion 145cmx 10m GREEN FLOW</t>
  </si>
  <si>
    <t>https://www.fibraq.com/collections/material-para-vacio-e-infusion/products/pelicula-antiadherente-malla-de-sangrado</t>
  </si>
  <si>
    <t>https://www.fibraq.com/collections/material-para-vacio-e-infusion/products/tubo-de-absorcion-pebd-de-infusion-o-10-x-12-mm</t>
  </si>
  <si>
    <t>https://www.fibraq.com/collections/material-para-vacio-e-infusion/products/toma-de-infusion-para-vacio</t>
  </si>
  <si>
    <t>PELICULA SEPARADORA</t>
  </si>
  <si>
    <t>Resina Q102R</t>
  </si>
  <si>
    <t>Resina Q101R</t>
  </si>
  <si>
    <t>Fiber II:</t>
  </si>
  <si>
    <t>Matrix II:</t>
  </si>
  <si>
    <t>FibraQ 3k plano</t>
  </si>
  <si>
    <r>
      <t xml:space="preserve">Cell in red are unknown | </t>
    </r>
    <r>
      <rPr>
        <b/>
        <sz val="11"/>
        <color rgb="FFFFC000"/>
        <rFont val="Aptos Narrow"/>
        <family val="2"/>
        <scheme val="minor"/>
      </rPr>
      <t>supposed by literature</t>
    </r>
  </si>
  <si>
    <t>Volume composite</t>
  </si>
  <si>
    <t>Volume of resine</t>
  </si>
  <si>
    <t>Volume of fiber</t>
  </si>
  <si>
    <t>Mass fiber</t>
  </si>
  <si>
    <t>Surface needed</t>
  </si>
  <si>
    <t>a</t>
  </si>
  <si>
    <t>b</t>
  </si>
  <si>
    <t>Required fiber and resine method 1:</t>
  </si>
  <si>
    <t>Required fiber and resine method 2:</t>
  </si>
  <si>
    <t>Layer thickness</t>
  </si>
  <si>
    <t>Turns</t>
  </si>
  <si>
    <t>Diametral long.</t>
  </si>
  <si>
    <t>Surface</t>
  </si>
  <si>
    <t>n</t>
  </si>
  <si>
    <t>Recovery tube</t>
  </si>
  <si>
    <t>electronics bay</t>
  </si>
  <si>
    <t>Tubes (m)</t>
  </si>
  <si>
    <t>Inner tube electronics bay</t>
  </si>
  <si>
    <t>Motor tube</t>
  </si>
  <si>
    <t>inner + motor</t>
  </si>
  <si>
    <t>recovery + outer elect</t>
  </si>
  <si>
    <t>Tube geometry iteration</t>
  </si>
  <si>
    <t>Inner tube configuration</t>
  </si>
  <si>
    <t>ID inner</t>
  </si>
  <si>
    <t>OD inner</t>
  </si>
  <si>
    <r>
      <t xml:space="preserve">OD due inner tube </t>
    </r>
    <r>
      <rPr>
        <sz val="11"/>
        <color rgb="FFFF0000"/>
        <rFont val="Aptos Narrow"/>
        <family val="2"/>
        <scheme val="minor"/>
      </rPr>
      <t>HOT</t>
    </r>
  </si>
  <si>
    <r>
      <t xml:space="preserve">OD  </t>
    </r>
    <r>
      <rPr>
        <sz val="11"/>
        <color theme="4" tint="0.59999389629810485"/>
        <rFont val="Aptos Narrow"/>
        <family val="2"/>
        <scheme val="minor"/>
      </rPr>
      <t>COLD</t>
    </r>
  </si>
  <si>
    <t>Machine thickness:</t>
  </si>
  <si>
    <t>A "fast" aproximation to determine inner tube</t>
  </si>
  <si>
    <t>thickness is using thin-wall structures theory</t>
  </si>
  <si>
    <t>tolerance</t>
  </si>
  <si>
    <t>Fast assimilation</t>
  </si>
  <si>
    <t>Vcomp</t>
  </si>
  <si>
    <t>Vcomp = Vresin</t>
  </si>
  <si>
    <t>Liters per fuselage made</t>
  </si>
  <si>
    <t>I89</t>
  </si>
  <si>
    <t>Trans area</t>
  </si>
  <si>
    <t>Liters</t>
  </si>
  <si>
    <t>Aprox 1 liters of matrix per fuselage</t>
  </si>
  <si>
    <t>4 kits of Q102R are needed</t>
  </si>
  <si>
    <t>2 fuselages are going to be made</t>
  </si>
  <si>
    <t>plus fins</t>
  </si>
  <si>
    <t>Fin material</t>
  </si>
  <si>
    <t>croot</t>
  </si>
  <si>
    <t>ctip</t>
  </si>
  <si>
    <t>enlarging</t>
  </si>
  <si>
    <t>If fin of 3mm thickness supposed</t>
  </si>
  <si>
    <t>thickness layer</t>
  </si>
  <si>
    <t>turns</t>
  </si>
  <si>
    <t>thickness fin</t>
  </si>
  <si>
    <t>2 meters of carbon fiber are needed</t>
  </si>
  <si>
    <t>Resina Qzero</t>
  </si>
  <si>
    <t>Dmr</t>
  </si>
  <si>
    <t>Dm</t>
  </si>
  <si>
    <t>dmr</t>
  </si>
  <si>
    <t>Lmr</t>
  </si>
  <si>
    <t>Ashear</t>
  </si>
  <si>
    <t>Abearing</t>
  </si>
  <si>
    <t xml:space="preserve">mm^2 </t>
  </si>
  <si>
    <t>Thrust, Max</t>
  </si>
  <si>
    <t>Shear, shear</t>
  </si>
  <si>
    <t>Shear, bearing</t>
  </si>
  <si>
    <t>ADINOX, shear allow</t>
  </si>
  <si>
    <t>Wood, bearing allow</t>
  </si>
  <si>
    <t>Sf, shear</t>
  </si>
  <si>
    <t>Sf, bearing</t>
  </si>
  <si>
    <t>Adhesive and contact joints</t>
  </si>
  <si>
    <t>Motor downward retainer (mdr)</t>
  </si>
  <si>
    <t>Motor retainer (mr)</t>
  </si>
  <si>
    <t>14.5 psi</t>
  </si>
  <si>
    <t>df</t>
  </si>
  <si>
    <t>Df</t>
  </si>
  <si>
    <t>Ddm</t>
  </si>
  <si>
    <t>Ldr, downward ret</t>
  </si>
  <si>
    <t>Shear, shear, mat</t>
  </si>
  <si>
    <t>o lo sume</t>
  </si>
  <si>
    <t>o lo corta</t>
  </si>
  <si>
    <t>Stress, bearing A</t>
  </si>
  <si>
    <t>Stress, bearing B</t>
  </si>
  <si>
    <t>ldr</t>
  </si>
  <si>
    <t>Area A</t>
  </si>
  <si>
    <t>Area B</t>
  </si>
  <si>
    <t>df, thickness</t>
  </si>
  <si>
    <t>Load, thrust</t>
  </si>
  <si>
    <t>SF, A</t>
  </si>
  <si>
    <t>SF, B</t>
  </si>
  <si>
    <t>Stress, allow A</t>
  </si>
  <si>
    <t>Stress, allow B</t>
  </si>
  <si>
    <t>Material A</t>
  </si>
  <si>
    <t>Material B</t>
  </si>
  <si>
    <t>Joints in conjunction</t>
  </si>
  <si>
    <t>Final dimensions:</t>
  </si>
  <si>
    <t>ID:</t>
  </si>
  <si>
    <t>OD:</t>
  </si>
  <si>
    <t>NA</t>
  </si>
  <si>
    <t>Length 1</t>
  </si>
  <si>
    <t>Length 2</t>
  </si>
  <si>
    <t>Length 3</t>
  </si>
  <si>
    <t>SF min</t>
  </si>
  <si>
    <t xml:space="preserve">The loads used are the "worst-case" according to dynamic and CFD simulations </t>
  </si>
  <si>
    <t>Location/
Distance</t>
  </si>
  <si>
    <t>(cause||how is the load generated and where is applied)</t>
  </si>
  <si>
    <t>Gmax, (Gs):</t>
  </si>
  <si>
    <t>Motor thrust in bulkhead and rocket base</t>
  </si>
  <si>
    <t>Spreadsheet to determine composite properties, joints and dimensions for geometries with composites</t>
  </si>
  <si>
    <t>.</t>
  </si>
  <si>
    <t>Croot</t>
  </si>
  <si>
    <t>Ctip</t>
  </si>
  <si>
    <t>b, semi-span</t>
  </si>
  <si>
    <t>Load location (mm)</t>
  </si>
  <si>
    <t>Lift (normal) load</t>
  </si>
  <si>
    <t>Drag load</t>
  </si>
  <si>
    <t>mm^4</t>
  </si>
  <si>
    <t>X, from LE</t>
  </si>
  <si>
    <t>Y, from Croot</t>
  </si>
  <si>
    <t>Mx, moment in x axis</t>
  </si>
  <si>
    <t>Mz, moment in z axis</t>
  </si>
  <si>
    <t>Max, stress in root (Mx)</t>
  </si>
  <si>
    <t>Max, stress in root (Mz)</t>
  </si>
  <si>
    <t>Inertia X*thickness</t>
  </si>
  <si>
    <t>Inertia Thickness*X</t>
  </si>
  <si>
    <t>Shear - Moment - bending graphs</t>
  </si>
  <si>
    <t>Modulus</t>
  </si>
  <si>
    <t>Inertial load</t>
  </si>
  <si>
    <t>Fin mass</t>
  </si>
  <si>
    <t>Gs lateral:</t>
  </si>
  <si>
    <t>Local chord</t>
  </si>
  <si>
    <t>Reaction at root</t>
  </si>
  <si>
    <t>N/mm</t>
  </si>
  <si>
    <t>Slope for chord</t>
  </si>
  <si>
    <t>OD (cm)</t>
  </si>
  <si>
    <t>Enlarging-fins (cm)</t>
  </si>
  <si>
    <t>Drag Forebody at 15</t>
  </si>
  <si>
    <t>Adimensional factor</t>
  </si>
  <si>
    <t>Pressure*Area</t>
  </si>
  <si>
    <t>Lift Forebody at 15</t>
  </si>
  <si>
    <t>SForce Forebody at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</si>
</sst>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3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family val="2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5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21" fillId="0" borderId="0" xfId="0" applyFont="1"/>
    <xf numFmtId="165" fontId="0" fillId="27" borderId="0" xfId="0" applyNumberFormat="1" applyFill="1"/>
    <xf numFmtId="0" fontId="0" fillId="0" borderId="0" xfId="0" applyAlignment="1">
      <alignment horizontal="center"/>
    </xf>
    <xf numFmtId="0" fontId="24" fillId="0" borderId="0" xfId="0" applyFont="1"/>
    <xf numFmtId="170" fontId="0" fillId="27" borderId="0" xfId="2" applyNumberFormat="1" applyFont="1" applyFill="1"/>
    <xf numFmtId="170" fontId="0" fillId="27" borderId="0" xfId="0" applyNumberFormat="1" applyFill="1"/>
    <xf numFmtId="0" fontId="13" fillId="22" borderId="28" xfId="0" applyFont="1" applyFill="1" applyBorder="1"/>
    <xf numFmtId="0" fontId="0" fillId="0" borderId="34" xfId="0" applyBorder="1" applyAlignment="1">
      <alignment wrapText="1"/>
    </xf>
    <xf numFmtId="0" fontId="23" fillId="0" borderId="0" xfId="0" applyFont="1"/>
    <xf numFmtId="9" fontId="0" fillId="0" borderId="0" xfId="2" applyFont="1" applyBorder="1" applyAlignment="1">
      <alignment horizontal="left"/>
    </xf>
    <xf numFmtId="170" fontId="0" fillId="27" borderId="0" xfId="2" applyNumberFormat="1" applyFont="1" applyFill="1" applyBorder="1"/>
    <xf numFmtId="2" fontId="0" fillId="3" borderId="0" xfId="0" applyNumberFormat="1" applyFill="1"/>
    <xf numFmtId="0" fontId="0" fillId="10" borderId="0" xfId="0" applyFill="1"/>
    <xf numFmtId="9" fontId="0" fillId="0" borderId="0" xfId="2" applyFont="1" applyFill="1"/>
    <xf numFmtId="9" fontId="0" fillId="0" borderId="0" xfId="0" applyNumberFormat="1"/>
    <xf numFmtId="0" fontId="26" fillId="22" borderId="0" xfId="0" applyFont="1" applyFill="1"/>
    <xf numFmtId="2" fontId="0" fillId="0" borderId="34" xfId="0" applyNumberFormat="1" applyBorder="1"/>
    <xf numFmtId="0" fontId="28" fillId="0" borderId="34" xfId="0" applyFont="1" applyBorder="1"/>
    <xf numFmtId="0" fontId="29" fillId="0" borderId="34" xfId="0" applyFont="1" applyBorder="1"/>
    <xf numFmtId="0" fontId="29" fillId="0" borderId="0" xfId="0" applyFont="1"/>
    <xf numFmtId="0" fontId="30" fillId="0" borderId="0" xfId="0" applyFont="1"/>
    <xf numFmtId="0" fontId="0" fillId="0" borderId="58" xfId="0" applyBorder="1"/>
    <xf numFmtId="165" fontId="0" fillId="0" borderId="5" xfId="0" applyNumberFormat="1" applyBorder="1"/>
    <xf numFmtId="165" fontId="0" fillId="0" borderId="7" xfId="0" applyNumberFormat="1" applyBorder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4624D6"/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36688"/>
        <c:axId val="184537072"/>
      </c:scatterChart>
      <c:valAx>
        <c:axId val="184536688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37072"/>
        <c:crosses val="autoZero"/>
        <c:crossBetween val="midCat"/>
        <c:majorUnit val="0.30000000000000004"/>
        <c:minorUnit val="0.30000000000000004"/>
      </c:valAx>
      <c:valAx>
        <c:axId val="1845370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3668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69688"/>
        <c:axId val="422718032"/>
      </c:scatterChart>
      <c:valAx>
        <c:axId val="422669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718032"/>
        <c:crossesAt val="0"/>
        <c:crossBetween val="midCat"/>
      </c:valAx>
      <c:valAx>
        <c:axId val="422718032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69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718200"/>
        <c:axId val="423718584"/>
      </c:scatterChart>
      <c:valAx>
        <c:axId val="423718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718584"/>
        <c:crosses val="autoZero"/>
        <c:crossBetween val="midCat"/>
      </c:valAx>
      <c:valAx>
        <c:axId val="423718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718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9.3223</c:v>
                  </c:pt>
                  <c:pt idx="1">
                    <c:v>cm</c:v>
                  </c:pt>
                  <c:pt idx="2">
                    <c:v>0.093223</c:v>
                  </c:pt>
                  <c:pt idx="3">
                    <c:v>m</c:v>
                  </c:pt>
                </c:lvl>
                <c:lvl>
                  <c:pt idx="0">
                    <c:v>0.155371667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0.29132187500000006</c:v>
                </c:pt>
                <c:pt idx="2">
                  <c:v>0.87396562500000008</c:v>
                </c:pt>
                <c:pt idx="3">
                  <c:v>1.4566093750000002</c:v>
                </c:pt>
                <c:pt idx="4">
                  <c:v>2.0392531250000001</c:v>
                </c:pt>
                <c:pt idx="5">
                  <c:v>2.6218968750000005</c:v>
                </c:pt>
                <c:pt idx="6">
                  <c:v>3.2045406250000004</c:v>
                </c:pt>
                <c:pt idx="7">
                  <c:v>3.7871843750000003</c:v>
                </c:pt>
                <c:pt idx="8">
                  <c:v>4.3698281250000006</c:v>
                </c:pt>
                <c:pt idx="9">
                  <c:v>4.661150000000001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928288"/>
        <c:axId val="423928672"/>
      </c:scatterChart>
      <c:valAx>
        <c:axId val="423928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928672"/>
        <c:crosses val="autoZero"/>
        <c:crossBetween val="midCat"/>
      </c:valAx>
      <c:valAx>
        <c:axId val="42392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92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838936"/>
        <c:axId val="186230560"/>
      </c:scatterChart>
      <c:valAx>
        <c:axId val="423838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0560"/>
        <c:crosses val="autoZero"/>
        <c:crossBetween val="midCat"/>
      </c:valAx>
      <c:valAx>
        <c:axId val="18623056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838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0.57663421503632151</c:v>
                </c:pt>
                <c:pt idx="2">
                  <c:v>1.6095003057301938</c:v>
                </c:pt>
                <c:pt idx="3">
                  <c:v>2.4860336098093825</c:v>
                </c:pt>
                <c:pt idx="4">
                  <c:v>3.2104539046127201</c:v>
                </c:pt>
                <c:pt idx="5">
                  <c:v>3.7861345862472433</c:v>
                </c:pt>
                <c:pt idx="6">
                  <c:v>4.2156855164324014</c:v>
                </c:pt>
                <c:pt idx="7">
                  <c:v>4.50101436759455</c:v>
                </c:pt>
                <c:pt idx="8">
                  <c:v>4.6433699619850444</c:v>
                </c:pt>
                <c:pt idx="9">
                  <c:v>4.6611500000000063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-0.57663421503632151</c:v>
                </c:pt>
                <c:pt idx="2">
                  <c:v>-1.6095003057301938</c:v>
                </c:pt>
                <c:pt idx="3">
                  <c:v>-2.4860336098093825</c:v>
                </c:pt>
                <c:pt idx="4">
                  <c:v>-3.2104539046127201</c:v>
                </c:pt>
                <c:pt idx="5">
                  <c:v>-3.7861345862472433</c:v>
                </c:pt>
                <c:pt idx="6">
                  <c:v>-4.2156855164324014</c:v>
                </c:pt>
                <c:pt idx="7">
                  <c:v>-4.50101436759455</c:v>
                </c:pt>
                <c:pt idx="8">
                  <c:v>-4.6433699619850444</c:v>
                </c:pt>
                <c:pt idx="9">
                  <c:v>-4.6611500000000063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-4.6611500000000001</c:v>
                </c:pt>
                <c:pt idx="1">
                  <c:v>-4.6611500000000001</c:v>
                </c:pt>
                <c:pt idx="2">
                  <c:v>-4.6611500000000001</c:v>
                </c:pt>
                <c:pt idx="3">
                  <c:v>-4.6611500000000001</c:v>
                </c:pt>
                <c:pt idx="4">
                  <c:v>-4.6611500000000001</c:v>
                </c:pt>
                <c:pt idx="5">
                  <c:v>-4.6611500000000001</c:v>
                </c:pt>
                <c:pt idx="6">
                  <c:v>-4.6611500000000001</c:v>
                </c:pt>
                <c:pt idx="7">
                  <c:v>-4.6611500000000001</c:v>
                </c:pt>
                <c:pt idx="8">
                  <c:v>-4.6611500000000001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-4.6611500000000001</c:v>
                </c:pt>
                <c:pt idx="1">
                  <c:v>-6.5361500000000001</c:v>
                </c:pt>
                <c:pt idx="2">
                  <c:v>-10.286149999999999</c:v>
                </c:pt>
                <c:pt idx="3">
                  <c:v>-14.036149999999999</c:v>
                </c:pt>
                <c:pt idx="4">
                  <c:v>-14.661149999999999</c:v>
                </c:pt>
                <c:pt idx="5">
                  <c:v>-14.661149999999999</c:v>
                </c:pt>
                <c:pt idx="6">
                  <c:v>-14.661149999999999</c:v>
                </c:pt>
                <c:pt idx="7">
                  <c:v>-14.661149999999999</c:v>
                </c:pt>
                <c:pt idx="8">
                  <c:v>-14.661149999999999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-4.6611500000000001</c:v>
                </c:pt>
                <c:pt idx="1">
                  <c:v>-4.5104531249999997</c:v>
                </c:pt>
                <c:pt idx="2">
                  <c:v>-4.2090593749999998</c:v>
                </c:pt>
                <c:pt idx="3">
                  <c:v>-3.9076656249999999</c:v>
                </c:pt>
                <c:pt idx="4">
                  <c:v>-3.606271875</c:v>
                </c:pt>
                <c:pt idx="5">
                  <c:v>-3.3048781250000001</c:v>
                </c:pt>
                <c:pt idx="6">
                  <c:v>-3.0034843750000002</c:v>
                </c:pt>
                <c:pt idx="7">
                  <c:v>-2.7020906250000003</c:v>
                </c:pt>
                <c:pt idx="8">
                  <c:v>-2.400696875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1736"/>
        <c:axId val="186232128"/>
      </c:scatterChart>
      <c:valAx>
        <c:axId val="186231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2128"/>
        <c:crosses val="autoZero"/>
        <c:crossBetween val="midCat"/>
      </c:valAx>
      <c:valAx>
        <c:axId val="18623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1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2912"/>
        <c:axId val="1856730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100.6777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6.5361500000000001</c:v>
                      </c:pt>
                      <c:pt idx="3">
                        <c:v>10.286149999999999</c:v>
                      </c:pt>
                      <c:pt idx="4">
                        <c:v>14.036149999999999</c:v>
                      </c:pt>
                      <c:pt idx="5">
                        <c:v>14.661149999999999</c:v>
                      </c:pt>
                      <c:pt idx="6">
                        <c:v>14.661149999999999</c:v>
                      </c:pt>
                      <c:pt idx="7">
                        <c:v>14.661149999999999</c:v>
                      </c:pt>
                      <c:pt idx="8">
                        <c:v>14.661149999999999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8623291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673016"/>
        <c:crosses val="autoZero"/>
        <c:crossBetween val="midCat"/>
      </c:valAx>
      <c:valAx>
        <c:axId val="185673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5416"/>
        <c:axId val="424691888"/>
      </c:scatterChart>
      <c:valAx>
        <c:axId val="424695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1888"/>
        <c:crosses val="autoZero"/>
        <c:crossBetween val="midCat"/>
      </c:valAx>
      <c:valAx>
        <c:axId val="42469188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5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89928"/>
        <c:axId val="424696592"/>
      </c:scatterChart>
      <c:valAx>
        <c:axId val="424689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6592"/>
        <c:crosses val="autoZero"/>
        <c:crossBetween val="midCat"/>
      </c:valAx>
      <c:valAx>
        <c:axId val="42469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89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0.57663421503632151</c:v>
                </c:pt>
                <c:pt idx="2">
                  <c:v>1.6095003057301938</c:v>
                </c:pt>
                <c:pt idx="3">
                  <c:v>2.4860336098093825</c:v>
                </c:pt>
                <c:pt idx="4">
                  <c:v>3.2104539046127201</c:v>
                </c:pt>
                <c:pt idx="5">
                  <c:v>3.7861345862472433</c:v>
                </c:pt>
                <c:pt idx="6">
                  <c:v>4.2156855164324014</c:v>
                </c:pt>
                <c:pt idx="7">
                  <c:v>4.50101436759455</c:v>
                </c:pt>
                <c:pt idx="8">
                  <c:v>4.6433699619850444</c:v>
                </c:pt>
                <c:pt idx="9">
                  <c:v>4.6611500000000063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2672"/>
        <c:axId val="424689536"/>
      </c:scatterChart>
      <c:valAx>
        <c:axId val="424692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89536"/>
        <c:crosses val="autoZero"/>
        <c:crossBetween val="midCat"/>
      </c:valAx>
      <c:valAx>
        <c:axId val="42468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2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0.29132187500000006</c:v>
                </c:pt>
                <c:pt idx="2">
                  <c:v>0.87396562500000008</c:v>
                </c:pt>
                <c:pt idx="3">
                  <c:v>1.4566093750000002</c:v>
                </c:pt>
                <c:pt idx="4">
                  <c:v>2.0392531250000001</c:v>
                </c:pt>
                <c:pt idx="5">
                  <c:v>2.6218968750000005</c:v>
                </c:pt>
                <c:pt idx="6">
                  <c:v>3.2045406250000004</c:v>
                </c:pt>
                <c:pt idx="7">
                  <c:v>3.7871843750000003</c:v>
                </c:pt>
                <c:pt idx="8">
                  <c:v>4.3698281250000006</c:v>
                </c:pt>
                <c:pt idx="9">
                  <c:v>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-0.29132187500000006</c:v>
                </c:pt>
                <c:pt idx="2">
                  <c:v>-0.87396562500000008</c:v>
                </c:pt>
                <c:pt idx="3">
                  <c:v>-1.4566093750000002</c:v>
                </c:pt>
                <c:pt idx="4">
                  <c:v>-2.0392531250000001</c:v>
                </c:pt>
                <c:pt idx="5">
                  <c:v>-2.6218968750000005</c:v>
                </c:pt>
                <c:pt idx="6">
                  <c:v>-3.2045406250000004</c:v>
                </c:pt>
                <c:pt idx="7">
                  <c:v>-3.7871843750000003</c:v>
                </c:pt>
                <c:pt idx="8">
                  <c:v>-4.3698281250000006</c:v>
                </c:pt>
                <c:pt idx="9">
                  <c:v>-4.661150000000001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-4.6611500000000001</c:v>
                </c:pt>
                <c:pt idx="1">
                  <c:v>-4.6611500000000001</c:v>
                </c:pt>
                <c:pt idx="2">
                  <c:v>-4.6611500000000001</c:v>
                </c:pt>
                <c:pt idx="3">
                  <c:v>-4.6611500000000001</c:v>
                </c:pt>
                <c:pt idx="4">
                  <c:v>-4.6611500000000001</c:v>
                </c:pt>
                <c:pt idx="5">
                  <c:v>-4.6611500000000001</c:v>
                </c:pt>
                <c:pt idx="6">
                  <c:v>-4.6611500000000001</c:v>
                </c:pt>
                <c:pt idx="7">
                  <c:v>-4.6611500000000001</c:v>
                </c:pt>
                <c:pt idx="8">
                  <c:v>-4.6611500000000001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-4.6611500000000001</c:v>
                </c:pt>
                <c:pt idx="1">
                  <c:v>-6.5361500000000001</c:v>
                </c:pt>
                <c:pt idx="2">
                  <c:v>-10.286149999999999</c:v>
                </c:pt>
                <c:pt idx="3">
                  <c:v>-14.036149999999999</c:v>
                </c:pt>
                <c:pt idx="4">
                  <c:v>-14.661149999999999</c:v>
                </c:pt>
                <c:pt idx="5">
                  <c:v>-14.661149999999999</c:v>
                </c:pt>
                <c:pt idx="6">
                  <c:v>-14.661149999999999</c:v>
                </c:pt>
                <c:pt idx="7">
                  <c:v>-14.661149999999999</c:v>
                </c:pt>
                <c:pt idx="8">
                  <c:v>-14.661149999999999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-4.6611500000000001</c:v>
                </c:pt>
                <c:pt idx="1">
                  <c:v>-4.5104531249999997</c:v>
                </c:pt>
                <c:pt idx="2">
                  <c:v>-4.2090593749999998</c:v>
                </c:pt>
                <c:pt idx="3">
                  <c:v>-3.9076656249999999</c:v>
                </c:pt>
                <c:pt idx="4">
                  <c:v>-3.606271875</c:v>
                </c:pt>
                <c:pt idx="5">
                  <c:v>-3.3048781250000001</c:v>
                </c:pt>
                <c:pt idx="6">
                  <c:v>-3.0034843750000002</c:v>
                </c:pt>
                <c:pt idx="7">
                  <c:v>-2.7020906250000003</c:v>
                </c:pt>
                <c:pt idx="8">
                  <c:v>-2.400696875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3064"/>
        <c:axId val="424690320"/>
      </c:scatterChart>
      <c:valAx>
        <c:axId val="424693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0320"/>
        <c:crosses val="autoZero"/>
        <c:crossBetween val="midCat"/>
      </c:valAx>
      <c:valAx>
        <c:axId val="4246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3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0.29132187500000006</c:v>
                </c:pt>
                <c:pt idx="2">
                  <c:v>0.87396562500000008</c:v>
                </c:pt>
                <c:pt idx="3">
                  <c:v>1.4566093750000002</c:v>
                </c:pt>
                <c:pt idx="4">
                  <c:v>2.0392531250000001</c:v>
                </c:pt>
                <c:pt idx="5">
                  <c:v>2.6218968750000005</c:v>
                </c:pt>
                <c:pt idx="6">
                  <c:v>3.2045406250000004</c:v>
                </c:pt>
                <c:pt idx="7">
                  <c:v>3.7871843750000003</c:v>
                </c:pt>
                <c:pt idx="8">
                  <c:v>4.3698281250000006</c:v>
                </c:pt>
                <c:pt idx="9">
                  <c:v>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-0.29132187500000006</c:v>
                </c:pt>
                <c:pt idx="2">
                  <c:v>-0.87396562500000008</c:v>
                </c:pt>
                <c:pt idx="3">
                  <c:v>-1.4566093750000002</c:v>
                </c:pt>
                <c:pt idx="4">
                  <c:v>-2.0392531250000001</c:v>
                </c:pt>
                <c:pt idx="5">
                  <c:v>-2.6218968750000005</c:v>
                </c:pt>
                <c:pt idx="6">
                  <c:v>-3.2045406250000004</c:v>
                </c:pt>
                <c:pt idx="7">
                  <c:v>-3.7871843750000003</c:v>
                </c:pt>
                <c:pt idx="8">
                  <c:v>-4.3698281250000006</c:v>
                </c:pt>
                <c:pt idx="9">
                  <c:v>-4.661150000000001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-4.6611500000000001</c:v>
                </c:pt>
                <c:pt idx="1">
                  <c:v>-4.6611500000000001</c:v>
                </c:pt>
                <c:pt idx="2">
                  <c:v>-4.6611500000000001</c:v>
                </c:pt>
                <c:pt idx="3">
                  <c:v>-4.6611500000000001</c:v>
                </c:pt>
                <c:pt idx="4">
                  <c:v>-4.6611500000000001</c:v>
                </c:pt>
                <c:pt idx="5">
                  <c:v>-4.6611500000000001</c:v>
                </c:pt>
                <c:pt idx="6">
                  <c:v>-4.6611500000000001</c:v>
                </c:pt>
                <c:pt idx="7">
                  <c:v>-4.6611500000000001</c:v>
                </c:pt>
                <c:pt idx="8">
                  <c:v>-4.6611500000000001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-4.6611500000000001</c:v>
                </c:pt>
                <c:pt idx="1">
                  <c:v>-6.5361500000000001</c:v>
                </c:pt>
                <c:pt idx="2">
                  <c:v>-10.286149999999999</c:v>
                </c:pt>
                <c:pt idx="3">
                  <c:v>-14.036149999999999</c:v>
                </c:pt>
                <c:pt idx="4">
                  <c:v>-14.661149999999999</c:v>
                </c:pt>
                <c:pt idx="5">
                  <c:v>-14.661149999999999</c:v>
                </c:pt>
                <c:pt idx="6">
                  <c:v>-14.661149999999999</c:v>
                </c:pt>
                <c:pt idx="7">
                  <c:v>-14.661149999999999</c:v>
                </c:pt>
                <c:pt idx="8">
                  <c:v>-14.661149999999999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-4.6611500000000001</c:v>
                </c:pt>
                <c:pt idx="1">
                  <c:v>-4.5104531249999997</c:v>
                </c:pt>
                <c:pt idx="2">
                  <c:v>-4.2090593749999998</c:v>
                </c:pt>
                <c:pt idx="3">
                  <c:v>-3.9076656249999999</c:v>
                </c:pt>
                <c:pt idx="4">
                  <c:v>-3.606271875</c:v>
                </c:pt>
                <c:pt idx="5">
                  <c:v>-3.3048781250000001</c:v>
                </c:pt>
                <c:pt idx="6">
                  <c:v>-3.0034843750000002</c:v>
                </c:pt>
                <c:pt idx="7">
                  <c:v>-2.7020906250000003</c:v>
                </c:pt>
                <c:pt idx="8">
                  <c:v>-2.400696875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0712"/>
        <c:axId val="424691104"/>
      </c:scatterChart>
      <c:valAx>
        <c:axId val="424690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1104"/>
        <c:crosses val="autoZero"/>
        <c:crossBetween val="midCat"/>
      </c:valAx>
      <c:valAx>
        <c:axId val="42469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0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longitudinal (tension)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SimpleCompositesV1!$B$47:$B$48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SimpleCompositesV1!$D$47:$D$48</c:f>
              <c:numCache>
                <c:formatCode>0.00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SimpleCompositesV1!$B$49:$B$51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SimpleCompositesV1!$D$49:$D$51</c:f>
              <c:numCache>
                <c:formatCode>0.00</c:formatCode>
                <c:ptCount val="3"/>
                <c:pt idx="0">
                  <c:v>0</c:v>
                </c:pt>
                <c:pt idx="1">
                  <c:v>34.03921568627451</c:v>
                </c:pt>
                <c:pt idx="2">
                  <c:v>42.549019607843135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68-49E6-B37F-CC1E0295A8BA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SimpleCompositesV1!$B$52:$B$53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SimpleCompositesV1!$D$52:$D$53</c:f>
              <c:numCache>
                <c:formatCode>0.00</c:formatCode>
                <c:ptCount val="2"/>
                <c:pt idx="0">
                  <c:v>0</c:v>
                </c:pt>
                <c:pt idx="1">
                  <c:v>130.70735294117648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6200"/>
        <c:axId val="424693848"/>
      </c:scatterChart>
      <c:valAx>
        <c:axId val="424696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3848"/>
        <c:crosses val="autoZero"/>
        <c:crossBetween val="midCat"/>
      </c:valAx>
      <c:valAx>
        <c:axId val="424693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6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transversal</a:t>
            </a:r>
          </a:p>
          <a:p>
            <a:pPr>
              <a:defRPr sz="1100"/>
            </a:pPr>
            <a:r>
              <a:rPr lang="en-US" sz="1100" baseline="0"/>
              <a:t>or compression</a:t>
            </a:r>
            <a:endParaRPr lang="en-US" sz="1100"/>
          </a:p>
        </c:rich>
      </c:tx>
      <c:layout>
        <c:manualLayout>
          <c:xMode val="edge"/>
          <c:yMode val="edge"/>
          <c:x val="0.20042036433124658"/>
          <c:y val="3.2423873892303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SimpleCompositesV1!$C$47:$C$48</c:f>
              <c:numCache>
                <c:formatCode>0.0%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SimpleCompositesV1!$E$47:$E$48</c:f>
              <c:numCache>
                <c:formatCode>0.00</c:formatCode>
                <c:ptCount val="2"/>
                <c:pt idx="0">
                  <c:v>0</c:v>
                </c:pt>
                <c:pt idx="1">
                  <c:v>21.900000000000002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SimpleCompositesV1!$C$49:$C$51</c:f>
              <c:numCache>
                <c:formatCode>0.0%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SimpleCompositesV1!$E$49:$E$51</c:f>
              <c:numCache>
                <c:formatCode>0.00</c:formatCode>
                <c:ptCount val="3"/>
                <c:pt idx="0">
                  <c:v>0</c:v>
                </c:pt>
                <c:pt idx="1">
                  <c:v>97.176470588235304</c:v>
                </c:pt>
                <c:pt idx="2">
                  <c:v>121.47058823529412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2"/>
          <c:order val="2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658-469D-92B9-CCB9E1E622E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SimpleCompositesV1!$C$52:$C$53</c:f>
              <c:numCache>
                <c:formatCode>0.0%</c:formatCode>
                <c:ptCount val="2"/>
                <c:pt idx="0">
                  <c:v>0</c:v>
                </c:pt>
                <c:pt idx="1">
                  <c:v>1.6799999999999999E-2</c:v>
                </c:pt>
              </c:numCache>
            </c:numRef>
          </c:xVal>
          <c:yVal>
            <c:numRef>
              <c:f>SimpleCompositesV1!$E$52:$E$53</c:f>
              <c:numCache>
                <c:formatCode>0.00</c:formatCode>
                <c:ptCount val="2"/>
                <c:pt idx="0">
                  <c:v>0</c:v>
                </c:pt>
                <c:pt idx="1">
                  <c:v>53.365411764705883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4240"/>
        <c:axId val="186230168"/>
      </c:scatterChart>
      <c:valAx>
        <c:axId val="42469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0168"/>
        <c:crosses val="autoZero"/>
        <c:crossBetween val="midCat"/>
      </c:valAx>
      <c:valAx>
        <c:axId val="186230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SimpleCompositesV1!$B$124:$B$141</c:f>
              <c:numCache>
                <c:formatCode>General</c:formatCode>
                <c:ptCount val="18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  <c:pt idx="17">
                  <c:v>1350</c:v>
                </c:pt>
              </c:numCache>
            </c:numRef>
          </c:xVal>
          <c:yVal>
            <c:numRef>
              <c:f>SimpleCompositesV1!$C$124:$C$141</c:f>
              <c:numCache>
                <c:formatCode>General</c:formatCode>
                <c:ptCount val="18"/>
                <c:pt idx="0">
                  <c:v>117</c:v>
                </c:pt>
                <c:pt idx="1">
                  <c:v>117.63939393939394</c:v>
                </c:pt>
                <c:pt idx="2">
                  <c:v>118.27878787878787</c:v>
                </c:pt>
                <c:pt idx="3">
                  <c:v>118.91818181818181</c:v>
                </c:pt>
                <c:pt idx="4">
                  <c:v>119.55757575757575</c:v>
                </c:pt>
                <c:pt idx="5">
                  <c:v>120.19696969696969</c:v>
                </c:pt>
                <c:pt idx="6">
                  <c:v>120.83636363636361</c:v>
                </c:pt>
                <c:pt idx="7">
                  <c:v>121.47575757575756</c:v>
                </c:pt>
                <c:pt idx="8">
                  <c:v>121.68888888888887</c:v>
                </c:pt>
                <c:pt idx="9">
                  <c:v>80.672463768115932</c:v>
                </c:pt>
                <c:pt idx="10">
                  <c:v>19.147826086956513</c:v>
                </c:pt>
                <c:pt idx="11">
                  <c:v>-42.376811594202906</c:v>
                </c:pt>
                <c:pt idx="12">
                  <c:v>-103.90144927536232</c:v>
                </c:pt>
                <c:pt idx="13">
                  <c:v>-165.42608695652171</c:v>
                </c:pt>
                <c:pt idx="14">
                  <c:v>-226.95072463768116</c:v>
                </c:pt>
                <c:pt idx="15">
                  <c:v>-288.47536231884055</c:v>
                </c:pt>
                <c:pt idx="16">
                  <c:v>-350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v>Shear stress graph</c:v>
                </c15:tx>
              </c15:filteredSeriesTitle>
            </c:ext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8208"/>
        <c:axId val="186235264"/>
      </c:scatterChart>
      <c:valAx>
        <c:axId val="186228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5264"/>
        <c:crosses val="autoZero"/>
        <c:crossBetween val="midCat"/>
      </c:valAx>
      <c:valAx>
        <c:axId val="18623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8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SimpleCompositesV1!$B$124:$B$140</c:f>
              <c:numCache>
                <c:formatCode>General</c:formatCode>
                <c:ptCount val="17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</c:numCache>
            </c:numRef>
          </c:xVal>
          <c:yVal>
            <c:numRef>
              <c:f>SimpleCompositesV1!$D$124:$D$140</c:f>
              <c:numCache>
                <c:formatCode>General</c:formatCode>
                <c:ptCount val="17"/>
                <c:pt idx="0">
                  <c:v>0</c:v>
                </c:pt>
                <c:pt idx="1">
                  <c:v>10558.772727272728</c:v>
                </c:pt>
                <c:pt idx="2">
                  <c:v>21175.090909090908</c:v>
                </c:pt>
                <c:pt idx="3">
                  <c:v>31848.954545454544</c:v>
                </c:pt>
                <c:pt idx="4">
                  <c:v>42580.363636363632</c:v>
                </c:pt>
                <c:pt idx="5">
                  <c:v>53369.318181818177</c:v>
                </c:pt>
                <c:pt idx="6">
                  <c:v>64215.818181818177</c:v>
                </c:pt>
                <c:pt idx="7">
                  <c:v>75119.863636363632</c:v>
                </c:pt>
                <c:pt idx="8">
                  <c:v>78767.333333333372</c:v>
                </c:pt>
                <c:pt idx="9">
                  <c:v>84838.173913043574</c:v>
                </c:pt>
                <c:pt idx="10">
                  <c:v>89330.086956521729</c:v>
                </c:pt>
                <c:pt idx="11">
                  <c:v>88284.782608695677</c:v>
                </c:pt>
                <c:pt idx="12">
                  <c:v>81702.260869565303</c:v>
                </c:pt>
                <c:pt idx="13">
                  <c:v>69582.52173913049</c:v>
                </c:pt>
                <c:pt idx="14">
                  <c:v>51925.565217391355</c:v>
                </c:pt>
                <c:pt idx="15">
                  <c:v>28731.391304347897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928"/>
        <c:axId val="426213184"/>
      </c:scatterChart>
      <c:valAx>
        <c:axId val="426215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13184"/>
        <c:crosses val="autoZero"/>
        <c:crossBetween val="midCat"/>
      </c:valAx>
      <c:valAx>
        <c:axId val="42621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15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v>Shear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SimpleCompositesV1!$C$216:$C$231</c:f>
              <c:numCache>
                <c:formatCode>0.00</c:formatCode>
                <c:ptCount val="16"/>
                <c:pt idx="0">
                  <c:v>2.3333333333333335</c:v>
                </c:pt>
                <c:pt idx="1">
                  <c:v>7</c:v>
                </c:pt>
                <c:pt idx="2">
                  <c:v>11.666666666666668</c:v>
                </c:pt>
                <c:pt idx="3">
                  <c:v>16.333333333333336</c:v>
                </c:pt>
                <c:pt idx="4">
                  <c:v>21.000000000000004</c:v>
                </c:pt>
                <c:pt idx="5">
                  <c:v>25.666666666666671</c:v>
                </c:pt>
                <c:pt idx="6">
                  <c:v>30.333333333333339</c:v>
                </c:pt>
                <c:pt idx="7">
                  <c:v>35.000000000000007</c:v>
                </c:pt>
                <c:pt idx="8">
                  <c:v>39.666666666666671</c:v>
                </c:pt>
                <c:pt idx="9">
                  <c:v>44.333333333333336</c:v>
                </c:pt>
                <c:pt idx="10">
                  <c:v>49</c:v>
                </c:pt>
                <c:pt idx="11">
                  <c:v>53.666666666666664</c:v>
                </c:pt>
                <c:pt idx="12">
                  <c:v>58.333333333333329</c:v>
                </c:pt>
                <c:pt idx="13">
                  <c:v>62.999999999999993</c:v>
                </c:pt>
                <c:pt idx="14">
                  <c:v>67.666666666666657</c:v>
                </c:pt>
                <c:pt idx="15">
                  <c:v>70</c:v>
                </c:pt>
              </c:numCache>
            </c:numRef>
          </c:cat>
          <c:val>
            <c:numRef>
              <c:f>SimpleCompositesV1!$D$216:$D$231</c:f>
              <c:numCache>
                <c:formatCode>General</c:formatCode>
                <c:ptCount val="16"/>
                <c:pt idx="0">
                  <c:v>-171.41092913552765</c:v>
                </c:pt>
                <c:pt idx="1">
                  <c:v>-171.65845126411196</c:v>
                </c:pt>
                <c:pt idx="2">
                  <c:v>-171.90597339269624</c:v>
                </c:pt>
                <c:pt idx="3">
                  <c:v>-172.15349552128055</c:v>
                </c:pt>
                <c:pt idx="4">
                  <c:v>-172.40101764986485</c:v>
                </c:pt>
                <c:pt idx="5">
                  <c:v>-172.64853977844916</c:v>
                </c:pt>
                <c:pt idx="6">
                  <c:v>-172.89606190703344</c:v>
                </c:pt>
                <c:pt idx="7">
                  <c:v>-173.14358403561775</c:v>
                </c:pt>
                <c:pt idx="8">
                  <c:v>-173.39110616420206</c:v>
                </c:pt>
                <c:pt idx="9">
                  <c:v>-173.63862829278636</c:v>
                </c:pt>
                <c:pt idx="10">
                  <c:v>-173.88615042137064</c:v>
                </c:pt>
                <c:pt idx="11">
                  <c:v>-174.13367254995495</c:v>
                </c:pt>
                <c:pt idx="12">
                  <c:v>-174.38119467853926</c:v>
                </c:pt>
                <c:pt idx="13">
                  <c:v>-174.62871680712357</c:v>
                </c:pt>
                <c:pt idx="14">
                  <c:v>-174.87623893570785</c:v>
                </c:pt>
                <c:pt idx="15">
                  <c:v>-8.8817841970012523E-15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9B-4B00-994E-1505CEEDE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5511760"/>
        <c:axId val="515516560"/>
      </c:lineChart>
      <c:lineChart>
        <c:grouping val="standard"/>
        <c:varyColors val="0"/>
        <c:ser>
          <c:idx val="0"/>
          <c:order val="0"/>
          <c:tx>
            <c:v>Moment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SimpleCompositesV1!$C$216:$C$231</c:f>
              <c:numCache>
                <c:formatCode>0.00</c:formatCode>
                <c:ptCount val="16"/>
                <c:pt idx="0">
                  <c:v>2.3333333333333335</c:v>
                </c:pt>
                <c:pt idx="1">
                  <c:v>7</c:v>
                </c:pt>
                <c:pt idx="2">
                  <c:v>11.666666666666668</c:v>
                </c:pt>
                <c:pt idx="3">
                  <c:v>16.333333333333336</c:v>
                </c:pt>
                <c:pt idx="4">
                  <c:v>21.000000000000004</c:v>
                </c:pt>
                <c:pt idx="5">
                  <c:v>25.666666666666671</c:v>
                </c:pt>
                <c:pt idx="6">
                  <c:v>30.333333333333339</c:v>
                </c:pt>
                <c:pt idx="7">
                  <c:v>35.000000000000007</c:v>
                </c:pt>
                <c:pt idx="8">
                  <c:v>39.666666666666671</c:v>
                </c:pt>
                <c:pt idx="9">
                  <c:v>44.333333333333336</c:v>
                </c:pt>
                <c:pt idx="10">
                  <c:v>49</c:v>
                </c:pt>
                <c:pt idx="11">
                  <c:v>53.666666666666664</c:v>
                </c:pt>
                <c:pt idx="12">
                  <c:v>58.333333333333329</c:v>
                </c:pt>
                <c:pt idx="13">
                  <c:v>62.999999999999993</c:v>
                </c:pt>
                <c:pt idx="14">
                  <c:v>67.666666666666657</c:v>
                </c:pt>
                <c:pt idx="15">
                  <c:v>70</c:v>
                </c:pt>
              </c:numCache>
            </c:numRef>
          </c:cat>
          <c:val>
            <c:numRef>
              <c:f>SimpleCompositesV1!$E$216:$E$231</c:f>
              <c:numCache>
                <c:formatCode>0.00</c:formatCode>
                <c:ptCount val="16"/>
                <c:pt idx="0">
                  <c:v>-399.95883464956455</c:v>
                </c:pt>
                <c:pt idx="1">
                  <c:v>-1201.6091588487836</c:v>
                </c:pt>
                <c:pt idx="2">
                  <c:v>-2005.5696895814563</c:v>
                </c:pt>
                <c:pt idx="3">
                  <c:v>-2811.8404268475829</c:v>
                </c:pt>
                <c:pt idx="4">
                  <c:v>-3620.4213706471623</c:v>
                </c:pt>
                <c:pt idx="5">
                  <c:v>-4431.3125209801956</c:v>
                </c:pt>
                <c:pt idx="6">
                  <c:v>-5244.5138778466817</c:v>
                </c:pt>
                <c:pt idx="7">
                  <c:v>-6060.0254412466229</c:v>
                </c:pt>
                <c:pt idx="8">
                  <c:v>-6877.8472111800156</c:v>
                </c:pt>
                <c:pt idx="9">
                  <c:v>-7697.9791876468626</c:v>
                </c:pt>
                <c:pt idx="10">
                  <c:v>-8520.4213706471619</c:v>
                </c:pt>
                <c:pt idx="11">
                  <c:v>-9345.1737601809145</c:v>
                </c:pt>
                <c:pt idx="12">
                  <c:v>-10172.236356248122</c:v>
                </c:pt>
                <c:pt idx="13">
                  <c:v>-11001.609158848783</c:v>
                </c:pt>
                <c:pt idx="14">
                  <c:v>-11833.292167982896</c:v>
                </c:pt>
                <c:pt idx="15">
                  <c:v>-6.2172489379008766E-13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9B-4B00-994E-1505CEEDE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5422480"/>
        <c:axId val="515421520"/>
      </c:lineChart>
      <c:catAx>
        <c:axId val="515511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516560"/>
        <c:crosses val="autoZero"/>
        <c:auto val="1"/>
        <c:lblAlgn val="ctr"/>
        <c:lblOffset val="100"/>
        <c:noMultiLvlLbl val="0"/>
      </c:catAx>
      <c:valAx>
        <c:axId val="51551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511760"/>
        <c:crosses val="autoZero"/>
        <c:crossBetween val="between"/>
      </c:valAx>
      <c:valAx>
        <c:axId val="515421520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422480"/>
        <c:crosses val="max"/>
        <c:crossBetween val="between"/>
      </c:valAx>
      <c:catAx>
        <c:axId val="515422480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515421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0832"/>
        <c:axId val="426211616"/>
      </c:scatterChart>
      <c:valAx>
        <c:axId val="42621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1616"/>
        <c:crosses val="autoZero"/>
        <c:crossBetween val="midCat"/>
      </c:valAx>
      <c:valAx>
        <c:axId val="4262116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0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144"/>
        <c:axId val="425058384"/>
      </c:scatterChart>
      <c:valAx>
        <c:axId val="42621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8384"/>
        <c:crosses val="autoZero"/>
        <c:crossBetween val="midCat"/>
      </c:valAx>
      <c:valAx>
        <c:axId val="42505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5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6424"/>
        <c:axId val="425059952"/>
      </c:scatterChart>
      <c:valAx>
        <c:axId val="425056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9952"/>
        <c:crosses val="autoZero"/>
        <c:crossBetween val="midCat"/>
      </c:valAx>
      <c:valAx>
        <c:axId val="4250599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6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536"/>
        <c:axId val="426212792"/>
      </c:scatterChart>
      <c:valAx>
        <c:axId val="42621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2792"/>
        <c:crosses val="autoZero"/>
        <c:crossBetween val="midCat"/>
      </c:valAx>
      <c:valAx>
        <c:axId val="42621279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0048"/>
        <c:axId val="426213576"/>
      </c:scatterChart>
      <c:valAx>
        <c:axId val="42621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3576"/>
        <c:crosses val="autoZero"/>
        <c:crossBetween val="midCat"/>
      </c:valAx>
      <c:valAx>
        <c:axId val="426213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3968"/>
        <c:axId val="426214360"/>
      </c:scatterChart>
      <c:valAx>
        <c:axId val="42621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4360"/>
        <c:crosses val="autoZero"/>
        <c:crossBetween val="midCat"/>
      </c:valAx>
      <c:valAx>
        <c:axId val="426214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forebody'!$B$1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forebody'!$B$55:$B$60</c:f>
              <c:numCache>
                <c:formatCode>0.0000</c:formatCode>
                <c:ptCount val="6"/>
                <c:pt idx="0">
                  <c:v>4.4972482950220497E-4</c:v>
                </c:pt>
                <c:pt idx="1">
                  <c:v>0.11154528824189294</c:v>
                </c:pt>
                <c:pt idx="2">
                  <c:v>0.24571503346814058</c:v>
                </c:pt>
                <c:pt idx="3">
                  <c:v>0.4535601278028607</c:v>
                </c:pt>
                <c:pt idx="4">
                  <c:v>0.74033388475508122</c:v>
                </c:pt>
                <c:pt idx="5">
                  <c:v>1.0734393643591253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forebody'!$C$1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forebody'!$C$55:$C$60</c:f>
              <c:numCache>
                <c:formatCode>0.0000</c:formatCode>
                <c:ptCount val="6"/>
                <c:pt idx="0">
                  <c:v>6.5543131262626123E-3</c:v>
                </c:pt>
                <c:pt idx="1">
                  <c:v>0.10887311221376073</c:v>
                </c:pt>
                <c:pt idx="2">
                  <c:v>0.24437897113600537</c:v>
                </c:pt>
                <c:pt idx="3">
                  <c:v>0.44421329105608415</c:v>
                </c:pt>
                <c:pt idx="4">
                  <c:v>0.73991842219545534</c:v>
                </c:pt>
                <c:pt idx="5">
                  <c:v>1.0568344114857287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forebody'!$D$1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forebody'!$D$55:$D$60</c:f>
              <c:numCache>
                <c:formatCode>0.0000</c:formatCode>
                <c:ptCount val="6"/>
                <c:pt idx="0">
                  <c:v>5.9718058860071107E-3</c:v>
                </c:pt>
                <c:pt idx="1">
                  <c:v>0.1054019834653486</c:v>
                </c:pt>
                <c:pt idx="2">
                  <c:v>0.22476000289193288</c:v>
                </c:pt>
                <c:pt idx="3">
                  <c:v>0.41003729756301754</c:v>
                </c:pt>
                <c:pt idx="4">
                  <c:v>0.67132269533991784</c:v>
                </c:pt>
                <c:pt idx="5">
                  <c:v>0.96051121305191334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forebody'!$E$1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forebody'!$E$55:$E$60</c:f>
              <c:numCache>
                <c:formatCode>0.0000</c:formatCode>
                <c:ptCount val="6"/>
                <c:pt idx="0">
                  <c:v>4.6908657463379669E-3</c:v>
                </c:pt>
                <c:pt idx="1">
                  <c:v>0.10127540987543579</c:v>
                </c:pt>
                <c:pt idx="2">
                  <c:v>0.21667919109982556</c:v>
                </c:pt>
                <c:pt idx="3">
                  <c:v>0.39559385294688981</c:v>
                </c:pt>
                <c:pt idx="4">
                  <c:v>0.64904203158858953</c:v>
                </c:pt>
                <c:pt idx="5">
                  <c:v>0.93994285260974442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forebody'!$F$1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forebody'!$F$55:$F$60</c:f>
              <c:numCache>
                <c:formatCode>0.0000</c:formatCode>
                <c:ptCount val="6"/>
                <c:pt idx="0">
                  <c:v>3.4905033132121531E-3</c:v>
                </c:pt>
                <c:pt idx="1">
                  <c:v>0.12315686056959201</c:v>
                </c:pt>
                <c:pt idx="2">
                  <c:v>0.2711938321141189</c:v>
                </c:pt>
                <c:pt idx="3">
                  <c:v>0.50232528946105803</c:v>
                </c:pt>
                <c:pt idx="4">
                  <c:v>0.83768945348142321</c:v>
                </c:pt>
                <c:pt idx="5">
                  <c:v>1.2370872633202543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6032"/>
        <c:axId val="425054856"/>
      </c:scatterChart>
      <c:valAx>
        <c:axId val="425056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4856"/>
        <c:crosses val="autoZero"/>
        <c:crossBetween val="midCat"/>
      </c:valAx>
      <c:valAx>
        <c:axId val="425054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7208"/>
        <c:axId val="425060344"/>
      </c:scatterChart>
      <c:valAx>
        <c:axId val="425057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60344"/>
        <c:crosses val="autoZero"/>
        <c:crossBetween val="midCat"/>
      </c:valAx>
      <c:valAx>
        <c:axId val="42506034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8776"/>
        <c:axId val="425056816"/>
      </c:scatterChart>
      <c:valAx>
        <c:axId val="425058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6816"/>
        <c:crosses val="autoZero"/>
        <c:crossBetween val="midCat"/>
      </c:valAx>
      <c:valAx>
        <c:axId val="42505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8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055640"/>
        <c:axId val="425059168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059560"/>
        <c:axId val="425054072"/>
      </c:lineChart>
      <c:catAx>
        <c:axId val="425055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9168"/>
        <c:crosses val="autoZero"/>
        <c:auto val="1"/>
        <c:lblAlgn val="ctr"/>
        <c:lblOffset val="100"/>
        <c:noMultiLvlLbl val="0"/>
      </c:catAx>
      <c:valAx>
        <c:axId val="42505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5640"/>
        <c:crosses val="autoZero"/>
        <c:crossBetween val="between"/>
      </c:valAx>
      <c:valAx>
        <c:axId val="425054072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9560"/>
        <c:crosses val="max"/>
        <c:crossBetween val="between"/>
      </c:valAx>
      <c:catAx>
        <c:axId val="4250595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50540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09264"/>
        <c:axId val="428146576"/>
      </c:scatterChart>
      <c:valAx>
        <c:axId val="426209264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146576"/>
        <c:crosses val="autoZero"/>
        <c:crossBetween val="midCat"/>
      </c:valAx>
      <c:valAx>
        <c:axId val="42814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0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customXml" Target="../ink/ink7.xml"/><Relationship Id="rId18" Type="http://schemas.openxmlformats.org/officeDocument/2006/relationships/chart" Target="../charts/chart13.xml"/><Relationship Id="rId26" Type="http://schemas.openxmlformats.org/officeDocument/2006/relationships/image" Target="../media/image10.png"/><Relationship Id="rId39" Type="http://schemas.openxmlformats.org/officeDocument/2006/relationships/chart" Target="../charts/chart17.xml"/><Relationship Id="rId21" Type="http://schemas.openxmlformats.org/officeDocument/2006/relationships/chart" Target="../charts/chart16.xml"/><Relationship Id="rId7" Type="http://schemas.openxmlformats.org/officeDocument/2006/relationships/customXml" Target="../ink/ink4.xml"/><Relationship Id="rId12" Type="http://schemas.openxmlformats.org/officeDocument/2006/relationships/image" Target="../media/image10.emf"/><Relationship Id="rId17" Type="http://schemas.openxmlformats.org/officeDocument/2006/relationships/image" Target="../media/image5.png"/><Relationship Id="rId25" Type="http://schemas.openxmlformats.org/officeDocument/2006/relationships/image" Target="../media/image9.png"/><Relationship Id="rId33" Type="http://schemas.openxmlformats.org/officeDocument/2006/relationships/customXml" Target="../ink/ink11.xml"/><Relationship Id="rId38" Type="http://schemas.openxmlformats.org/officeDocument/2006/relationships/image" Target="../media/image14.png"/><Relationship Id="rId2" Type="http://schemas.openxmlformats.org/officeDocument/2006/relationships/image" Target="../media/image5.emf"/><Relationship Id="rId16" Type="http://schemas.openxmlformats.org/officeDocument/2006/relationships/image" Target="../media/image12.emf"/><Relationship Id="rId20" Type="http://schemas.openxmlformats.org/officeDocument/2006/relationships/chart" Target="../charts/chart15.xml"/><Relationship Id="rId29" Type="http://schemas.openxmlformats.org/officeDocument/2006/relationships/customXml" Target="../ink/ink9.xml"/><Relationship Id="rId1" Type="http://schemas.openxmlformats.org/officeDocument/2006/relationships/customXml" Target="../ink/ink1.xml"/><Relationship Id="rId6" Type="http://schemas.openxmlformats.org/officeDocument/2006/relationships/image" Target="../media/image7.emf"/><Relationship Id="rId11" Type="http://schemas.openxmlformats.org/officeDocument/2006/relationships/customXml" Target="../ink/ink6.xml"/><Relationship Id="rId24" Type="http://schemas.openxmlformats.org/officeDocument/2006/relationships/image" Target="../media/image8.png"/><Relationship Id="rId32" Type="http://schemas.openxmlformats.org/officeDocument/2006/relationships/image" Target="../media/image22.png"/><Relationship Id="rId37" Type="http://schemas.openxmlformats.org/officeDocument/2006/relationships/image" Target="../media/image13.png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23" Type="http://schemas.openxmlformats.org/officeDocument/2006/relationships/image" Target="../media/image7.png"/><Relationship Id="rId28" Type="http://schemas.openxmlformats.org/officeDocument/2006/relationships/image" Target="../media/image12.png"/><Relationship Id="rId36" Type="http://schemas.openxmlformats.org/officeDocument/2006/relationships/image" Target="../media/image21.emf"/><Relationship Id="rId10" Type="http://schemas.openxmlformats.org/officeDocument/2006/relationships/image" Target="../media/image9.emf"/><Relationship Id="rId19" Type="http://schemas.openxmlformats.org/officeDocument/2006/relationships/chart" Target="../charts/chart14.xml"/><Relationship Id="rId31" Type="http://schemas.openxmlformats.org/officeDocument/2006/relationships/customXml" Target="../ink/ink10.xml"/><Relationship Id="rId4" Type="http://schemas.openxmlformats.org/officeDocument/2006/relationships/image" Target="../media/image6.emf"/><Relationship Id="rId9" Type="http://schemas.openxmlformats.org/officeDocument/2006/relationships/customXml" Target="../ink/ink5.xml"/><Relationship Id="rId14" Type="http://schemas.openxmlformats.org/officeDocument/2006/relationships/image" Target="../media/image11.emf"/><Relationship Id="rId22" Type="http://schemas.openxmlformats.org/officeDocument/2006/relationships/image" Target="../media/image6.jpeg"/><Relationship Id="rId27" Type="http://schemas.openxmlformats.org/officeDocument/2006/relationships/image" Target="../media/image11.png"/><Relationship Id="rId30" Type="http://schemas.openxmlformats.org/officeDocument/2006/relationships/image" Target="../media/image21.png"/><Relationship Id="rId8" Type="http://schemas.openxmlformats.org/officeDocument/2006/relationships/image" Target="../media/image8.emf"/><Relationship Id="rId3" Type="http://schemas.openxmlformats.org/officeDocument/2006/relationships/customXml" Target="../ink/ink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9.png"/><Relationship Id="rId3" Type="http://schemas.openxmlformats.org/officeDocument/2006/relationships/chart" Target="../charts/chart20.xml"/><Relationship Id="rId7" Type="http://schemas.openxmlformats.org/officeDocument/2006/relationships/image" Target="../media/image18.png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image" Target="../media/image17.png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image" Target="../media/image2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png"/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9.png"/><Relationship Id="rId3" Type="http://schemas.openxmlformats.org/officeDocument/2006/relationships/chart" Target="../charts/chart27.xml"/><Relationship Id="rId7" Type="http://schemas.openxmlformats.org/officeDocument/2006/relationships/image" Target="../media/image28.png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image" Target="../media/image27.png"/><Relationship Id="rId5" Type="http://schemas.openxmlformats.org/officeDocument/2006/relationships/image" Target="../media/image26.png"/><Relationship Id="rId4" Type="http://schemas.openxmlformats.org/officeDocument/2006/relationships/chart" Target="../charts/chart28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542191</xdr:colOff>
      <xdr:row>188</xdr:row>
      <xdr:rowOff>161194</xdr:rowOff>
    </xdr:from>
    <xdr:to>
      <xdr:col>10</xdr:col>
      <xdr:colOff>7327</xdr:colOff>
      <xdr:row>203</xdr:row>
      <xdr:rowOff>87923</xdr:rowOff>
    </xdr:to>
    <xdr:grpSp>
      <xdr:nvGrpSpPr>
        <xdr:cNvPr id="137" name="Group 136">
          <a:extLst>
            <a:ext uri="{FF2B5EF4-FFF2-40B4-BE49-F238E27FC236}">
              <a16:creationId xmlns:a16="http://schemas.microsoft.com/office/drawing/2014/main" id="{08F535DD-B10C-E248-D785-DD601FCCC9C5}"/>
            </a:ext>
          </a:extLst>
        </xdr:cNvPr>
        <xdr:cNvGrpSpPr/>
      </xdr:nvGrpSpPr>
      <xdr:grpSpPr>
        <a:xfrm>
          <a:off x="3479066" y="32882744"/>
          <a:ext cx="2894136" cy="2654054"/>
          <a:chOff x="3443653" y="29380964"/>
          <a:chExt cx="2908789" cy="2486021"/>
        </a:xfrm>
      </xdr:grpSpPr>
      <xdr:grpSp>
        <xdr:nvGrpSpPr>
          <xdr:cNvPr id="134" name="Group 133">
            <a:extLst>
              <a:ext uri="{FF2B5EF4-FFF2-40B4-BE49-F238E27FC236}">
                <a16:creationId xmlns:a16="http://schemas.microsoft.com/office/drawing/2014/main" id="{8DAF16E2-3046-AD8E-63BE-98BF886D1E05}"/>
              </a:ext>
            </a:extLst>
          </xdr:cNvPr>
          <xdr:cNvGrpSpPr/>
        </xdr:nvGrpSpPr>
        <xdr:grpSpPr>
          <a:xfrm>
            <a:off x="3599473" y="29596617"/>
            <a:ext cx="2752969" cy="2270368"/>
            <a:chOff x="3599473" y="29596617"/>
            <a:chExt cx="2752969" cy="2270368"/>
          </a:xfrm>
        </xdr:grpSpPr>
        <xdr:sp macro="" textlink="">
          <xdr:nvSpPr>
            <xdr:cNvPr id="78" name="Flowchart: Manual Operation 77">
              <a:extLst>
                <a:ext uri="{FF2B5EF4-FFF2-40B4-BE49-F238E27FC236}">
                  <a16:creationId xmlns:a16="http://schemas.microsoft.com/office/drawing/2014/main" id="{31D62AAC-C284-2AE7-9D69-EBAE89139FA5}"/>
                </a:ext>
              </a:extLst>
            </xdr:cNvPr>
            <xdr:cNvSpPr/>
          </xdr:nvSpPr>
          <xdr:spPr>
            <a:xfrm rot="16200000">
              <a:off x="4028713" y="29550579"/>
              <a:ext cx="1899870" cy="2732941"/>
            </a:xfrm>
            <a:custGeom>
              <a:avLst/>
              <a:gdLst>
                <a:gd name="connsiteX0" fmla="*/ 0 w 10000"/>
                <a:gd name="connsiteY0" fmla="*/ 0 h 10000"/>
                <a:gd name="connsiteX1" fmla="*/ 10000 w 10000"/>
                <a:gd name="connsiteY1" fmla="*/ 0 h 10000"/>
                <a:gd name="connsiteX2" fmla="*/ 8000 w 10000"/>
                <a:gd name="connsiteY2" fmla="*/ 10000 h 10000"/>
                <a:gd name="connsiteX3" fmla="*/ 2000 w 10000"/>
                <a:gd name="connsiteY3" fmla="*/ 10000 h 10000"/>
                <a:gd name="connsiteX4" fmla="*/ 0 w 10000"/>
                <a:gd name="connsiteY4" fmla="*/ 0 h 10000"/>
                <a:gd name="connsiteX0" fmla="*/ 3415 w 13415"/>
                <a:gd name="connsiteY0" fmla="*/ 0 h 10114"/>
                <a:gd name="connsiteX1" fmla="*/ 13415 w 13415"/>
                <a:gd name="connsiteY1" fmla="*/ 0 h 10114"/>
                <a:gd name="connsiteX2" fmla="*/ 11415 w 13415"/>
                <a:gd name="connsiteY2" fmla="*/ 10000 h 10114"/>
                <a:gd name="connsiteX3" fmla="*/ 0 w 13415"/>
                <a:gd name="connsiteY3" fmla="*/ 10114 h 10114"/>
                <a:gd name="connsiteX4" fmla="*/ 3415 w 13415"/>
                <a:gd name="connsiteY4" fmla="*/ 0 h 10114"/>
                <a:gd name="connsiteX0" fmla="*/ 3415 w 13415"/>
                <a:gd name="connsiteY0" fmla="*/ 0 h 10114"/>
                <a:gd name="connsiteX1" fmla="*/ 13415 w 13415"/>
                <a:gd name="connsiteY1" fmla="*/ 0 h 10114"/>
                <a:gd name="connsiteX2" fmla="*/ 5232 w 13415"/>
                <a:gd name="connsiteY2" fmla="*/ 10000 h 10114"/>
                <a:gd name="connsiteX3" fmla="*/ 0 w 13415"/>
                <a:gd name="connsiteY3" fmla="*/ 10114 h 10114"/>
                <a:gd name="connsiteX4" fmla="*/ 3415 w 13415"/>
                <a:gd name="connsiteY4" fmla="*/ 0 h 10114"/>
                <a:gd name="connsiteX0" fmla="*/ 3415 w 13415"/>
                <a:gd name="connsiteY0" fmla="*/ 0 h 10114"/>
                <a:gd name="connsiteX1" fmla="*/ 13415 w 13415"/>
                <a:gd name="connsiteY1" fmla="*/ 0 h 10114"/>
                <a:gd name="connsiteX2" fmla="*/ 5180 w 13415"/>
                <a:gd name="connsiteY2" fmla="*/ 10108 h 10114"/>
                <a:gd name="connsiteX3" fmla="*/ 0 w 13415"/>
                <a:gd name="connsiteY3" fmla="*/ 10114 h 10114"/>
                <a:gd name="connsiteX4" fmla="*/ 3415 w 13415"/>
                <a:gd name="connsiteY4" fmla="*/ 0 h 1011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3415" h="10114">
                  <a:moveTo>
                    <a:pt x="3415" y="0"/>
                  </a:moveTo>
                  <a:lnTo>
                    <a:pt x="13415" y="0"/>
                  </a:lnTo>
                  <a:lnTo>
                    <a:pt x="5180" y="10108"/>
                  </a:lnTo>
                  <a:lnTo>
                    <a:pt x="0" y="10114"/>
                  </a:lnTo>
                  <a:lnTo>
                    <a:pt x="3415" y="0"/>
                  </a:lnTo>
                  <a:close/>
                </a:path>
              </a:pathLst>
            </a:custGeom>
            <a:solidFill>
              <a:schemeClr val="bg2">
                <a:lumMod val="75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cxnSp macro="">
          <xdr:nvCxnSpPr>
            <xdr:cNvPr id="120" name="Straight Arrow Connector 119">
              <a:extLst>
                <a:ext uri="{FF2B5EF4-FFF2-40B4-BE49-F238E27FC236}">
                  <a16:creationId xmlns:a16="http://schemas.microsoft.com/office/drawing/2014/main" id="{17643C7C-0194-B999-095F-26016A29E601}"/>
                </a:ext>
              </a:extLst>
            </xdr:cNvPr>
            <xdr:cNvCxnSpPr/>
          </xdr:nvCxnSpPr>
          <xdr:spPr>
            <a:xfrm>
              <a:off x="3599473" y="31689919"/>
              <a:ext cx="2752969" cy="0"/>
            </a:xfrm>
            <a:prstGeom prst="straightConnector1">
              <a:avLst/>
            </a:prstGeom>
            <a:ln>
              <a:solidFill>
                <a:sysClr val="windowText" lastClr="000000"/>
              </a:solidFill>
              <a:prstDash val="dash"/>
              <a:headEnd type="triangle"/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7" name="Straight Arrow Connector 126">
              <a:extLst>
                <a:ext uri="{FF2B5EF4-FFF2-40B4-BE49-F238E27FC236}">
                  <a16:creationId xmlns:a16="http://schemas.microsoft.com/office/drawing/2014/main" id="{93B57C41-8973-5498-5009-EEBAFBA4FF8A}"/>
                </a:ext>
              </a:extLst>
            </xdr:cNvPr>
            <xdr:cNvCxnSpPr>
              <a:stCxn id="78" idx="1"/>
            </xdr:cNvCxnSpPr>
          </xdr:nvCxnSpPr>
          <xdr:spPr>
            <a:xfrm>
              <a:off x="3612177" y="29967115"/>
              <a:ext cx="406152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Straight Arrow Connector 132">
              <a:extLst>
                <a:ext uri="{FF2B5EF4-FFF2-40B4-BE49-F238E27FC236}">
                  <a16:creationId xmlns:a16="http://schemas.microsoft.com/office/drawing/2014/main" id="{20C95312-696F-1971-8851-A87D9D392C32}"/>
                </a:ext>
              </a:extLst>
            </xdr:cNvPr>
            <xdr:cNvCxnSpPr>
              <a:stCxn id="78" idx="1"/>
            </xdr:cNvCxnSpPr>
          </xdr:nvCxnSpPr>
          <xdr:spPr>
            <a:xfrm flipV="1">
              <a:off x="3612177" y="29596617"/>
              <a:ext cx="4148" cy="370498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35" name="TextBox 134">
            <a:extLst>
              <a:ext uri="{FF2B5EF4-FFF2-40B4-BE49-F238E27FC236}">
                <a16:creationId xmlns:a16="http://schemas.microsoft.com/office/drawing/2014/main" id="{8D582FED-F4B4-262A-DDA8-183F68265BE6}"/>
              </a:ext>
            </a:extLst>
          </xdr:cNvPr>
          <xdr:cNvSpPr txBox="1"/>
        </xdr:nvSpPr>
        <xdr:spPr>
          <a:xfrm>
            <a:off x="3443653" y="29380964"/>
            <a:ext cx="327462" cy="2652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+X</a:t>
            </a:r>
          </a:p>
        </xdr:txBody>
      </xdr:sp>
      <xdr:sp macro="" textlink="">
        <xdr:nvSpPr>
          <xdr:cNvPr id="136" name="TextBox 135">
            <a:extLst>
              <a:ext uri="{FF2B5EF4-FFF2-40B4-BE49-F238E27FC236}">
                <a16:creationId xmlns:a16="http://schemas.microsoft.com/office/drawing/2014/main" id="{D9BA6EDA-8C81-4E4A-BC37-8CE05EDAF53F}"/>
              </a:ext>
            </a:extLst>
          </xdr:cNvPr>
          <xdr:cNvSpPr txBox="1"/>
        </xdr:nvSpPr>
        <xdr:spPr>
          <a:xfrm>
            <a:off x="3962888" y="29835231"/>
            <a:ext cx="325667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+Y</a:t>
            </a:r>
          </a:p>
        </xdr:txBody>
      </xdr:sp>
    </xdr:grpSp>
    <xdr:clientData/>
  </xdr:twoCellAnchor>
  <xdr:twoCellAnchor>
    <xdr:from>
      <xdr:col>5</xdr:col>
      <xdr:colOff>86188</xdr:colOff>
      <xdr:row>261</xdr:row>
      <xdr:rowOff>94592</xdr:rowOff>
    </xdr:from>
    <xdr:to>
      <xdr:col>10</xdr:col>
      <xdr:colOff>203380</xdr:colOff>
      <xdr:row>278</xdr:row>
      <xdr:rowOff>131902</xdr:rowOff>
    </xdr:to>
    <xdr:grpSp>
      <xdr:nvGrpSpPr>
        <xdr:cNvPr id="73" name="Group 72">
          <a:extLst>
            <a:ext uri="{FF2B5EF4-FFF2-40B4-BE49-F238E27FC236}">
              <a16:creationId xmlns:a16="http://schemas.microsoft.com/office/drawing/2014/main" id="{92DCDB7B-869E-D4FA-2C72-A6095452A19B}"/>
            </a:ext>
          </a:extLst>
        </xdr:cNvPr>
        <xdr:cNvGrpSpPr/>
      </xdr:nvGrpSpPr>
      <xdr:grpSpPr>
        <a:xfrm>
          <a:off x="3016713" y="46062242"/>
          <a:ext cx="3546192" cy="3113885"/>
          <a:chOff x="3346668" y="38499601"/>
          <a:chExt cx="2550556" cy="2016642"/>
        </a:xfrm>
      </xdr:grpSpPr>
      <xdr:grpSp>
        <xdr:nvGrpSpPr>
          <xdr:cNvPr id="49" name="Group 48">
            <a:extLst>
              <a:ext uri="{FF2B5EF4-FFF2-40B4-BE49-F238E27FC236}">
                <a16:creationId xmlns:a16="http://schemas.microsoft.com/office/drawing/2014/main" id="{90201583-B8B5-0CA5-A9BC-2D74FFCAE45B}"/>
              </a:ext>
            </a:extLst>
          </xdr:cNvPr>
          <xdr:cNvGrpSpPr/>
        </xdr:nvGrpSpPr>
        <xdr:grpSpPr>
          <a:xfrm>
            <a:off x="3346668" y="38499601"/>
            <a:ext cx="2550556" cy="2016642"/>
            <a:chOff x="3749645" y="38386516"/>
            <a:chExt cx="2553736" cy="2013472"/>
          </a:xfrm>
        </xdr:grpSpPr>
        <xdr:grpSp>
          <xdr:nvGrpSpPr>
            <xdr:cNvPr id="48" name="Group 47">
              <a:extLst>
                <a:ext uri="{FF2B5EF4-FFF2-40B4-BE49-F238E27FC236}">
                  <a16:creationId xmlns:a16="http://schemas.microsoft.com/office/drawing/2014/main" id="{7EFE77AE-1E72-F9F1-EB2C-57CA53931CDA}"/>
                </a:ext>
              </a:extLst>
            </xdr:cNvPr>
            <xdr:cNvGrpSpPr/>
          </xdr:nvGrpSpPr>
          <xdr:grpSpPr>
            <a:xfrm>
              <a:off x="3749645" y="38386516"/>
              <a:ext cx="2553736" cy="2013472"/>
              <a:chOff x="3749645" y="38386516"/>
              <a:chExt cx="2553736" cy="2013472"/>
            </a:xfrm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6CF108D-38CC-C041-6FFF-2E6DE9478DFD}"/>
                  </a:ext>
                </a:extLst>
              </xdr:cNvPr>
              <xdr:cNvGrpSpPr/>
            </xdr:nvGrpSpPr>
            <xdr:grpSpPr>
              <a:xfrm>
                <a:off x="3749645" y="38386516"/>
                <a:ext cx="2553736" cy="2013472"/>
                <a:chOff x="3763322" y="38358185"/>
                <a:chExt cx="2550564" cy="2022997"/>
              </a:xfrm>
            </xdr:grpSpPr>
            <xdr:grpSp>
              <xdr:nvGrpSpPr>
                <xdr:cNvPr id="46" name="Group 45">
                  <a:extLst>
                    <a:ext uri="{FF2B5EF4-FFF2-40B4-BE49-F238E27FC236}">
                      <a16:creationId xmlns:a16="http://schemas.microsoft.com/office/drawing/2014/main" id="{C0D33E19-3654-FA0E-49EA-BDD6EEE25367}"/>
                    </a:ext>
                  </a:extLst>
                </xdr:cNvPr>
                <xdr:cNvGrpSpPr/>
              </xdr:nvGrpSpPr>
              <xdr:grpSpPr>
                <a:xfrm>
                  <a:off x="3763322" y="38358185"/>
                  <a:ext cx="2550564" cy="2022997"/>
                  <a:chOff x="3763322" y="38358185"/>
                  <a:chExt cx="2550564" cy="2022997"/>
                </a:xfrm>
              </xdr:grpSpPr>
              <xdr:grpSp>
                <xdr:nvGrpSpPr>
                  <xdr:cNvPr id="101" name="Group 100">
                    <a:extLst>
                      <a:ext uri="{FF2B5EF4-FFF2-40B4-BE49-F238E27FC236}">
                        <a16:creationId xmlns:a16="http://schemas.microsoft.com/office/drawing/2014/main" id="{655E91DC-5A4D-117F-6BB0-008847ADD39A}"/>
                      </a:ext>
                    </a:extLst>
                  </xdr:cNvPr>
                  <xdr:cNvGrpSpPr/>
                </xdr:nvGrpSpPr>
                <xdr:grpSpPr>
                  <a:xfrm>
                    <a:off x="4120692" y="38358185"/>
                    <a:ext cx="2162769" cy="2022997"/>
                    <a:chOff x="3997600" y="45155127"/>
                    <a:chExt cx="2125959" cy="1824193"/>
                  </a:xfrm>
                </xdr:grpSpPr>
                <xdr:sp macro="" textlink="">
                  <xdr:nvSpPr>
                    <xdr:cNvPr id="95" name="Rectangle 94">
                      <a:extLst>
                        <a:ext uri="{FF2B5EF4-FFF2-40B4-BE49-F238E27FC236}">
                          <a16:creationId xmlns:a16="http://schemas.microsoft.com/office/drawing/2014/main" id="{2FCC716C-4AE6-4909-AFAF-500F618688E3}"/>
                        </a:ext>
                      </a:extLst>
                    </xdr:cNvPr>
                    <xdr:cNvSpPr/>
                  </xdr:nvSpPr>
                  <xdr:spPr>
                    <a:xfrm>
                      <a:off x="4009750" y="45155127"/>
                      <a:ext cx="2105551" cy="1047856"/>
                    </a:xfrm>
                    <a:prstGeom prst="rect">
                      <a:avLst/>
                    </a:prstGeom>
                    <a:noFill/>
                    <a:ln w="57150"/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8" name="Rectangle 97">
                      <a:extLst>
                        <a:ext uri="{FF2B5EF4-FFF2-40B4-BE49-F238E27FC236}">
                          <a16:creationId xmlns:a16="http://schemas.microsoft.com/office/drawing/2014/main" id="{1065E609-3B86-454D-A5A3-88B536CE6499}"/>
                        </a:ext>
                      </a:extLst>
                    </xdr:cNvPr>
                    <xdr:cNvSpPr/>
                  </xdr:nvSpPr>
                  <xdr:spPr>
                    <a:xfrm>
                      <a:off x="4039468" y="46109698"/>
                      <a:ext cx="2053646" cy="116891"/>
                    </a:xfrm>
                    <a:prstGeom prst="rect">
                      <a:avLst/>
                    </a:prstGeom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7" name="Rectangle 96">
                      <a:extLst>
                        <a:ext uri="{FF2B5EF4-FFF2-40B4-BE49-F238E27FC236}">
                          <a16:creationId xmlns:a16="http://schemas.microsoft.com/office/drawing/2014/main" id="{14149341-E7DF-4D03-9274-AFD942B16E9D}"/>
                        </a:ext>
                      </a:extLst>
                    </xdr:cNvPr>
                    <xdr:cNvSpPr/>
                  </xdr:nvSpPr>
                  <xdr:spPr>
                    <a:xfrm>
                      <a:off x="3997600" y="46227587"/>
                      <a:ext cx="2125959" cy="119043"/>
                    </a:xfrm>
                    <a:prstGeom prst="rect">
                      <a:avLst/>
                    </a:prstGeom>
                    <a:solidFill>
                      <a:schemeClr val="accent2">
                        <a:lumMod val="60000"/>
                        <a:lumOff val="40000"/>
                      </a:schemeClr>
                    </a:solidFill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100" name="Isosceles Triangle 99">
                      <a:extLst>
                        <a:ext uri="{FF2B5EF4-FFF2-40B4-BE49-F238E27FC236}">
                          <a16:creationId xmlns:a16="http://schemas.microsoft.com/office/drawing/2014/main" id="{F08C3E94-7400-7837-43F4-1A7298EB02D2}"/>
                        </a:ext>
                      </a:extLst>
                    </xdr:cNvPr>
                    <xdr:cNvSpPr/>
                  </xdr:nvSpPr>
                  <xdr:spPr>
                    <a:xfrm>
                      <a:off x="4306743" y="45588960"/>
                      <a:ext cx="1528907" cy="1390360"/>
                    </a:xfrm>
                    <a:prstGeom prst="triangle">
                      <a:avLst/>
                    </a:prstGeom>
                    <a:solidFill>
                      <a:schemeClr val="bg2">
                        <a:lumMod val="90000"/>
                      </a:schemeClr>
                    </a:solidFill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6" name="Rectangle 95">
                      <a:extLst>
                        <a:ext uri="{FF2B5EF4-FFF2-40B4-BE49-F238E27FC236}">
                          <a16:creationId xmlns:a16="http://schemas.microsoft.com/office/drawing/2014/main" id="{17852502-040F-4B46-A0B9-2F65E5669152}"/>
                        </a:ext>
                      </a:extLst>
                    </xdr:cNvPr>
                    <xdr:cNvSpPr/>
                  </xdr:nvSpPr>
                  <xdr:spPr>
                    <a:xfrm>
                      <a:off x="4400459" y="45184869"/>
                      <a:ext cx="1342206" cy="1261390"/>
                    </a:xfrm>
                    <a:prstGeom prst="rect">
                      <a:avLst/>
                    </a:prstGeom>
                    <a:solidFill>
                      <a:schemeClr val="bg2">
                        <a:lumMod val="90000"/>
                      </a:schemeClr>
                    </a:solidFill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9" name="Rectangle 98">
                      <a:extLst>
                        <a:ext uri="{FF2B5EF4-FFF2-40B4-BE49-F238E27FC236}">
                          <a16:creationId xmlns:a16="http://schemas.microsoft.com/office/drawing/2014/main" id="{2CFB2CA6-9019-4177-B905-11B93A06ED7A}"/>
                        </a:ext>
                      </a:extLst>
                    </xdr:cNvPr>
                    <xdr:cNvSpPr/>
                  </xdr:nvSpPr>
                  <xdr:spPr>
                    <a:xfrm>
                      <a:off x="4296550" y="46357596"/>
                      <a:ext cx="1530441" cy="107134"/>
                    </a:xfrm>
                    <a:prstGeom prst="rect">
                      <a:avLst/>
                    </a:prstGeom>
                    <a:solidFill>
                      <a:schemeClr val="bg2">
                        <a:lumMod val="90000"/>
                      </a:schemeClr>
                    </a:solidFill>
                    <a:ln>
                      <a:solidFill>
                        <a:sysClr val="windowText" lastClr="000000"/>
                      </a:solidFill>
                    </a:ln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</xdr:grpSp>
              <xdr:grpSp>
                <xdr:nvGrpSpPr>
                  <xdr:cNvPr id="45" name="Group 44">
                    <a:extLst>
                      <a:ext uri="{FF2B5EF4-FFF2-40B4-BE49-F238E27FC236}">
                        <a16:creationId xmlns:a16="http://schemas.microsoft.com/office/drawing/2014/main" id="{45B2DF4E-B0A2-FD88-5CF8-17CB08AE6135}"/>
                      </a:ext>
                    </a:extLst>
                  </xdr:cNvPr>
                  <xdr:cNvGrpSpPr/>
                </xdr:nvGrpSpPr>
                <xdr:grpSpPr>
                  <a:xfrm>
                    <a:off x="4135048" y="39351619"/>
                    <a:ext cx="2178838" cy="642560"/>
                    <a:chOff x="4135048" y="39351619"/>
                    <a:chExt cx="2178838" cy="642560"/>
                  </a:xfrm>
                </xdr:grpSpPr>
                <xdr:cxnSp macro="">
                  <xdr:nvCxnSpPr>
                    <xdr:cNvPr id="38" name="Straight Arrow Connector 37">
                      <a:extLst>
                        <a:ext uri="{FF2B5EF4-FFF2-40B4-BE49-F238E27FC236}">
                          <a16:creationId xmlns:a16="http://schemas.microsoft.com/office/drawing/2014/main" id="{00000000-0008-0000-0400-000026000000}"/>
                        </a:ext>
                      </a:extLst>
                    </xdr:cNvPr>
                    <xdr:cNvCxnSpPr/>
                  </xdr:nvCxnSpPr>
                  <xdr:spPr>
                    <a:xfrm>
                      <a:off x="4383422" y="39994179"/>
                      <a:ext cx="1567962" cy="0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06" name="Straight Arrow Connector 105">
                      <a:extLst>
                        <a:ext uri="{FF2B5EF4-FFF2-40B4-BE49-F238E27FC236}">
                          <a16:creationId xmlns:a16="http://schemas.microsoft.com/office/drawing/2014/main" id="{00000000-0008-0000-0400-00006A000000}"/>
                        </a:ext>
                      </a:extLst>
                    </xdr:cNvPr>
                    <xdr:cNvCxnSpPr/>
                  </xdr:nvCxnSpPr>
                  <xdr:spPr>
                    <a:xfrm>
                      <a:off x="4135048" y="39772906"/>
                      <a:ext cx="2178838" cy="0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07" name="Straight Arrow Connector 106">
                      <a:extLst>
                        <a:ext uri="{FF2B5EF4-FFF2-40B4-BE49-F238E27FC236}">
                          <a16:creationId xmlns:a16="http://schemas.microsoft.com/office/drawing/2014/main" id="{00000000-0008-0000-0400-00006B000000}"/>
                        </a:ext>
                      </a:extLst>
                    </xdr:cNvPr>
                    <xdr:cNvCxnSpPr>
                      <a:endCxn id="98" idx="3"/>
                    </xdr:cNvCxnSpPr>
                  </xdr:nvCxnSpPr>
                  <xdr:spPr>
                    <a:xfrm>
                      <a:off x="4181569" y="39553427"/>
                      <a:ext cx="2063619" cy="11817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09" name="Straight Arrow Connector 108">
                      <a:extLst>
                        <a:ext uri="{FF2B5EF4-FFF2-40B4-BE49-F238E27FC236}">
                          <a16:creationId xmlns:a16="http://schemas.microsoft.com/office/drawing/2014/main" id="{00000000-0008-0000-0400-00006D000000}"/>
                        </a:ext>
                      </a:extLst>
                    </xdr:cNvPr>
                    <xdr:cNvCxnSpPr/>
                  </xdr:nvCxnSpPr>
                  <xdr:spPr>
                    <a:xfrm flipV="1">
                      <a:off x="4533889" y="39351619"/>
                      <a:ext cx="1324454" cy="8420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  <xdr:cxnSp macro="">
                <xdr:nvCxnSpPr>
                  <xdr:cNvPr id="76" name="Straight Arrow Connector 75">
                    <a:extLst>
                      <a:ext uri="{FF2B5EF4-FFF2-40B4-BE49-F238E27FC236}">
                        <a16:creationId xmlns:a16="http://schemas.microsoft.com/office/drawing/2014/main" id="{00000000-0008-0000-0400-00004C000000}"/>
                      </a:ext>
                    </a:extLst>
                  </xdr:cNvPr>
                  <xdr:cNvCxnSpPr/>
                </xdr:nvCxnSpPr>
                <xdr:spPr>
                  <a:xfrm flipV="1">
                    <a:off x="3763322" y="39720593"/>
                    <a:ext cx="312341" cy="274852"/>
                  </a:xfrm>
                  <a:prstGeom prst="straightConnector1">
                    <a:avLst/>
                  </a:prstGeom>
                  <a:ln>
                    <a:tailEnd type="triangle"/>
                  </a:ln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117" name="Straight Arrow Connector 116">
                    <a:extLst>
                      <a:ext uri="{FF2B5EF4-FFF2-40B4-BE49-F238E27FC236}">
                        <a16:creationId xmlns:a16="http://schemas.microsoft.com/office/drawing/2014/main" id="{00000000-0008-0000-0400-000075000000}"/>
                      </a:ext>
                    </a:extLst>
                  </xdr:cNvPr>
                  <xdr:cNvCxnSpPr/>
                </xdr:nvCxnSpPr>
                <xdr:spPr>
                  <a:xfrm flipV="1">
                    <a:off x="4131926" y="39812179"/>
                    <a:ext cx="317256" cy="369522"/>
                  </a:xfrm>
                  <a:prstGeom prst="straightConnector1">
                    <a:avLst/>
                  </a:prstGeom>
                  <a:ln>
                    <a:tailEnd type="triangle"/>
                  </a:ln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</xdr:grpSp>
            <xdr:sp macro="" textlink="">
              <xdr:nvSpPr>
                <xdr:cNvPr id="103" name="Rectangle 102">
                  <a:extLst>
                    <a:ext uri="{FF2B5EF4-FFF2-40B4-BE49-F238E27FC236}">
                      <a16:creationId xmlns:a16="http://schemas.microsoft.com/office/drawing/2014/main" id="{AC8F8FB4-5B14-4057-9645-BB9C2CB622A0}"/>
                    </a:ext>
                  </a:extLst>
                </xdr:cNvPr>
                <xdr:cNvSpPr/>
              </xdr:nvSpPr>
              <xdr:spPr>
                <a:xfrm>
                  <a:off x="4415400" y="39428216"/>
                  <a:ext cx="113506" cy="247685"/>
                </a:xfrm>
                <a:prstGeom prst="rect">
                  <a:avLst/>
                </a:prstGeom>
                <a:solidFill>
                  <a:schemeClr val="accent1">
                    <a:lumMod val="20000"/>
                    <a:lumOff val="8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cxnSp macro="">
              <xdr:nvCxnSpPr>
                <xdr:cNvPr id="67" name="Straight Arrow Connector 66">
                  <a:extLst>
                    <a:ext uri="{FF2B5EF4-FFF2-40B4-BE49-F238E27FC236}">
                      <a16:creationId xmlns:a16="http://schemas.microsoft.com/office/drawing/2014/main" id="{00000000-0008-0000-0400-000043000000}"/>
                    </a:ext>
                  </a:extLst>
                </xdr:cNvPr>
                <xdr:cNvCxnSpPr/>
              </xdr:nvCxnSpPr>
              <xdr:spPr>
                <a:xfrm>
                  <a:off x="3978793" y="39553811"/>
                  <a:ext cx="0" cy="145194"/>
                </a:xfrm>
                <a:prstGeom prst="straightConnector1">
                  <a:avLst/>
                </a:prstGeom>
                <a:ln w="3175">
                  <a:headEnd type="arrow" w="med" len="med"/>
                  <a:tailEnd type="arrow" w="med" len="med"/>
                </a:ln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74" name="Oval 73">
                <a:extLst>
                  <a:ext uri="{FF2B5EF4-FFF2-40B4-BE49-F238E27FC236}">
                    <a16:creationId xmlns:a16="http://schemas.microsoft.com/office/drawing/2014/main" id="{00000000-0008-0000-0400-00004A000000}"/>
                  </a:ext>
                </a:extLst>
              </xdr:cNvPr>
              <xdr:cNvSpPr/>
            </xdr:nvSpPr>
            <xdr:spPr>
              <a:xfrm>
                <a:off x="4047030" y="39533755"/>
                <a:ext cx="200785" cy="206986"/>
              </a:xfrm>
              <a:prstGeom prst="ellipse">
                <a:avLst/>
              </a:prstGeom>
              <a:noFill/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6" name="Oval 115">
                <a:extLst>
                  <a:ext uri="{FF2B5EF4-FFF2-40B4-BE49-F238E27FC236}">
                    <a16:creationId xmlns:a16="http://schemas.microsoft.com/office/drawing/2014/main" id="{00000000-0008-0000-0400-000074000000}"/>
                  </a:ext>
                </a:extLst>
              </xdr:cNvPr>
              <xdr:cNvSpPr/>
            </xdr:nvSpPr>
            <xdr:spPr>
              <a:xfrm>
                <a:off x="4403179" y="39623449"/>
                <a:ext cx="200785" cy="210161"/>
              </a:xfrm>
              <a:prstGeom prst="ellipse">
                <a:avLst/>
              </a:prstGeom>
              <a:noFill/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sp macro="" textlink="">
          <xdr:nvSpPr>
            <xdr:cNvPr id="104" name="Rectangle 103">
              <a:extLst>
                <a:ext uri="{FF2B5EF4-FFF2-40B4-BE49-F238E27FC236}">
                  <a16:creationId xmlns:a16="http://schemas.microsoft.com/office/drawing/2014/main" id="{AC8F8FB4-5B14-4057-9645-BB9C2CB622A0}"/>
                </a:ext>
              </a:extLst>
            </xdr:cNvPr>
            <xdr:cNvSpPr/>
          </xdr:nvSpPr>
          <xdr:spPr>
            <a:xfrm>
              <a:off x="5893473" y="39448520"/>
              <a:ext cx="76198" cy="250860"/>
            </a:xfrm>
            <a:prstGeom prst="rect">
              <a:avLst/>
            </a:prstGeom>
            <a:solidFill>
              <a:schemeClr val="accent1">
                <a:lumMod val="20000"/>
                <a:lumOff val="8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cxnSp macro="">
        <xdr:nvCxnSpPr>
          <xdr:cNvPr id="123" name="Straight Arrow Connector 122">
            <a:extLst>
              <a:ext uri="{FF2B5EF4-FFF2-40B4-BE49-F238E27FC236}">
                <a16:creationId xmlns:a16="http://schemas.microsoft.com/office/drawing/2014/main" id="{00000000-0008-0000-0400-00007B000000}"/>
              </a:ext>
            </a:extLst>
          </xdr:cNvPr>
          <xdr:cNvCxnSpPr/>
        </xdr:nvCxnSpPr>
        <xdr:spPr>
          <a:xfrm>
            <a:off x="3941926" y="39552658"/>
            <a:ext cx="0" cy="268416"/>
          </a:xfrm>
          <a:prstGeom prst="straightConnector1">
            <a:avLst/>
          </a:prstGeom>
          <a:ln>
            <a:headEnd type="triangle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107674</xdr:colOff>
      <xdr:row>233</xdr:row>
      <xdr:rowOff>46521</xdr:rowOff>
    </xdr:from>
    <xdr:to>
      <xdr:col>9</xdr:col>
      <xdr:colOff>621649</xdr:colOff>
      <xdr:row>259</xdr:row>
      <xdr:rowOff>149087</xdr:rowOff>
    </xdr:to>
    <xdr:grpSp>
      <xdr:nvGrpSpPr>
        <xdr:cNvPr id="94" name="Group 93">
          <a:extLst>
            <a:ext uri="{FF2B5EF4-FFF2-40B4-BE49-F238E27FC236}">
              <a16:creationId xmlns:a16="http://schemas.microsoft.com/office/drawing/2014/main" id="{1FAD4E94-5FDE-0B9C-D0BF-1E00BB4BB91A}"/>
            </a:ext>
          </a:extLst>
        </xdr:cNvPr>
        <xdr:cNvGrpSpPr/>
      </xdr:nvGrpSpPr>
      <xdr:grpSpPr>
        <a:xfrm>
          <a:off x="3723999" y="40950046"/>
          <a:ext cx="2571375" cy="4801566"/>
          <a:chOff x="3641173" y="40452261"/>
          <a:chExt cx="2551497" cy="4494281"/>
        </a:xfrm>
      </xdr:grpSpPr>
      <xdr:grpSp>
        <xdr:nvGrpSpPr>
          <xdr:cNvPr id="92" name="Group 91">
            <a:extLst>
              <a:ext uri="{FF2B5EF4-FFF2-40B4-BE49-F238E27FC236}">
                <a16:creationId xmlns:a16="http://schemas.microsoft.com/office/drawing/2014/main" id="{4A6BDE5F-8E06-410F-41FC-BA109229B50D}"/>
              </a:ext>
            </a:extLst>
          </xdr:cNvPr>
          <xdr:cNvGrpSpPr/>
        </xdr:nvGrpSpPr>
        <xdr:grpSpPr>
          <a:xfrm>
            <a:off x="3644348" y="40449086"/>
            <a:ext cx="2551497" cy="4500631"/>
            <a:chOff x="2989800" y="40452261"/>
            <a:chExt cx="3202870" cy="4494281"/>
          </a:xfrm>
        </xdr:grpSpPr>
        <xdr:grpSp>
          <xdr:nvGrpSpPr>
            <xdr:cNvPr id="91" name="Group 90">
              <a:extLst>
                <a:ext uri="{FF2B5EF4-FFF2-40B4-BE49-F238E27FC236}">
                  <a16:creationId xmlns:a16="http://schemas.microsoft.com/office/drawing/2014/main" id="{6FB6A39A-81CD-CF53-4C33-1B08F73DCA6E}"/>
                </a:ext>
              </a:extLst>
            </xdr:cNvPr>
            <xdr:cNvGrpSpPr/>
          </xdr:nvGrpSpPr>
          <xdr:grpSpPr>
            <a:xfrm>
              <a:off x="2989800" y="40452261"/>
              <a:ext cx="3202870" cy="4494281"/>
              <a:chOff x="2989800" y="40452261"/>
              <a:chExt cx="3202870" cy="4494281"/>
            </a:xfrm>
          </xdr:grpSpPr>
          <xdr:grpSp>
            <xdr:nvGrpSpPr>
              <xdr:cNvPr id="90" name="Group 89">
                <a:extLst>
                  <a:ext uri="{FF2B5EF4-FFF2-40B4-BE49-F238E27FC236}">
                    <a16:creationId xmlns:a16="http://schemas.microsoft.com/office/drawing/2014/main" id="{83023071-9956-18D1-B190-107955EEFC2D}"/>
                  </a:ext>
                </a:extLst>
              </xdr:cNvPr>
              <xdr:cNvGrpSpPr/>
            </xdr:nvGrpSpPr>
            <xdr:grpSpPr>
              <a:xfrm>
                <a:off x="3538674" y="40452261"/>
                <a:ext cx="2653996" cy="4494281"/>
                <a:chOff x="3538674" y="40452261"/>
                <a:chExt cx="2653996" cy="4494281"/>
              </a:xfrm>
            </xdr:grpSpPr>
            <xdr:grpSp>
              <xdr:nvGrpSpPr>
                <xdr:cNvPr id="17" name="Group 16">
                  <a:extLst>
                    <a:ext uri="{FF2B5EF4-FFF2-40B4-BE49-F238E27FC236}">
                      <a16:creationId xmlns:a16="http://schemas.microsoft.com/office/drawing/2014/main" id="{8E43F349-C811-A62B-E1F5-54E36CCCBCE3}"/>
                    </a:ext>
                  </a:extLst>
                </xdr:cNvPr>
                <xdr:cNvGrpSpPr/>
              </xdr:nvGrpSpPr>
              <xdr:grpSpPr>
                <a:xfrm>
                  <a:off x="3583193" y="42331907"/>
                  <a:ext cx="2552211" cy="1030359"/>
                  <a:chOff x="3337886" y="40403445"/>
                  <a:chExt cx="2529464" cy="992685"/>
                </a:xfrm>
              </xdr:grpSpPr>
              <xdr:sp macro="" textlink="">
                <xdr:nvSpPr>
                  <xdr:cNvPr id="11" name="Rectangle 10">
                    <a:extLst>
                      <a:ext uri="{FF2B5EF4-FFF2-40B4-BE49-F238E27FC236}">
                        <a16:creationId xmlns:a16="http://schemas.microsoft.com/office/drawing/2014/main" id="{A5FCB0BC-EBE7-58E6-231E-2FF1FAFD5A55}"/>
                      </a:ext>
                    </a:extLst>
                  </xdr:cNvPr>
                  <xdr:cNvSpPr/>
                </xdr:nvSpPr>
                <xdr:spPr>
                  <a:xfrm>
                    <a:off x="3337886" y="40403957"/>
                    <a:ext cx="2529464" cy="992173"/>
                  </a:xfrm>
                  <a:prstGeom prst="rect">
                    <a:avLst/>
                  </a:prstGeom>
                  <a:solidFill>
                    <a:schemeClr val="accent2">
                      <a:lumMod val="60000"/>
                      <a:lumOff val="40000"/>
                    </a:schemeClr>
                  </a:solidFill>
                  <a:ln w="57150"/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12" name="Rectangle 11">
                    <a:extLst>
                      <a:ext uri="{FF2B5EF4-FFF2-40B4-BE49-F238E27FC236}">
                        <a16:creationId xmlns:a16="http://schemas.microsoft.com/office/drawing/2014/main" id="{AC8F8FB4-5B14-4057-9645-BB9C2CB622A0}"/>
                      </a:ext>
                    </a:extLst>
                  </xdr:cNvPr>
                  <xdr:cNvSpPr/>
                </xdr:nvSpPr>
                <xdr:spPr>
                  <a:xfrm>
                    <a:off x="3774038" y="40403445"/>
                    <a:ext cx="1681356" cy="992682"/>
                  </a:xfrm>
                  <a:prstGeom prst="rect">
                    <a:avLst/>
                  </a:prstGeom>
                  <a:solidFill>
                    <a:schemeClr val="accent1">
                      <a:lumMod val="20000"/>
                      <a:lumOff val="80000"/>
                    </a:schemeClr>
                  </a:solidFill>
                  <a:ln w="57150"/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</xdr:grpSp>
            <xdr:sp macro="" textlink="">
              <xdr:nvSpPr>
                <xdr:cNvPr id="18" name="Rectangle 17">
                  <a:extLst>
                    <a:ext uri="{FF2B5EF4-FFF2-40B4-BE49-F238E27FC236}">
                      <a16:creationId xmlns:a16="http://schemas.microsoft.com/office/drawing/2014/main" id="{22D94AB3-85E3-2C1C-8009-420BBC20417B}"/>
                    </a:ext>
                  </a:extLst>
                </xdr:cNvPr>
                <xdr:cNvSpPr/>
              </xdr:nvSpPr>
              <xdr:spPr>
                <a:xfrm>
                  <a:off x="3538674" y="40452261"/>
                  <a:ext cx="2653996" cy="4494280"/>
                </a:xfrm>
                <a:prstGeom prst="rect">
                  <a:avLst/>
                </a:prstGeom>
                <a:noFill/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F1D726FA-45E3-4097-AEDB-9A8667348845}"/>
                    </a:ext>
                  </a:extLst>
                </xdr:cNvPr>
                <xdr:cNvSpPr/>
              </xdr:nvSpPr>
              <xdr:spPr>
                <a:xfrm>
                  <a:off x="4211498" y="42338763"/>
                  <a:ext cx="1305361" cy="1024006"/>
                </a:xfrm>
                <a:prstGeom prst="rect">
                  <a:avLst/>
                </a:prstGeom>
                <a:solidFill>
                  <a:sysClr val="window" lastClr="FFFFFF"/>
                </a:solidFill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30" name="Rectangle 29">
                  <a:extLst>
                    <a:ext uri="{FF2B5EF4-FFF2-40B4-BE49-F238E27FC236}">
                      <a16:creationId xmlns:a16="http://schemas.microsoft.com/office/drawing/2014/main" id="{54F6CA07-7E76-4389-B505-B81F69874515}"/>
                    </a:ext>
                  </a:extLst>
                </xdr:cNvPr>
                <xdr:cNvSpPr/>
              </xdr:nvSpPr>
              <xdr:spPr>
                <a:xfrm>
                  <a:off x="4040738" y="43362632"/>
                  <a:ext cx="1676195" cy="1583910"/>
                </a:xfrm>
                <a:prstGeom prst="rect">
                  <a:avLst/>
                </a:prstGeom>
                <a:solidFill>
                  <a:schemeClr val="bg2">
                    <a:lumMod val="90000"/>
                  </a:schemeClr>
                </a:solidFill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  <xdr:grpSp>
            <xdr:nvGrpSpPr>
              <xdr:cNvPr id="89" name="Group 88">
                <a:extLst>
                  <a:ext uri="{FF2B5EF4-FFF2-40B4-BE49-F238E27FC236}">
                    <a16:creationId xmlns:a16="http://schemas.microsoft.com/office/drawing/2014/main" id="{27CA1B22-F7D2-BA10-DD30-76186F52A1F0}"/>
                  </a:ext>
                </a:extLst>
              </xdr:cNvPr>
              <xdr:cNvGrpSpPr/>
            </xdr:nvGrpSpPr>
            <xdr:grpSpPr>
              <a:xfrm>
                <a:off x="2989800" y="42398703"/>
                <a:ext cx="3107520" cy="1474201"/>
                <a:chOff x="2989800" y="42398703"/>
                <a:chExt cx="3107520" cy="1474201"/>
              </a:xfrm>
            </xdr:grpSpPr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1">
                  <xdr14:nvContentPartPr>
                    <xdr14:cNvPr id="35" name="Ink 34">
                      <a:extLst>
                        <a:ext uri="{FF2B5EF4-FFF2-40B4-BE49-F238E27FC236}">
                          <a16:creationId xmlns:a16="http://schemas.microsoft.com/office/drawing/2014/main" id="{3AAC3799-AE85-B6C8-0AE0-DF517775BD2E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478385" y="42421383"/>
                    <a:ext cx="161150" cy="865015"/>
                  </xdr14:xfrm>
                </xdr14:contentPart>
              </mc:Choice>
              <mc:Fallback xmlns="">
                <xdr:pic>
                  <xdr:nvPicPr>
                    <xdr:cNvPr id="35" name="Ink 34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3AAC3799-AE85-B6C8-0AE0-DF517775BD2E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2"/>
                    <a:stretch>
                      <a:fillRect/>
                    </a:stretch>
                  </xdr:blipFill>
                  <xdr:spPr>
                    <a:xfrm>
                      <a:off x="3432160" y="42383923"/>
                      <a:ext cx="253599" cy="934436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3">
                  <xdr14:nvContentPartPr>
                    <xdr14:cNvPr id="37" name="Ink 36">
                      <a:extLst>
                        <a:ext uri="{FF2B5EF4-FFF2-40B4-BE49-F238E27FC236}">
                          <a16:creationId xmlns:a16="http://schemas.microsoft.com/office/drawing/2014/main" id="{0930CCD5-B9F0-9CF6-899E-5FE4C793B11B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2989800" y="42866408"/>
                    <a:ext cx="504655" cy="241560"/>
                  </xdr14:xfrm>
                </xdr14:contentPart>
              </mc:Choice>
              <mc:Fallback xmlns="">
                <xdr:pic>
                  <xdr:nvPicPr>
                    <xdr:cNvPr id="37" name="Ink 36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0930CCD5-B9F0-9CF6-899E-5FE4C793B11B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4"/>
                    <a:stretch>
                      <a:fillRect/>
                    </a:stretch>
                  </xdr:blipFill>
                  <xdr:spPr>
                    <a:xfrm>
                      <a:off x="2943575" y="42828954"/>
                      <a:ext cx="597528" cy="316468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5">
                  <xdr14:nvContentPartPr>
                    <xdr14:cNvPr id="66" name="Ink 65">
                      <a:extLst>
                        <a:ext uri="{FF2B5EF4-FFF2-40B4-BE49-F238E27FC236}">
                          <a16:creationId xmlns:a16="http://schemas.microsoft.com/office/drawing/2014/main" id="{ED0B0688-B9BE-71FD-1083-63788DCBA899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273560" y="42854103"/>
                    <a:ext cx="1165025" cy="28375"/>
                  </xdr14:xfrm>
                </xdr14:contentPart>
              </mc:Choice>
              <mc:Fallback xmlns="">
                <xdr:pic>
                  <xdr:nvPicPr>
                    <xdr:cNvPr id="66" name="Ink 65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D0B0688-B9BE-71FD-1083-63788DCBA899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6"/>
                    <a:stretch>
                      <a:fillRect/>
                    </a:stretch>
                  </xdr:blipFill>
                  <xdr:spPr>
                    <a:xfrm>
                      <a:off x="4228164" y="42817523"/>
                      <a:ext cx="1255817" cy="101535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7">
                  <xdr14:nvContentPartPr>
                    <xdr14:cNvPr id="77" name="Ink 76">
                      <a:extLst>
                        <a:ext uri="{FF2B5EF4-FFF2-40B4-BE49-F238E27FC236}">
                          <a16:creationId xmlns:a16="http://schemas.microsoft.com/office/drawing/2014/main" id="{E04E276C-EC53-3CCD-EFEA-CB01A1EBF8E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050000" y="43526713"/>
                    <a:ext cx="1657080" cy="142365"/>
                  </xdr14:xfrm>
                </xdr14:contentPart>
              </mc:Choice>
              <mc:Fallback xmlns="">
                <xdr:pic>
                  <xdr:nvPicPr>
                    <xdr:cNvPr id="77" name="Ink 76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04E276C-EC53-3CCD-EFEA-CB01A1EBF8E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8"/>
                    <a:stretch>
                      <a:fillRect/>
                    </a:stretch>
                  </xdr:blipFill>
                  <xdr:spPr>
                    <a:xfrm>
                      <a:off x="4003770" y="43489230"/>
                      <a:ext cx="1749541" cy="210109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9">
                  <xdr14:nvContentPartPr>
                    <xdr14:cNvPr id="80" name="Ink 79">
                      <a:extLst>
                        <a:ext uri="{FF2B5EF4-FFF2-40B4-BE49-F238E27FC236}">
                          <a16:creationId xmlns:a16="http://schemas.microsoft.com/office/drawing/2014/main" id="{4EE2B0D1-4473-6D44-7ECF-D608A48618F2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619440" y="43789744"/>
                    <a:ext cx="2477880" cy="83160"/>
                  </xdr14:xfrm>
                </xdr14:contentPart>
              </mc:Choice>
              <mc:Fallback xmlns="">
                <xdr:pic>
                  <xdr:nvPicPr>
                    <xdr:cNvPr id="80" name="Ink 79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4EE2B0D1-4473-6D44-7ECF-D608A48618F2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0"/>
                    <a:stretch>
                      <a:fillRect/>
                    </a:stretch>
                  </xdr:blipFill>
                  <xdr:spPr>
                    <a:xfrm>
                      <a:off x="3573632" y="43752631"/>
                      <a:ext cx="2569496" cy="157385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11">
                  <xdr14:nvContentPartPr>
                    <xdr14:cNvPr id="86" name="Ink 85">
                      <a:extLst>
                        <a:ext uri="{FF2B5EF4-FFF2-40B4-BE49-F238E27FC236}">
                          <a16:creationId xmlns:a16="http://schemas.microsoft.com/office/drawing/2014/main" id="{EE276BD8-FDF1-B901-DE61-09919555B90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5971320" y="42398703"/>
                    <a:ext cx="720" cy="936360"/>
                  </xdr14:xfrm>
                </xdr14:contentPart>
              </mc:Choice>
              <mc:Fallback xmlns="">
                <xdr:pic>
                  <xdr:nvPicPr>
                    <xdr:cNvPr id="86" name="Ink 85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E276BD8-FDF1-B901-DE61-09919555B90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2"/>
                    <a:stretch>
                      <a:fillRect/>
                    </a:stretch>
                  </xdr:blipFill>
                  <xdr:spPr>
                    <a:xfrm>
                      <a:off x="5894280" y="42361936"/>
                      <a:ext cx="154800" cy="1009894"/>
                    </a:xfrm>
                    <a:prstGeom prst="rect">
                      <a:avLst/>
                    </a:prstGeom>
                  </xdr:spPr>
                </xdr:pic>
              </mc:Fallback>
            </mc:AlternateContent>
          </xdr:grpSp>
        </xdr:grpSp>
        <mc:AlternateContent xmlns:mc="http://schemas.openxmlformats.org/markup-compatibility/2006" xmlns:xdr14="http://schemas.microsoft.com/office/excel/2010/spreadsheetDrawing">
          <mc:Choice Requires="xdr14">
            <xdr14:contentPart xmlns:r="http://schemas.openxmlformats.org/officeDocument/2006/relationships" r:id="rId13">
              <xdr14:nvContentPartPr>
                <xdr14:cNvPr id="39" name="Ink 38">
                  <a:extLst>
                    <a:ext uri="{FF2B5EF4-FFF2-40B4-BE49-F238E27FC236}">
                      <a16:creationId xmlns:a16="http://schemas.microsoft.com/office/drawing/2014/main" id="{A46D5ADD-B608-CDA7-EBC6-B05891AE458E}"/>
                    </a:ext>
                  </a:extLst>
                </xdr14:cNvPr>
                <xdr14:cNvContentPartPr/>
              </xdr14:nvContentPartPr>
              <xdr14:nvPr macro=""/>
              <xdr14:xfrm>
                <a:off x="4232160" y="42155048"/>
                <a:ext cx="204185" cy="393055"/>
              </xdr14:xfrm>
            </xdr14:contentPart>
          </mc:Choice>
          <mc:Fallback xmlns="">
            <xdr:pic>
              <xdr:nvPicPr>
                <xdr:cNvPr id="39" name="Ink 38">
                  <a:extLst>
                    <a:ext uri="{FF2B5EF4-FFF2-40B4-BE49-F238E27FC236}">
                      <a16:creationId xmlns:a16="http://schemas.microsoft.com/office/drawing/2014/main" xmlns:xdr14="http://schemas.microsoft.com/office/excel/2010/spreadsheetDrawing" xmlns:r="http://schemas.openxmlformats.org/officeDocument/2006/relationships" xmlns="" id="{A46D5ADD-B608-CDA7-EBC6-B05891AE458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14"/>
                <a:stretch>
                  <a:fillRect/>
                </a:stretch>
              </xdr:blipFill>
              <xdr:spPr>
                <a:xfrm>
                  <a:off x="4185889" y="42117598"/>
                  <a:ext cx="296726" cy="467955"/>
                </a:xfrm>
                <a:prstGeom prst="rect">
                  <a:avLst/>
                </a:prstGeom>
              </xdr:spPr>
            </xdr:pic>
          </mc:Fallback>
        </mc:AlternateContent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15">
            <xdr14:nvContentPartPr>
              <xdr14:cNvPr id="93" name="Ink 92">
                <a:extLst>
                  <a:ext uri="{FF2B5EF4-FFF2-40B4-BE49-F238E27FC236}">
                    <a16:creationId xmlns:a16="http://schemas.microsoft.com/office/drawing/2014/main" id="{3579F991-65D9-614B-0FA6-D16C794C186D}"/>
                  </a:ext>
                </a:extLst>
              </xdr14:cNvPr>
              <xdr14:cNvContentPartPr/>
            </xdr14:nvContentPartPr>
            <xdr14:nvPr macro=""/>
            <xdr14:xfrm>
              <a:off x="4120855" y="43804330"/>
              <a:ext cx="80705" cy="98280"/>
            </xdr14:xfrm>
          </xdr14:contentPart>
        </mc:Choice>
        <mc:Fallback xmlns="">
          <xdr:pic>
            <xdr:nvPicPr>
              <xdr:cNvPr id="93" name="Ink 92">
                <a:extLst>
                  <a:ext uri="{FF2B5EF4-FFF2-40B4-BE49-F238E27FC236}">
                    <a16:creationId xmlns:a16="http://schemas.microsoft.com/office/drawing/2014/main" xmlns:xdr14="http://schemas.microsoft.com/office/excel/2010/spreadsheetDrawing" xmlns:r="http://schemas.openxmlformats.org/officeDocument/2006/relationships" xmlns="" id="{3579F991-65D9-614B-0FA6-D16C794C186D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6"/>
              <a:stretch>
                <a:fillRect/>
              </a:stretch>
            </xdr:blipFill>
            <xdr:spPr>
              <a:xfrm>
                <a:off x="4084048" y="43766874"/>
                <a:ext cx="154319" cy="168038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1</xdr:col>
      <xdr:colOff>30070</xdr:colOff>
      <xdr:row>0</xdr:row>
      <xdr:rowOff>19050</xdr:rowOff>
    </xdr:from>
    <xdr:to>
      <xdr:col>3</xdr:col>
      <xdr:colOff>543895</xdr:colOff>
      <xdr:row>3</xdr:row>
      <xdr:rowOff>106269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45" y="19050"/>
          <a:ext cx="1920350" cy="703169"/>
        </a:xfrm>
        <a:prstGeom prst="rect">
          <a:avLst/>
        </a:prstGeom>
      </xdr:spPr>
    </xdr:pic>
    <xdr:clientData/>
  </xdr:twoCellAnchor>
  <xdr:twoCellAnchor>
    <xdr:from>
      <xdr:col>0</xdr:col>
      <xdr:colOff>76064</xdr:colOff>
      <xdr:row>38</xdr:row>
      <xdr:rowOff>15875</xdr:rowOff>
    </xdr:from>
    <xdr:to>
      <xdr:col>9</xdr:col>
      <xdr:colOff>701675</xdr:colOff>
      <xdr:row>53</xdr:row>
      <xdr:rowOff>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5ACC3DE1-0B3E-D972-4B62-68EC1507AC09}"/>
            </a:ext>
          </a:extLst>
        </xdr:cNvPr>
        <xdr:cNvGrpSpPr/>
      </xdr:nvGrpSpPr>
      <xdr:grpSpPr>
        <a:xfrm>
          <a:off x="76064" y="5340350"/>
          <a:ext cx="6283461" cy="2698750"/>
          <a:chOff x="161789" y="5568952"/>
          <a:chExt cx="6362836" cy="2797172"/>
        </a:xfrm>
      </xdr:grpSpPr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GraphicFramePr/>
        </xdr:nvGraphicFramePr>
        <xdr:xfrm>
          <a:off x="161789" y="5575299"/>
          <a:ext cx="3238635" cy="27908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8"/>
          </a:graphicData>
        </a:graphic>
      </xdr:graphicFrame>
      <xdr:graphicFrame macro="">
        <xdr:nvGraphicFramePr>
          <xdr:cNvPr id="14" name="Chart 13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GraphicFramePr>
            <a:graphicFrameLocks/>
          </xdr:cNvGraphicFramePr>
        </xdr:nvGraphicFramePr>
        <xdr:xfrm>
          <a:off x="3437590" y="5568952"/>
          <a:ext cx="3087035" cy="27908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9"/>
          </a:graphicData>
        </a:graphic>
      </xdr:graphicFrame>
    </xdr:grpSp>
    <xdr:clientData/>
  </xdr:twoCellAnchor>
  <xdr:twoCellAnchor>
    <xdr:from>
      <xdr:col>1</xdr:col>
      <xdr:colOff>29884</xdr:colOff>
      <xdr:row>67</xdr:row>
      <xdr:rowOff>167340</xdr:rowOff>
    </xdr:from>
    <xdr:to>
      <xdr:col>8</xdr:col>
      <xdr:colOff>657411</xdr:colOff>
      <xdr:row>70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69584" y="10755965"/>
          <a:ext cx="5475752" cy="405467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>
    <xdr:from>
      <xdr:col>4</xdr:col>
      <xdr:colOff>429559</xdr:colOff>
      <xdr:row>71</xdr:row>
      <xdr:rowOff>144904</xdr:rowOff>
    </xdr:from>
    <xdr:to>
      <xdr:col>5</xdr:col>
      <xdr:colOff>30011</xdr:colOff>
      <xdr:row>73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70</xdr:row>
      <xdr:rowOff>77929</xdr:rowOff>
    </xdr:from>
    <xdr:to>
      <xdr:col>5</xdr:col>
      <xdr:colOff>323417</xdr:colOff>
      <xdr:row>75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71</xdr:row>
      <xdr:rowOff>167317</xdr:rowOff>
    </xdr:from>
    <xdr:to>
      <xdr:col>4</xdr:col>
      <xdr:colOff>728382</xdr:colOff>
      <xdr:row>73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66674</xdr:colOff>
      <xdr:row>69</xdr:row>
      <xdr:rowOff>12196</xdr:rowOff>
    </xdr:from>
    <xdr:to>
      <xdr:col>2</xdr:col>
      <xdr:colOff>268006</xdr:colOff>
      <xdr:row>71</xdr:row>
      <xdr:rowOff>171450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885824" y="11489821"/>
          <a:ext cx="201332" cy="52120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123564</xdr:colOff>
      <xdr:row>68</xdr:row>
      <xdr:rowOff>180422</xdr:rowOff>
    </xdr:from>
    <xdr:to>
      <xdr:col>8</xdr:col>
      <xdr:colOff>370093</xdr:colOff>
      <xdr:row>73</xdr:row>
      <xdr:rowOff>114299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000364" y="11477072"/>
          <a:ext cx="246529" cy="838752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20731</xdr:colOff>
      <xdr:row>121</xdr:row>
      <xdr:rowOff>6631</xdr:rowOff>
    </xdr:from>
    <xdr:to>
      <xdr:col>10</xdr:col>
      <xdr:colOff>1607</xdr:colOff>
      <xdr:row>140</xdr:row>
      <xdr:rowOff>163391</xdr:rowOff>
    </xdr:to>
    <xdr:grpSp>
      <xdr:nvGrpSpPr>
        <xdr:cNvPr id="128" name="Group 127">
          <a:extLst>
            <a:ext uri="{FF2B5EF4-FFF2-40B4-BE49-F238E27FC236}">
              <a16:creationId xmlns:a16="http://schemas.microsoft.com/office/drawing/2014/main" id="{00000000-0008-0000-0400-000080000000}"/>
            </a:ext>
          </a:extLst>
        </xdr:cNvPr>
        <xdr:cNvGrpSpPr/>
      </xdr:nvGrpSpPr>
      <xdr:grpSpPr>
        <a:xfrm>
          <a:off x="163606" y="20602856"/>
          <a:ext cx="6200701" cy="3588935"/>
          <a:chOff x="175853" y="21969292"/>
          <a:chExt cx="6668541" cy="2779754"/>
        </a:xfrm>
      </xdr:grpSpPr>
      <xdr:graphicFrame macro="">
        <xdr:nvGraphicFramePr>
          <xdr:cNvPr id="20" name="Chart 19">
            <a:extLst>
              <a:ext uri="{FF2B5EF4-FFF2-40B4-BE49-F238E27FC236}">
                <a16:creationId xmlns:a16="http://schemas.microsoft.com/office/drawing/2014/main" id="{8F28B114-4F46-6AE9-2D00-B87DF6B18AA7}"/>
              </a:ext>
            </a:extLst>
          </xdr:cNvPr>
          <xdr:cNvGraphicFramePr/>
        </xdr:nvGraphicFramePr>
        <xdr:xfrm>
          <a:off x="175853" y="21970334"/>
          <a:ext cx="3225933" cy="27787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0"/>
          </a:graphicData>
        </a:graphic>
      </xdr:graphicFrame>
      <xdr:graphicFrame macro="">
        <xdr:nvGraphicFramePr>
          <xdr:cNvPr id="36" name="Chart 35">
            <a:extLst>
              <a:ext uri="{FF2B5EF4-FFF2-40B4-BE49-F238E27FC236}">
                <a16:creationId xmlns:a16="http://schemas.microsoft.com/office/drawing/2014/main" id="{99D37E3A-4F98-454B-A0B0-786AFFF92EA6}"/>
              </a:ext>
            </a:extLst>
          </xdr:cNvPr>
          <xdr:cNvGraphicFramePr>
            <a:graphicFrameLocks/>
          </xdr:cNvGraphicFramePr>
        </xdr:nvGraphicFramePr>
        <xdr:xfrm>
          <a:off x="3456214" y="21969292"/>
          <a:ext cx="3388180" cy="276849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1"/>
          </a:graphicData>
        </a:graphic>
      </xdr:graphicFrame>
    </xdr:grpSp>
    <xdr:clientData/>
  </xdr:twoCellAnchor>
  <xdr:twoCellAnchor>
    <xdr:from>
      <xdr:col>9</xdr:col>
      <xdr:colOff>84535</xdr:colOff>
      <xdr:row>67</xdr:row>
      <xdr:rowOff>82153</xdr:rowOff>
    </xdr:from>
    <xdr:to>
      <xdr:col>9</xdr:col>
      <xdr:colOff>714703</xdr:colOff>
      <xdr:row>70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pSpPr/>
      </xdr:nvGrpSpPr>
      <xdr:grpSpPr>
        <a:xfrm>
          <a:off x="5764610" y="10677128"/>
          <a:ext cx="595243" cy="563961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12</xdr:col>
      <xdr:colOff>84817</xdr:colOff>
      <xdr:row>51</xdr:row>
      <xdr:rowOff>908</xdr:rowOff>
    </xdr:from>
    <xdr:to>
      <xdr:col>20</xdr:col>
      <xdr:colOff>20863</xdr:colOff>
      <xdr:row>67</xdr:row>
      <xdr:rowOff>17596</xdr:rowOff>
    </xdr:to>
    <xdr:pic>
      <xdr:nvPicPr>
        <xdr:cNvPr id="42" name="Picture 41" descr="International pressure units - WIKA blo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52467" y="7678058"/>
          <a:ext cx="4736646" cy="29313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563789</xdr:colOff>
      <xdr:row>320</xdr:row>
      <xdr:rowOff>123825</xdr:rowOff>
    </xdr:from>
    <xdr:to>
      <xdr:col>23</xdr:col>
      <xdr:colOff>568859</xdr:colOff>
      <xdr:row>344</xdr:row>
      <xdr:rowOff>83148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831364" y="54073425"/>
          <a:ext cx="7263121" cy="4302722"/>
        </a:xfrm>
        <a:prstGeom prst="rect">
          <a:avLst/>
        </a:prstGeom>
      </xdr:spPr>
    </xdr:pic>
    <xdr:clientData/>
  </xdr:twoCellAnchor>
  <xdr:twoCellAnchor editAs="oneCell">
    <xdr:from>
      <xdr:col>12</xdr:col>
      <xdr:colOff>114300</xdr:colOff>
      <xdr:row>23</xdr:row>
      <xdr:rowOff>104184</xdr:rowOff>
    </xdr:from>
    <xdr:to>
      <xdr:col>21</xdr:col>
      <xdr:colOff>260348</xdr:colOff>
      <xdr:row>45</xdr:row>
      <xdr:rowOff>171942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E038EC2-EC3C-1B9E-7790-D0AE345E5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981950" y="2714034"/>
          <a:ext cx="5562599" cy="4049208"/>
        </a:xfrm>
        <a:prstGeom prst="rect">
          <a:avLst/>
        </a:prstGeom>
      </xdr:spPr>
    </xdr:pic>
    <xdr:clientData/>
  </xdr:twoCellAnchor>
  <xdr:twoCellAnchor>
    <xdr:from>
      <xdr:col>2</xdr:col>
      <xdr:colOff>200025</xdr:colOff>
      <xdr:row>66</xdr:row>
      <xdr:rowOff>57150</xdr:rowOff>
    </xdr:from>
    <xdr:to>
      <xdr:col>4</xdr:col>
      <xdr:colOff>527049</xdr:colOff>
      <xdr:row>67</xdr:row>
      <xdr:rowOff>133350</xdr:rowOff>
    </xdr:to>
    <xdr:grpSp>
      <xdr:nvGrpSpPr>
        <xdr:cNvPr id="50" name="Group 49">
          <a:extLst>
            <a:ext uri="{FF2B5EF4-FFF2-40B4-BE49-F238E27FC236}">
              <a16:creationId xmlns:a16="http://schemas.microsoft.com/office/drawing/2014/main" id="{3C2DB7E1-74D8-496C-96DB-0C9100686BAE}"/>
            </a:ext>
          </a:extLst>
        </xdr:cNvPr>
        <xdr:cNvGrpSpPr/>
      </xdr:nvGrpSpPr>
      <xdr:grpSpPr>
        <a:xfrm>
          <a:off x="1025525" y="10467975"/>
          <a:ext cx="1746249" cy="257175"/>
          <a:chOff x="3597275" y="9848850"/>
          <a:chExt cx="1000125" cy="571500"/>
        </a:xfrm>
      </xdr:grpSpPr>
      <xdr:cxnSp macro="">
        <xdr:nvCxnSpPr>
          <xdr:cNvPr id="51" name="Straight Arrow Connector 50">
            <a:extLst>
              <a:ext uri="{FF2B5EF4-FFF2-40B4-BE49-F238E27FC236}">
                <a16:creationId xmlns:a16="http://schemas.microsoft.com/office/drawing/2014/main" id="{26F73A6A-81E9-F259-01C4-77D63F8F959E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2" name="Straight Arrow Connector 51">
            <a:extLst>
              <a:ext uri="{FF2B5EF4-FFF2-40B4-BE49-F238E27FC236}">
                <a16:creationId xmlns:a16="http://schemas.microsoft.com/office/drawing/2014/main" id="{12E7DCD0-156E-579C-018B-C2F3D8640ABD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Arrow Connector 52">
            <a:extLst>
              <a:ext uri="{FF2B5EF4-FFF2-40B4-BE49-F238E27FC236}">
                <a16:creationId xmlns:a16="http://schemas.microsoft.com/office/drawing/2014/main" id="{21259BB9-C661-0C74-DEF3-12A5AE1D2D23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Arrow Connector 53">
            <a:extLst>
              <a:ext uri="{FF2B5EF4-FFF2-40B4-BE49-F238E27FC236}">
                <a16:creationId xmlns:a16="http://schemas.microsoft.com/office/drawing/2014/main" id="{825EC7C6-2E66-8D0A-538D-278D92FB04B8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Arrow Connector 54">
            <a:extLst>
              <a:ext uri="{FF2B5EF4-FFF2-40B4-BE49-F238E27FC236}">
                <a16:creationId xmlns:a16="http://schemas.microsoft.com/office/drawing/2014/main" id="{4ACAD2AC-C1D7-1607-0618-2D59BAF84B3F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Arrow Connector 55">
            <a:extLst>
              <a:ext uri="{FF2B5EF4-FFF2-40B4-BE49-F238E27FC236}">
                <a16:creationId xmlns:a16="http://schemas.microsoft.com/office/drawing/2014/main" id="{54B0F0E9-62E9-5C55-5408-C8C1B30146F3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Arrow Connector 56">
            <a:extLst>
              <a:ext uri="{FF2B5EF4-FFF2-40B4-BE49-F238E27FC236}">
                <a16:creationId xmlns:a16="http://schemas.microsoft.com/office/drawing/2014/main" id="{74D9F84F-B9FE-F387-7F3A-F80ACDE5A0D0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85726</xdr:colOff>
      <xdr:row>64</xdr:row>
      <xdr:rowOff>57150</xdr:rowOff>
    </xdr:from>
    <xdr:to>
      <xdr:col>8</xdr:col>
      <xdr:colOff>228601</xdr:colOff>
      <xdr:row>67</xdr:row>
      <xdr:rowOff>82550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86219524-58D5-4E93-8BF3-AD7D38173E37}"/>
            </a:ext>
          </a:extLst>
        </xdr:cNvPr>
        <xdr:cNvGrpSpPr/>
      </xdr:nvGrpSpPr>
      <xdr:grpSpPr>
        <a:xfrm>
          <a:off x="3016251" y="10106025"/>
          <a:ext cx="2203450" cy="571500"/>
          <a:chOff x="3597275" y="9848850"/>
          <a:chExt cx="1000125" cy="571500"/>
        </a:xfrm>
      </xdr:grpSpPr>
      <xdr:cxnSp macro="">
        <xdr:nvCxnSpPr>
          <xdr:cNvPr id="59" name="Straight Arrow Connector 58">
            <a:extLst>
              <a:ext uri="{FF2B5EF4-FFF2-40B4-BE49-F238E27FC236}">
                <a16:creationId xmlns:a16="http://schemas.microsoft.com/office/drawing/2014/main" id="{163EB054-41D3-922D-8582-9A862E8152F5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Straight Arrow Connector 59">
            <a:extLst>
              <a:ext uri="{FF2B5EF4-FFF2-40B4-BE49-F238E27FC236}">
                <a16:creationId xmlns:a16="http://schemas.microsoft.com/office/drawing/2014/main" id="{5C92FD6C-60EA-0166-BE1B-125AF640D8F3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1" name="Straight Arrow Connector 60">
            <a:extLst>
              <a:ext uri="{FF2B5EF4-FFF2-40B4-BE49-F238E27FC236}">
                <a16:creationId xmlns:a16="http://schemas.microsoft.com/office/drawing/2014/main" id="{0190BD91-2BD4-E657-68E7-48B4ACF326D7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Straight Arrow Connector 61">
            <a:extLst>
              <a:ext uri="{FF2B5EF4-FFF2-40B4-BE49-F238E27FC236}">
                <a16:creationId xmlns:a16="http://schemas.microsoft.com/office/drawing/2014/main" id="{30DF63C9-D624-562F-1C91-3A172EFAE0FA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Straight Arrow Connector 62">
            <a:extLst>
              <a:ext uri="{FF2B5EF4-FFF2-40B4-BE49-F238E27FC236}">
                <a16:creationId xmlns:a16="http://schemas.microsoft.com/office/drawing/2014/main" id="{6871C9C5-7558-D3BB-0673-1E0ADCD4D818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Straight Arrow Connector 63">
            <a:extLst>
              <a:ext uri="{FF2B5EF4-FFF2-40B4-BE49-F238E27FC236}">
                <a16:creationId xmlns:a16="http://schemas.microsoft.com/office/drawing/2014/main" id="{1F7D1E5C-E6FA-BE68-6521-50D51F1A79B0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Straight Arrow Connector 64">
            <a:extLst>
              <a:ext uri="{FF2B5EF4-FFF2-40B4-BE49-F238E27FC236}">
                <a16:creationId xmlns:a16="http://schemas.microsoft.com/office/drawing/2014/main" id="{A07A0140-21B0-9D92-F006-73D3D9F560F9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19</xdr:col>
      <xdr:colOff>482600</xdr:colOff>
      <xdr:row>26</xdr:row>
      <xdr:rowOff>44450</xdr:rowOff>
    </xdr:from>
    <xdr:to>
      <xdr:col>26</xdr:col>
      <xdr:colOff>429209</xdr:colOff>
      <xdr:row>44</xdr:row>
      <xdr:rowOff>9949</xdr:rowOff>
    </xdr:to>
    <xdr:grpSp>
      <xdr:nvGrpSpPr>
        <xdr:cNvPr id="70" name="Group 69">
          <a:extLst>
            <a:ext uri="{FF2B5EF4-FFF2-40B4-BE49-F238E27FC236}">
              <a16:creationId xmlns:a16="http://schemas.microsoft.com/office/drawing/2014/main" id="{123796AF-603C-C960-208F-01DAA693AD4F}"/>
            </a:ext>
          </a:extLst>
        </xdr:cNvPr>
        <xdr:cNvGrpSpPr/>
      </xdr:nvGrpSpPr>
      <xdr:grpSpPr>
        <a:xfrm>
          <a:off x="12258675" y="3200400"/>
          <a:ext cx="4178884" cy="3216699"/>
          <a:chOff x="12293600" y="3559175"/>
          <a:chExt cx="4185234" cy="3042074"/>
        </a:xfrm>
      </xdr:grpSpPr>
      <xdr:pic>
        <xdr:nvPicPr>
          <xdr:cNvPr id="68" name="Picture 67">
            <a:extLst>
              <a:ext uri="{FF2B5EF4-FFF2-40B4-BE49-F238E27FC236}">
                <a16:creationId xmlns:a16="http://schemas.microsoft.com/office/drawing/2014/main" id="{466EBCF4-92C0-AC25-EBCC-A0E7F31A69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5"/>
          <a:stretch>
            <a:fillRect/>
          </a:stretch>
        </xdr:blipFill>
        <xdr:spPr>
          <a:xfrm>
            <a:off x="12293600" y="3559175"/>
            <a:ext cx="4185234" cy="3042074"/>
          </a:xfrm>
          <a:prstGeom prst="rect">
            <a:avLst/>
          </a:prstGeom>
        </xdr:spPr>
      </xdr:pic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id="{B56D87BF-4C7B-B166-8009-90B4EEFBF1E9}"/>
              </a:ext>
            </a:extLst>
          </xdr:cNvPr>
          <xdr:cNvSpPr txBox="1"/>
        </xdr:nvSpPr>
        <xdr:spPr>
          <a:xfrm>
            <a:off x="12773025" y="3733800"/>
            <a:ext cx="894476" cy="264560"/>
          </a:xfrm>
          <a:prstGeom prst="rect">
            <a:avLst/>
          </a:prstGeom>
          <a:solidFill>
            <a:schemeClr val="accent2"/>
          </a:solidFill>
          <a:ln>
            <a:solidFill>
              <a:schemeClr val="accent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Shear failure</a:t>
            </a:r>
          </a:p>
        </xdr:txBody>
      </xdr:sp>
    </xdr:grpSp>
    <xdr:clientData/>
  </xdr:twoCellAnchor>
  <xdr:twoCellAnchor editAs="oneCell">
    <xdr:from>
      <xdr:col>20</xdr:col>
      <xdr:colOff>86948</xdr:colOff>
      <xdr:row>47</xdr:row>
      <xdr:rowOff>120650</xdr:rowOff>
    </xdr:from>
    <xdr:to>
      <xdr:col>28</xdr:col>
      <xdr:colOff>598068</xdr:colOff>
      <xdr:row>65</xdr:row>
      <xdr:rowOff>121364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48258DB5-36F4-384F-C16C-6E4408CA5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2755198" y="7073900"/>
          <a:ext cx="5467295" cy="3280489"/>
        </a:xfrm>
        <a:prstGeom prst="rect">
          <a:avLst/>
        </a:prstGeom>
      </xdr:spPr>
    </xdr:pic>
    <xdr:clientData/>
  </xdr:twoCellAnchor>
  <xdr:twoCellAnchor editAs="oneCell">
    <xdr:from>
      <xdr:col>11</xdr:col>
      <xdr:colOff>126755</xdr:colOff>
      <xdr:row>161</xdr:row>
      <xdr:rowOff>26772</xdr:rowOff>
    </xdr:from>
    <xdr:to>
      <xdr:col>20</xdr:col>
      <xdr:colOff>493169</xdr:colOff>
      <xdr:row>182</xdr:row>
      <xdr:rowOff>50708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75FA5368-22D3-CE96-C04F-72C7D1DF2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233870" y="24300868"/>
          <a:ext cx="5575857" cy="3873745"/>
        </a:xfrm>
        <a:prstGeom prst="rect">
          <a:avLst/>
        </a:prstGeom>
      </xdr:spPr>
    </xdr:pic>
    <xdr:clientData/>
  </xdr:twoCellAnchor>
  <xdr:twoCellAnchor>
    <xdr:from>
      <xdr:col>11</xdr:col>
      <xdr:colOff>273196</xdr:colOff>
      <xdr:row>238</xdr:row>
      <xdr:rowOff>12659</xdr:rowOff>
    </xdr:from>
    <xdr:to>
      <xdr:col>17</xdr:col>
      <xdr:colOff>427707</xdr:colOff>
      <xdr:row>249</xdr:row>
      <xdr:rowOff>92950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43F2A01-BA3C-4C42-9AB1-962F64B8463E}"/>
            </a:ext>
          </a:extLst>
        </xdr:cNvPr>
        <xdr:cNvGrpSpPr/>
      </xdr:nvGrpSpPr>
      <xdr:grpSpPr>
        <a:xfrm>
          <a:off x="7401071" y="41814709"/>
          <a:ext cx="3640661" cy="2074191"/>
          <a:chOff x="2695575" y="2080375"/>
          <a:chExt cx="3649065" cy="1768205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0DCF65F9-5D3A-CAD6-72CA-2D2AEF32DF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8"/>
          <a:stretch>
            <a:fillRect/>
          </a:stretch>
        </xdr:blipFill>
        <xdr:spPr>
          <a:xfrm>
            <a:off x="2695575" y="2080375"/>
            <a:ext cx="3649065" cy="1768205"/>
          </a:xfrm>
          <a:prstGeom prst="rect">
            <a:avLst/>
          </a:prstGeom>
        </xdr:spPr>
      </xdr:pic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B7F1E0D4-C695-9EEB-D3B3-DA8A73E58E4D}"/>
              </a:ext>
            </a:extLst>
          </xdr:cNvPr>
          <xdr:cNvSpPr txBox="1"/>
        </xdr:nvSpPr>
        <xdr:spPr>
          <a:xfrm>
            <a:off x="2781300" y="2324100"/>
            <a:ext cx="1013291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ADINOX M305</a:t>
            </a:r>
          </a:p>
        </xdr:txBody>
      </xdr:sp>
    </xdr:grpSp>
    <xdr:clientData/>
  </xdr:twoCellAnchor>
  <xdr:oneCellAnchor>
    <xdr:from>
      <xdr:col>4</xdr:col>
      <xdr:colOff>647362</xdr:colOff>
      <xdr:row>249</xdr:row>
      <xdr:rowOff>73477</xdr:rowOff>
    </xdr:from>
    <xdr:ext cx="1167884" cy="69307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𝑠h𝑒𝑎𝑟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l-GR" sz="1100" i="1">
                        <a:latin typeface="Cambria Math" panose="02040503050406030204" pitchFamily="18" charset="0"/>
                      </a:rPr>
                      <m:t>𝜋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𝜏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𝑠h𝑒𝑎𝑟</m:t>
                            </m:r>
                          </m:sub>
                        </m:sSub>
                      </m:den>
                    </m:f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𝐴</a:t>
              </a:r>
              <a:r>
                <a:rPr lang="es-419" sz="1100" b="0" i="0">
                  <a:latin typeface="Cambria Math" panose="02040503050406030204" pitchFamily="18" charset="0"/>
                </a:rPr>
                <a:t>_𝑠ℎ𝑒𝑎𝑟</a:t>
              </a:r>
              <a:r>
                <a:rPr lang="en-US" sz="1100" i="0">
                  <a:latin typeface="Cambria Math" panose="02040503050406030204" pitchFamily="18" charset="0"/>
                </a:rPr>
                <a:t>=</a:t>
              </a:r>
              <a:r>
                <a:rPr lang="el-GR" sz="1100" i="0">
                  <a:latin typeface="Cambria Math" panose="02040503050406030204" pitchFamily="18" charset="0"/>
                </a:rPr>
                <a:t>𝜋</a:t>
              </a:r>
              <a:r>
                <a:rPr lang="es-419" sz="1100" b="0" i="0">
                  <a:latin typeface="Cambria Math" panose="02040503050406030204" pitchFamily="18" charset="0"/>
                </a:rPr>
                <a:t>𝐷_𝑚𝑟 𝐿_𝑚𝑟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𝜏=𝑉/𝐴_𝑠ℎ𝑒𝑎𝑟   </a:t>
              </a:r>
              <a:br>
                <a:rPr lang="es-419" sz="1100" b="0" i="1">
                  <a:latin typeface="Cambria Math" panose="02040503050406030204" pitchFamily="18" charset="0"/>
                </a:rPr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598833</xdr:colOff>
      <xdr:row>237</xdr:row>
      <xdr:rowOff>76062</xdr:rowOff>
    </xdr:from>
    <xdr:ext cx="1606529" cy="82836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𝜏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𝑏𝑒𝑎𝑟𝑖𝑛𝑔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sty m:val="p"/>
                          </m:rPr>
                          <a:rPr lang="es-419" sz="1100" b="0" i="0">
                            <a:latin typeface="Cambria Math" panose="02040503050406030204" pitchFamily="18" charset="0"/>
                          </a:rPr>
                          <m:t>V</m:t>
                        </m:r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A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bearing</m:t>
                            </m:r>
                          </m:sub>
                        </m:sSub>
                      </m:den>
                    </m:f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</m:num>
                      <m:den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den>
                    </m:f>
                    <m:d>
                      <m:d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𝑑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𝑚𝑟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  <m:oMath xmlns:m="http://schemas.openxmlformats.org/officeDocument/2006/math"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𝑎𝑛𝑑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𝑉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𝜏_𝑏𝑒𝑎𝑟𝑖𝑛𝑔=V/A_bearing 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𝐴_𝑏=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𝜋/4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𝐷_𝑚^2−𝑑_𝑚𝑟^2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br>
                <a:rPr lang="es-419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</a:b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𝑎𝑛𝑑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112089</xdr:colOff>
      <xdr:row>246</xdr:row>
      <xdr:rowOff>130865</xdr:rowOff>
    </xdr:from>
    <xdr:ext cx="26802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𝑑_𝑚𝑟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153503</xdr:colOff>
      <xdr:row>251</xdr:row>
      <xdr:rowOff>89453</xdr:rowOff>
    </xdr:from>
    <xdr:ext cx="21961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103807</xdr:colOff>
      <xdr:row>252</xdr:row>
      <xdr:rowOff>165929</xdr:rowOff>
    </xdr:from>
    <xdr:ext cx="27565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9</xdr:col>
      <xdr:colOff>372299</xdr:colOff>
      <xdr:row>244</xdr:row>
      <xdr:rowOff>70621</xdr:rowOff>
    </xdr:from>
    <xdr:to>
      <xdr:col>9</xdr:col>
      <xdr:colOff>504124</xdr:colOff>
      <xdr:row>244</xdr:row>
      <xdr:rowOff>113166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01709510-8FD9-2D97-B5FF-709CD4B82C96}"/>
                </a:ext>
              </a:extLst>
            </xdr14:cNvPr>
            <xdr14:cNvContentPartPr/>
          </xdr14:nvContentPartPr>
          <xdr14:nvPr macro=""/>
          <xdr14:xfrm>
            <a:off x="5946495" y="42361621"/>
            <a:ext cx="135000" cy="42545"/>
          </xdr14:xfrm>
        </xdr:contentPart>
      </mc:Choice>
      <mc:Fallback xmlns=""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01709510-8FD9-2D97-B5FF-709CD4B82C96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5940375" y="42355926"/>
              <a:ext cx="147240" cy="539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375833</xdr:colOff>
      <xdr:row>250</xdr:row>
      <xdr:rowOff>99149</xdr:rowOff>
    </xdr:from>
    <xdr:to>
      <xdr:col>9</xdr:col>
      <xdr:colOff>504353</xdr:colOff>
      <xdr:row>250</xdr:row>
      <xdr:rowOff>168334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111C9F12-6876-F49C-C6D5-9BC0B7B837D1}"/>
                </a:ext>
              </a:extLst>
            </xdr14:cNvPr>
            <xdr14:cNvContentPartPr/>
          </xdr14:nvContentPartPr>
          <xdr14:nvPr macro=""/>
          <xdr14:xfrm>
            <a:off x="5950029" y="43301236"/>
            <a:ext cx="125345" cy="69185"/>
          </xdr14:xfrm>
        </xdr:contentPart>
      </mc:Choice>
      <mc:Fallback xmlns=""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111C9F12-6876-F49C-C6D5-9BC0B7B837D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5944060" y="43295385"/>
              <a:ext cx="137283" cy="80888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9</xdr:col>
      <xdr:colOff>289198</xdr:colOff>
      <xdr:row>246</xdr:row>
      <xdr:rowOff>74819</xdr:rowOff>
    </xdr:from>
    <xdr:ext cx="2612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𝐿_𝑚𝑟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12</xdr:col>
      <xdr:colOff>504825</xdr:colOff>
      <xdr:row>249</xdr:row>
      <xdr:rowOff>171450</xdr:rowOff>
    </xdr:from>
    <xdr:to>
      <xdr:col>20</xdr:col>
      <xdr:colOff>478971</xdr:colOff>
      <xdr:row>260</xdr:row>
      <xdr:rowOff>133351</xdr:rowOff>
    </xdr:to>
    <xdr:pic>
      <xdr:nvPicPr>
        <xdr:cNvPr id="102" name="Picture 101" descr="International pressure units - WIKA blo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897" b="16492"/>
        <a:stretch/>
      </xdr:blipFill>
      <xdr:spPr bwMode="auto">
        <a:xfrm>
          <a:off x="8372475" y="39585900"/>
          <a:ext cx="4774746" cy="19526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549773</xdr:colOff>
      <xdr:row>269</xdr:row>
      <xdr:rowOff>90122</xdr:rowOff>
    </xdr:from>
    <xdr:ext cx="277897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0" name="TextBox 109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8696" y="39963237"/>
              <a:ext cx="277897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0" name="TextBox 109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8696" y="39963237"/>
              <a:ext cx="277897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563631</xdr:colOff>
      <xdr:row>271</xdr:row>
      <xdr:rowOff>30361</xdr:rowOff>
    </xdr:from>
    <xdr:ext cx="228268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2554" y="40269823"/>
              <a:ext cx="228268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2554" y="40269823"/>
              <a:ext cx="228268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𝑑_𝑓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570119</xdr:colOff>
      <xdr:row>273</xdr:row>
      <xdr:rowOff>29214</xdr:rowOff>
    </xdr:from>
    <xdr:ext cx="235897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9042" y="40635022"/>
              <a:ext cx="235897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9042" y="40635022"/>
              <a:ext cx="235897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𝐷_𝑓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544147</xdr:colOff>
      <xdr:row>274</xdr:row>
      <xdr:rowOff>169839</xdr:rowOff>
    </xdr:from>
    <xdr:ext cx="343684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3070" y="40958820"/>
              <a:ext cx="343684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3070" y="40958820"/>
              <a:ext cx="343684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𝐷_𝑑𝑚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65654</xdr:colOff>
      <xdr:row>271</xdr:row>
      <xdr:rowOff>132548</xdr:rowOff>
    </xdr:from>
    <xdr:ext cx="258596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2967116" y="40372010"/>
              <a:ext cx="258596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2967116" y="40372010"/>
              <a:ext cx="258596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𝑙_𝑑𝑟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646784</xdr:colOff>
      <xdr:row>275</xdr:row>
      <xdr:rowOff>85662</xdr:rowOff>
    </xdr:from>
    <xdr:ext cx="269304" cy="248466"/>
    <xdr:sp macro="" textlink="">
      <xdr:nvSpPr>
        <xdr:cNvPr id="118" name="TextBox 117">
          <a:extLst>
            <a:ext uri="{FF2B5EF4-FFF2-40B4-BE49-F238E27FC236}">
              <a16:creationId xmlns:a16="http://schemas.microsoft.com/office/drawing/2014/main" id="{00000000-0008-0000-0400-000076000000}"/>
            </a:ext>
          </a:extLst>
        </xdr:cNvPr>
        <xdr:cNvSpPr txBox="1"/>
      </xdr:nvSpPr>
      <xdr:spPr>
        <a:xfrm>
          <a:off x="2859515" y="41057816"/>
          <a:ext cx="269304" cy="248466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aseline="0"/>
            <a:t>A</a:t>
          </a:r>
          <a:endParaRPr lang="en-US" sz="1100"/>
        </a:p>
      </xdr:txBody>
    </xdr:sp>
    <xdr:clientData/>
  </xdr:oneCellAnchor>
  <xdr:oneCellAnchor>
    <xdr:from>
      <xdr:col>5</xdr:col>
      <xdr:colOff>338839</xdr:colOff>
      <xdr:row>277</xdr:row>
      <xdr:rowOff>824</xdr:rowOff>
    </xdr:from>
    <xdr:ext cx="269304" cy="248466"/>
    <xdr:sp macro="" textlink="">
      <xdr:nvSpPr>
        <xdr:cNvPr id="119" name="TextBox 118">
          <a:extLst>
            <a:ext uri="{FF2B5EF4-FFF2-40B4-BE49-F238E27FC236}">
              <a16:creationId xmlns:a16="http://schemas.microsoft.com/office/drawing/2014/main" id="{00000000-0008-0000-0400-000077000000}"/>
            </a:ext>
          </a:extLst>
        </xdr:cNvPr>
        <xdr:cNvSpPr txBox="1"/>
      </xdr:nvSpPr>
      <xdr:spPr>
        <a:xfrm>
          <a:off x="3240301" y="41339324"/>
          <a:ext cx="269304" cy="248466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aseline="0"/>
            <a:t>B</a:t>
          </a:r>
          <a:endParaRPr lang="en-US" sz="1100"/>
        </a:p>
      </xdr:txBody>
    </xdr:sp>
    <xdr:clientData/>
  </xdr:oneCellAnchor>
  <xdr:twoCellAnchor>
    <xdr:from>
      <xdr:col>7</xdr:col>
      <xdr:colOff>198783</xdr:colOff>
      <xdr:row>244</xdr:row>
      <xdr:rowOff>157370</xdr:rowOff>
    </xdr:from>
    <xdr:to>
      <xdr:col>7</xdr:col>
      <xdr:colOff>335911</xdr:colOff>
      <xdr:row>250</xdr:row>
      <xdr:rowOff>108955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21" name="Ink 120">
              <a:extLst>
                <a:ext uri="{FF2B5EF4-FFF2-40B4-BE49-F238E27FC236}">
                  <a16:creationId xmlns:a16="http://schemas.microsoft.com/office/drawing/2014/main" id="{3AAC3799-AE85-B6C8-0AE0-DF517775BD2E}"/>
                </a:ext>
              </a:extLst>
            </xdr14:cNvPr>
            <xdr14:cNvContentPartPr/>
          </xdr14:nvContentPartPr>
          <xdr14:nvPr macro=""/>
          <xdr14:xfrm>
            <a:off x="4770783" y="42531196"/>
            <a:ext cx="137128" cy="862672"/>
          </xdr14:xfrm>
        </xdr:contentPart>
      </mc:Choice>
      <mc:Fallback xmlns="">
        <xdr:pic>
          <xdr:nvPicPr>
            <xdr:cNvPr id="121" name="Ink 120">
              <a:extLst>
                <a:ext uri="{FF2B5EF4-FFF2-40B4-BE49-F238E27FC236}">
                  <a16:creationId xmlns:a16="http://schemas.microsoft.com/office/drawing/2014/main" xmlns:xdr14="http://schemas.microsoft.com/office/excel/2010/spreadsheetDrawing" xmlns:r="http://schemas.openxmlformats.org/officeDocument/2006/relationships" xmlns="" id="{3AAC3799-AE85-B6C8-0AE0-DF517775BD2E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4762145" y="42523838"/>
              <a:ext cx="154404" cy="87554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301625</xdr:colOff>
      <xdr:row>261</xdr:row>
      <xdr:rowOff>111125</xdr:rowOff>
    </xdr:from>
    <xdr:to>
      <xdr:col>16</xdr:col>
      <xdr:colOff>143204</xdr:colOff>
      <xdr:row>278</xdr:row>
      <xdr:rowOff>74426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00000000-0008-0000-04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8169275" y="41697275"/>
          <a:ext cx="2241879" cy="3039876"/>
        </a:xfrm>
        <a:prstGeom prst="rect">
          <a:avLst/>
        </a:prstGeom>
      </xdr:spPr>
    </xdr:pic>
    <xdr:clientData/>
  </xdr:twoCellAnchor>
  <xdr:oneCellAnchor>
    <xdr:from>
      <xdr:col>5</xdr:col>
      <xdr:colOff>602787</xdr:colOff>
      <xdr:row>269</xdr:row>
      <xdr:rowOff>123827</xdr:rowOff>
    </xdr:from>
    <xdr:ext cx="289053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3504249" y="39996942"/>
              <a:ext cx="289053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3504249" y="39996942"/>
              <a:ext cx="289053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𝐿_𝑑𝑟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9</xdr:col>
      <xdr:colOff>602517</xdr:colOff>
      <xdr:row>200</xdr:row>
      <xdr:rowOff>144096</xdr:rowOff>
    </xdr:from>
    <xdr:ext cx="15619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5" name="TextBox 104">
              <a:extLst>
                <a:ext uri="{FF2B5EF4-FFF2-40B4-BE49-F238E27FC236}">
                  <a16:creationId xmlns:a16="http://schemas.microsoft.com/office/drawing/2014/main" id="{4310B2DC-D069-4AE5-AFEF-2427BD5A9C1E}"/>
                </a:ext>
              </a:extLst>
            </xdr:cNvPr>
            <xdr:cNvSpPr txBox="1"/>
          </xdr:nvSpPr>
          <xdr:spPr>
            <a:xfrm>
              <a:off x="6258902" y="31393423"/>
              <a:ext cx="15619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5" name="TextBox 104">
              <a:extLst>
                <a:ext uri="{FF2B5EF4-FFF2-40B4-BE49-F238E27FC236}">
                  <a16:creationId xmlns:a16="http://schemas.microsoft.com/office/drawing/2014/main" id="{4310B2DC-D069-4AE5-AFEF-2427BD5A9C1E}"/>
                </a:ext>
              </a:extLst>
            </xdr:cNvPr>
            <xdr:cNvSpPr txBox="1"/>
          </xdr:nvSpPr>
          <xdr:spPr>
            <a:xfrm>
              <a:off x="6258902" y="31393423"/>
              <a:ext cx="15619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𝐶_𝑡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609111</xdr:colOff>
      <xdr:row>201</xdr:row>
      <xdr:rowOff>177800</xdr:rowOff>
    </xdr:from>
    <xdr:ext cx="10547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AA548A0-E0B2-430D-8893-C6B63DB6AAB7}"/>
                </a:ext>
              </a:extLst>
            </xdr:cNvPr>
            <xdr:cNvSpPr txBox="1"/>
          </xdr:nvSpPr>
          <xdr:spPr>
            <a:xfrm>
              <a:off x="4888034" y="31610300"/>
              <a:ext cx="10547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𝑏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AA548A0-E0B2-430D-8893-C6B63DB6AAB7}"/>
                </a:ext>
              </a:extLst>
            </xdr:cNvPr>
            <xdr:cNvSpPr txBox="1"/>
          </xdr:nvSpPr>
          <xdr:spPr>
            <a:xfrm>
              <a:off x="4888034" y="31610300"/>
              <a:ext cx="10547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𝑏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28331</xdr:colOff>
      <xdr:row>196</xdr:row>
      <xdr:rowOff>36634</xdr:rowOff>
    </xdr:from>
    <xdr:to>
      <xdr:col>8</xdr:col>
      <xdr:colOff>300404</xdr:colOff>
      <xdr:row>196</xdr:row>
      <xdr:rowOff>36634</xdr:rowOff>
    </xdr:to>
    <xdr:cxnSp macro="">
      <xdr:nvCxnSpPr>
        <xdr:cNvPr id="139" name="Straight Connector 138">
          <a:extLst>
            <a:ext uri="{FF2B5EF4-FFF2-40B4-BE49-F238E27FC236}">
              <a16:creationId xmlns:a16="http://schemas.microsoft.com/office/drawing/2014/main" id="{D24A43F0-D405-3C18-42BD-BD0419070F89}"/>
            </a:ext>
          </a:extLst>
        </xdr:cNvPr>
        <xdr:cNvCxnSpPr/>
      </xdr:nvCxnSpPr>
      <xdr:spPr>
        <a:xfrm flipH="1">
          <a:off x="3618523" y="30736442"/>
          <a:ext cx="1649535" cy="0"/>
        </a:xfrm>
        <a:prstGeom prst="line">
          <a:avLst/>
        </a:prstGeom>
        <a:ln>
          <a:solidFill>
            <a:sysClr val="windowText" lastClr="000000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284773</xdr:colOff>
      <xdr:row>196</xdr:row>
      <xdr:rowOff>53486</xdr:rowOff>
    </xdr:from>
    <xdr:to>
      <xdr:col>8</xdr:col>
      <xdr:colOff>300404</xdr:colOff>
      <xdr:row>199</xdr:row>
      <xdr:rowOff>109904</xdr:rowOff>
    </xdr:to>
    <xdr:cxnSp macro="">
      <xdr:nvCxnSpPr>
        <xdr:cNvPr id="141" name="Straight Connector 140">
          <a:extLst>
            <a:ext uri="{FF2B5EF4-FFF2-40B4-BE49-F238E27FC236}">
              <a16:creationId xmlns:a16="http://schemas.microsoft.com/office/drawing/2014/main" id="{C35CD74D-5738-40B8-B2FF-63396017B6AB}"/>
            </a:ext>
          </a:extLst>
        </xdr:cNvPr>
        <xdr:cNvCxnSpPr/>
      </xdr:nvCxnSpPr>
      <xdr:spPr>
        <a:xfrm flipH="1" flipV="1">
          <a:off x="5252427" y="30753294"/>
          <a:ext cx="15631" cy="422764"/>
        </a:xfrm>
        <a:prstGeom prst="line">
          <a:avLst/>
        </a:prstGeom>
        <a:ln>
          <a:solidFill>
            <a:sysClr val="windowText" lastClr="000000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244965</xdr:colOff>
      <xdr:row>199</xdr:row>
      <xdr:rowOff>44938</xdr:rowOff>
    </xdr:from>
    <xdr:to>
      <xdr:col>8</xdr:col>
      <xdr:colOff>351693</xdr:colOff>
      <xdr:row>199</xdr:row>
      <xdr:rowOff>153865</xdr:rowOff>
    </xdr:to>
    <xdr:sp macro="" textlink="">
      <xdr:nvSpPr>
        <xdr:cNvPr id="143" name="Oval 142">
          <a:extLst>
            <a:ext uri="{FF2B5EF4-FFF2-40B4-BE49-F238E27FC236}">
              <a16:creationId xmlns:a16="http://schemas.microsoft.com/office/drawing/2014/main" id="{934382AE-EAE1-D1D1-4F6F-42D50D5DC8F3}"/>
            </a:ext>
          </a:extLst>
        </xdr:cNvPr>
        <xdr:cNvSpPr/>
      </xdr:nvSpPr>
      <xdr:spPr>
        <a:xfrm>
          <a:off x="5212619" y="31111092"/>
          <a:ext cx="106728" cy="10892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607158</xdr:colOff>
      <xdr:row>200</xdr:row>
      <xdr:rowOff>12457</xdr:rowOff>
    </xdr:from>
    <xdr:to>
      <xdr:col>9</xdr:col>
      <xdr:colOff>36635</xdr:colOff>
      <xdr:row>201</xdr:row>
      <xdr:rowOff>102577</xdr:rowOff>
    </xdr:to>
    <xdr:sp macro="" textlink="">
      <xdr:nvSpPr>
        <xdr:cNvPr id="144" name="TextBox 143">
          <a:extLst>
            <a:ext uri="{FF2B5EF4-FFF2-40B4-BE49-F238E27FC236}">
              <a16:creationId xmlns:a16="http://schemas.microsoft.com/office/drawing/2014/main" id="{FEA5FC9B-4DBD-4168-B472-37B734B28C4E}"/>
            </a:ext>
          </a:extLst>
        </xdr:cNvPr>
        <xdr:cNvSpPr txBox="1"/>
      </xdr:nvSpPr>
      <xdr:spPr>
        <a:xfrm>
          <a:off x="4886081" y="31261784"/>
          <a:ext cx="806939" cy="273293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/>
            <a:t>Lift,</a:t>
          </a:r>
          <a:r>
            <a:rPr lang="en-US" sz="1100" baseline="0"/>
            <a:t> Drag cp</a:t>
          </a:r>
          <a:endParaRPr lang="en-US" sz="1100"/>
        </a:p>
      </xdr:txBody>
    </xdr:sp>
    <xdr:clientData/>
  </xdr:twoCellAnchor>
  <xdr:oneCellAnchor>
    <xdr:from>
      <xdr:col>5</xdr:col>
      <xdr:colOff>622788</xdr:colOff>
      <xdr:row>195</xdr:row>
      <xdr:rowOff>143363</xdr:rowOff>
    </xdr:from>
    <xdr:ext cx="16587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6612B2D8-982F-472D-97DD-D05CECEDA342}"/>
                </a:ext>
              </a:extLst>
            </xdr:cNvPr>
            <xdr:cNvSpPr txBox="1"/>
          </xdr:nvSpPr>
          <xdr:spPr>
            <a:xfrm>
              <a:off x="3524250" y="30659998"/>
              <a:ext cx="165878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6612B2D8-982F-472D-97DD-D05CECEDA342}"/>
                </a:ext>
              </a:extLst>
            </xdr:cNvPr>
            <xdr:cNvSpPr txBox="1"/>
          </xdr:nvSpPr>
          <xdr:spPr>
            <a:xfrm>
              <a:off x="3524250" y="30659998"/>
              <a:ext cx="165878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𝐶_𝑟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91097</xdr:colOff>
      <xdr:row>187</xdr:row>
      <xdr:rowOff>124338</xdr:rowOff>
    </xdr:from>
    <xdr:to>
      <xdr:col>15</xdr:col>
      <xdr:colOff>85228</xdr:colOff>
      <xdr:row>193</xdr:row>
      <xdr:rowOff>135060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6A968683-6C0D-42D0-4080-4984DE522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198212" y="29160934"/>
          <a:ext cx="2315789" cy="1124414"/>
        </a:xfrm>
        <a:prstGeom prst="rect">
          <a:avLst/>
        </a:prstGeom>
      </xdr:spPr>
    </xdr:pic>
    <xdr:clientData/>
  </xdr:twoCellAnchor>
  <xdr:twoCellAnchor>
    <xdr:from>
      <xdr:col>5</xdr:col>
      <xdr:colOff>217608</xdr:colOff>
      <xdr:row>190</xdr:row>
      <xdr:rowOff>171694</xdr:rowOff>
    </xdr:from>
    <xdr:to>
      <xdr:col>6</xdr:col>
      <xdr:colOff>11479</xdr:colOff>
      <xdr:row>193</xdr:row>
      <xdr:rowOff>54464</xdr:rowOff>
    </xdr:to>
    <xdr:sp macro="" textlink="">
      <xdr:nvSpPr>
        <xdr:cNvPr id="146" name="TextBox 145">
          <a:extLst>
            <a:ext uri="{FF2B5EF4-FFF2-40B4-BE49-F238E27FC236}">
              <a16:creationId xmlns:a16="http://schemas.microsoft.com/office/drawing/2014/main" id="{65A14549-3E52-4ED8-BB62-D9A94215C289}"/>
            </a:ext>
          </a:extLst>
        </xdr:cNvPr>
        <xdr:cNvSpPr txBox="1"/>
      </xdr:nvSpPr>
      <xdr:spPr>
        <a:xfrm>
          <a:off x="3119070" y="29757809"/>
          <a:ext cx="482601" cy="4469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/>
            <a:t>+Z</a:t>
          </a:r>
        </a:p>
        <a:p>
          <a:r>
            <a:rPr lang="en-US" sz="1100" baseline="0"/>
            <a:t>down</a:t>
          </a:r>
          <a:endParaRPr lang="en-US" sz="1100"/>
        </a:p>
      </xdr:txBody>
    </xdr:sp>
    <xdr:clientData/>
  </xdr:twoCellAnchor>
  <xdr:oneCellAnchor>
    <xdr:from>
      <xdr:col>11</xdr:col>
      <xdr:colOff>188546</xdr:colOff>
      <xdr:row>195</xdr:row>
      <xdr:rowOff>11723</xdr:rowOff>
    </xdr:from>
    <xdr:ext cx="1953292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0" name="TextBox 39">
              <a:extLst>
                <a:ext uri="{FF2B5EF4-FFF2-40B4-BE49-F238E27FC236}">
                  <a16:creationId xmlns:a16="http://schemas.microsoft.com/office/drawing/2014/main" id="{66448D53-5D17-E5F8-F7CA-8608F34C3395}"/>
                </a:ext>
              </a:extLst>
            </xdr:cNvPr>
            <xdr:cNvSpPr txBox="1"/>
          </xdr:nvSpPr>
          <xdr:spPr>
            <a:xfrm>
              <a:off x="7295661" y="34191819"/>
              <a:ext cx="1953292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𝑦𝑟𝑜𝑜𝑡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𝑙𝑖𝑓𝑡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0" name="TextBox 39">
              <a:extLst>
                <a:ext uri="{FF2B5EF4-FFF2-40B4-BE49-F238E27FC236}">
                  <a16:creationId xmlns:a16="http://schemas.microsoft.com/office/drawing/2014/main" id="{66448D53-5D17-E5F8-F7CA-8608F34C3395}"/>
                </a:ext>
              </a:extLst>
            </xdr:cNvPr>
            <xdr:cNvSpPr txBox="1"/>
          </xdr:nvSpPr>
          <xdr:spPr>
            <a:xfrm>
              <a:off x="7295661" y="34191819"/>
              <a:ext cx="1953292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〖−𝑅〗_𝑦𝑟𝑜𝑜𝑡−〖𝑦_𝑙𝑖𝑓𝑡 𝑤〗_𝑓𝑖𝑛𝑠+𝑃_𝑙𝑖𝑓𝑡=0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199048</xdr:colOff>
      <xdr:row>197</xdr:row>
      <xdr:rowOff>29552</xdr:rowOff>
    </xdr:from>
    <xdr:ext cx="2671565" cy="409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55FEA75B-28AD-4CBE-B7D6-CEB9599BDBAB}"/>
                </a:ext>
              </a:extLst>
            </xdr:cNvPr>
            <xdr:cNvSpPr txBox="1"/>
          </xdr:nvSpPr>
          <xdr:spPr>
            <a:xfrm>
              <a:off x="7306163" y="34575994"/>
              <a:ext cx="2671565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𝑦𝑟𝑜𝑜𝑡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+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𝑓𝑖𝑛𝑠</m:t>
                            </m:r>
                          </m:sub>
                        </m:sSub>
                      </m:e>
                    </m:nary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0 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𝑡𝑜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)−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55FEA75B-28AD-4CBE-B7D6-CEB9599BDBAB}"/>
                </a:ext>
              </a:extLst>
            </xdr:cNvPr>
            <xdr:cNvSpPr txBox="1"/>
          </xdr:nvSpPr>
          <xdr:spPr>
            <a:xfrm>
              <a:off x="7306163" y="34575994"/>
              <a:ext cx="2671565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𝑀_𝑦𝑟𝑜𝑜𝑡+∑▒〖(𝑤_𝑓𝑖𝑛𝑠 〗 𝑦_(0 𝑡𝑜 𝑙𝑖𝑓𝑡))−𝑦_𝑙𝑖𝑓𝑡 𝑃_𝑙𝑖𝑓𝑡=0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10</xdr:col>
      <xdr:colOff>80596</xdr:colOff>
      <xdr:row>210</xdr:row>
      <xdr:rowOff>181708</xdr:rowOff>
    </xdr:from>
    <xdr:to>
      <xdr:col>17</xdr:col>
      <xdr:colOff>420809</xdr:colOff>
      <xdr:row>225</xdr:row>
      <xdr:rowOff>177312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E58AC256-56E3-7D29-D00D-1CE817E804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38736" y="28739355"/>
          <a:ext cx="4763794" cy="2224668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428999</xdr:colOff>
      <xdr:row>19</xdr:row>
      <xdr:rowOff>164586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3.208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263 6 24575,'-49'-2'0,"29"0"0,3 1 0,-3 1 0,1 2 0,-30 6 0,45-7 0,1 1 0,-1 0 0,1 0 0,-1 1 0,1-1 0,0 2 0,-2-1 0,2 0 0,0 0 0,0 0 0,-3 5 0,5-6 0,1-1 0,-1 0 0,0 1 0,1-1 0,-1 0 0,1 0 0,-1 0 0,1 0 0,-1 1 0,1-1 0,0 0 0,-1 1 0,1-1 0,0 0 0,0 1 0,0-1 0,0 0 0,0 1 0,0 0 0,0 0 0,0-1 0,0 0 0,0 1 0,1-1 0,-1 0 0,0 1 0,1-1 0,-1 0 0,1 0 0,-1 0 0,1 1 0,-1-1 0,1 0 0,0 0 0,-1 0 0,1 0 0,0 0 0,0 0 0,0-1 0,-1 1 0,1 0 0,0 0 0,0-1 0,1 1 0,0 0 0,7 4 0,0-1 0,-1-1 0,2 0 0,12 4 0,-13-5 0,-1 1 0,-1 0 0,1-1 0,0 2 0,-1 0 0,16 10 0,-20-12 0,-3 0 0,1 0 0,1 0 0,-1 1 0,1-1 0,0 1 0,-1 0 0,1-1 0,-1 1 0,0-1 0,-1 1 0,1-1 0,0 1 0,0-1 0,-1 1 0,0 0 0,2 0 0,-2 0 0,0 0 0,0 0 0,0 1 0,0-1 0,0 1 0,-2 0 0,2-2 0,-1 1 0,1 0 0,-1 0 0,-1 4 0,1 0 0,-1 0 0,1-1 0,-2 2 0,1-1 0,-1-1 0,3 0 0,-4 2 0,1-2 0,0 0 0,-1 0 0,0 0 0,0-1 0,0 0 0,1 0 0,-2 0 0,0-1 0,0 1 0,0-1 0,0-1 0,2 2 0,-3-2 0,0-1 0,1 1 0,-2-1 0,-7 3 0,8-2 0,1-1 0,1 0 0,-1 0 0,0 1 0,0 0 0,1 0 0,-2 1 0,2 0 0,0 0 0,0 0 0,1 0 0,-2 1 0,-1 7 0,4-10 0,1-1 0,0 1 0,1 0 0,-1 0 0,0-1 0,1 1 0,-1 0 0,1 0 0,-1 0 0,1 0 0,0 0 0,-1 0 0,1 1 0,0-1 0,0 1 0,0-1 0,0 0 0,1 3 0,0-2 0,0-1 0,0 1 0,0-1 0,0-1 0,0 1 0,2 1 0,-2-1 0,-1 0 0,2 0 0,-1-1 0,1 1 0,1 0 0,-2-1 0,1 1 0,0-1 0,0 0 0,3 3 0,16 8 0,-11-6 0,1 0 0,-1 1 0,1 2 0,10 8 0,-19-14 0,0 1 0,2-1 0,-1 1 0,0 0 0,0 0 0,-1 0 0,0 0 0,0 1 0,1 0 0,-2 0 0,0 1 0,1-1 0,-1-1 0,0 2 0,2 8 0,-1 5 0,-1 0 0,0-1 0,-2 31 0,1-43 0,-1 1 0,0 0 0,0-1 0,-1 0 0,0 0 0,0 2 0,0 0 0,1-2 0,-2 0 0,0 0 0,1-1 0,-8 11 0,3-6 0,0 0 0,-1 1 0,-10 28 0,17-37 0,0 1 0,0-1 0,0 0 0,0 1 0,1-1 0,-1 0 0,1 0 0,-1 1 0,1-1 0,0 2 0,-1-1 0,1-1 0,0 1 0,0 0 0,0-1 0,0 1 0,1 0 0,-1-1 0,1 1 0,-1 1 0,1-2 0,-1 1 0,0-1 0,1 0 0,0 1 0,0-1 0,0 0 0,3 5 0,5 3 0,0-3 0,0 1 0,-1-1 0,2 0 0,0 0 0,0-1 0,19 8 0,-16-8 0,-1 0 0,2 1 0,-4 0 0,19 14 0,-28-20 0,1 0 0,-1 0 0,0 0 0,2 2 0,-2-2 0,0 0 0,-1 1 0,2 0 0,-1-1 0,0 1 0,1 0 0,-1-1 0,0 1 0,-1 0 0,1 0 0,-1 0 0,0 2 0,1-2 0,-1 0 0,1 0 0,-1 1 0,0-1 0,1 0 0,-1 0 0,0 0 0,0-1 0,0 2 0,-1-1 0,1 0 0,0 0 0,-1 0 0,1 0 0,-1 0 0,1 0 0,0 0 0,-1 0 0,1 0 0,-1 0 0,0 2 0,-1-2 0,1-1 0,0 1 0,0-1 0,-2 3 0,-2 2 0,1-1 0,-2-1 0,0 1 0,0-1 0,0 1 0,1-2 0,0 0 0,0 0 0,-2 0 0,0-1 0,-8 3 0,-1-3 0,4 0 0,-4 2 0,3 0 0,-2 1 0,-18 11 0,30-12 0,0-3 0,1 1 0,-1 0 0,0 1 0,0-1 0,1 1 0,-1-1 0,1 1 0,0 0 0,0 0 0,0 0 0,0 1 0,0-1 0,0 0 0,1 1 0,-2 0 0,2 0 0,0 0 0,0 0 0,0 0 0,0 0 0,0 0 0,1 0 0,-1 0 0,1 0 0,0 1 0,0-1 0,0 1 0,0 0 0,1 2 0,-1-3 0,1-2 0,-1 1 0,1-1 0,0 0 0,-1 0 0,1 1 0,0-1 0,0 0 0,0 0 0,1 0 0,-1 0 0,0 0 0,1 0 0,-1-1 0,0 1 0,1-1 0,-1 2 0,1-2 0,2 3 0,38 13 0,-37-16 0,0 1 0,0-1 0,0 1 0,0 0 0,1 0 0,0 1 0,-2 0 0,8 10 0,-3-2 0,-2 1 0,1 0 0,0 2 0,-1-2 0,-1 2 0,0 2 0,6 17 0,-12-32 0,1 0 0,-1 1 0,1 0 0,-1 0 0,0 0 0,0 0 0,0-1 0,0 2 0,0-1 0,0 0 0,0 0 0,0 0 0,-1 0 0,1 0 0,0-1 0,-1 1 0,1 0 0,-1 0 0,0-1 0,1 1 0,-1 1 0,-1-2 0,1 1 0,0-1 0,0 1 0,0-1 0,0 0 0,0 0 0,0 1 0,-4 0 0,-3 7 0,-2-2 0,1 0 0,-16 6 0,-2 2 0,22-13 0,2 1 0,0 1 0,0 0 0,0-1 0,-1 2 0,0-1 0,2 0 0,-1 0 0,-1 0 0,2 0 0,-1 1 0,1 0 0,-3 8 0,5-11 0,0-1 0,0 1 0,0 0 0,0 0 0,0-1 0,-1 1 0,1 0 0,0 0 0,0 0 0,1-1 0,-1 1 0,0 0 0,0 0 0,0-1 0,0 1 0,1 0 0,0 2 0,1-1 0,-1 1 0,0-1 0,1-1 0,0 0 0,-1 0 0,1 0 0,1 0 0,-1-1 0,0 1 0,0-1 0,1 0 0,-1 0 0,0 0 0,2 1 0,55 14 0,-1-1 0,-55-14 0,2 1 0,-2-1 0,0 1 0,1 0 0,-1 0 0,1 1 0,0-1 0,-2 1 0,1 0 0,0-1 0,0 2 0,4 6 0,-6-8 0,0 0 0,0 1 0,0-1 0,0 1 0,0-1 0,1 1 0,-1-1 0,-1 1 0,0-1 0,1 1 0,-1 0 0,1-1 0,-1 1 0,0 1 0,0-1 0,0-1 0,0 1 0,0 0 0,0 1 0,0-2 0,-1 1 0,1 0 0,-1 0 0,1-1 0,0 1 0,-4 3 0,3-3 0,-1 0 0,1-1 0,-1 1 0,-1-1 0,1 1 0,0-1 0,0 0 0,-1 0 0,0 0 0,1 1 0,-1-1 0,1-1 0,-2 1 0,1-1 0,0 0 0,0-1 0,0 1 0,-1-1 0,-1 1 0,-26-2 0,-29 3 0,58-2 0,0 1 0,-2-1 0,2 1 0,0 0 0,0 0 0,-2 0 0,2 0 0,1 0 0,-1 1 0,0-1 0,0 1 0,0 0 0,0-1 0,0 1 0,-1 1 0,2 0 0,-1-1 0,1 0 0,-4 4 0,4-1 0,0 0 0,0 0 0,0 0 0,0-1 0,1 1 0,-1 0 0,1 0 0,0-1 0,0 1 0,0 1 0,1-1 0,0 6 0,0-8 0,-1 1 0,1-2 0,-1 2 0,1 0 0,0-1 0,1 0 0,-1 0 0,0 2 0,0-2 0,1 0 0,-1 0 0,1 0 0,0-1 0,0 1 0,0-1 0,0 0 0,0 1 0,2 1 0,6 0 0,1-1 0,-2 0 0,2-1 0,0 0 0,0-1 0,0-1 0,-1 0 0,1-1 0,15-3 0,43 1 0,-68 2 0,1 1 0,-1 0 0,0 0 0,2 1 0,-2-1 0,0 0 0,0 1 0,0-1 0,2 1 0,-2-1 0,1 1 0,-1 0 0,0 0 0,0 0 0,1 0 0,0 0 0,-2 0 0,1 0 0,0 2 0,0-2 0,0 0 0,0 0 0,0 0 0,0 1 0,-1-1 0,2 1 0,-1 0 0,-1-1 0,1 1 0,-1 0 0,1 0 0,-1 0 0,0-1 0,0 1 0,0 0 0,0 1 0,0-1 0,0 1 0,0 2 0,0-2 0,-1 0 0,1 1 0,-1-1 0,0 1 0,-1-1 0,1 0 0,0-1 0,0 1 0,-1 0 0,1 0 0,0-1 0,-1 1 0,0-2 0,0 2 0,0-1 0,0 0 0,-1 0 0,1 0 0,1-1 0,-1 1 0,-2-1 0,-1 3 0,-26 7 0,0-2 0,1-1 0,-2-3 0,0-1 0,1-3 0,-32-2 0,58 1 0,-2 0 0,0 1 0,2 0 0,-1 0 0,-6 3 0,11-4 0,-2 1 0,2-1 0,0 2 0,0-2 0,0 1 0,-1 0 0,1 0 0,0 0 0,0 0 0,0 0 0,0 0 0,0-1 0,0 1 0,0 0 0,0 1 0,0-1 0,1 0 0,-1 1 0,-1-1 0,2 1 0,-1 0 0,0-1 0,1 1 0,0-1 0,-1 1 0,1 0 0,-1 2 0,2-3 0,-1 0 0,0 1 0,0-1 0,1 0 0,-1 0 0,0 0 0,1 0 0,-1 0 0,1 0 0,-1 0 0,2 0 0,-2 0 0,1 1 0,0-1 0,-1 0 0,1-1 0,0 1 0,0 0 0,-1-1 0,1 1 0,0 0 0,0-1 0,0 1 0,0-1 0,-1 0 0,3 2 0,29 8 0,-23-8 0,17 4 0,39 1 0,-39-6 0,37 9 0,-60-9-31,-1 1 0,0 0 0,0-1 0,2 0 0,-2 1 0,0 0 0,0 0 0,1 1 0,-1-1 0,1 0 0,-1 0 0,1 1 0,-2-1 0,0 1 0,0 0 0,1-1 0,-1 1 0,0 0 0,2 0 0,-2 0 0,0 1 0,-1 0 0,0 0 0,1-1-1,-1-1 1,1 2 0,-1-1 0,0 1 0,0 0 0,0-1 0,0 0 0,0 1 0,-1-1 0,1 0 0,-1 0 0,1 2 0,0-2 0,-1 0 0,0 0 0,-2 0 0,2 0 0,0 0 0,-3 3 0,-5 5-6795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7.828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0 717 24575,'8'-2'0,"-1"-1"0,1 1 0,-2-1 0,1 1 0,0-2 0,0-1 0,-1 1 0,1-1 0,7-5 0,8-8 0,287-169 0,-266 163 0,-10 6 0,2-3 0,52-41 0,-68 48 0,0 1 0,20-12 0,15-9 0,-19 14 0,45-26 0,-54 32 0,44-34 0,-19 11 0,-51 38 0,1-1 0,0 1 0,0-1 0,-1 1 0,1-1 0,0 1 0,-1 0 0,1-1 0,-1 1 0,2 0 0,-2-1 0,1 1 0,-1 0 0,1 0 0,-1 0 0,1 0 0,-1 0 0,0 0 0,1 0 0,-1 0 0,0-1 0,0 1 0,0 0 0,1 0 0,-1 0 0,0 0 0,0 0 0,0 2 0,5 42 0,-4-40 0,3 20 0,-5-35 0,-6-45 0,-10 7 0,15 42 0,0-2 0,-1 3 0,1-1 0,1 0 0,-1 0 0,1-9 0,1 13 0,0 1 0,0 0 0,0 0 0,0-2 0,0 2 0,0 0 0,0 0 0,0-1 0,1 1 0,-1 0 0,0 0 0,1 0 0,-1 0 0,1 0 0,0 0 0,-1 0 0,0 0 0,1 0 0,-1 0 0,1 1 0,0-1 0,1 0 0,-2 0 0,1 1 0,0-1 0,0 1 0,0-1 0,0 1 0,0-1 0,0 1 0,0 0 0,0 0 0,0 0 0,0-1 0,0 1 0,2 1 0,40-2 0,-34 2 0,5-1 0,-10 0 0,0 0 0,1 0 0,-2 0 0,1 1 0,0 0 0,0 0 0,0 0 0,7 3 0,-11-3 0,1-1 0,0 1 0,-1-1 0,1 1 0,-1-1 0,1 1 0,-1 0 0,1 0 0,-1-1 0,1 1 0,-1 0 0,0 0 0,1 0 0,-1-1 0,0 1 0,0 0 0,1 0 0,-1 0 0,0 1 0,0 0 0,0 1 0,0 0 0,0 0 0,0-1 0,-1 2 0,1-1 0,-1 0 0,0 0 0,1 0 0,-3 4 0,-5 14 0,-1-1 0,0-3 0,0 3 0,-1-2 0,-13 15 0,23-32 0,-1 0 0,1 0 0,-1 0 0,1-1 0,-1 1 0,1 0 0,-1 0 0,1-1 0,-1 1 0,-1-1 0,2 1 0,0-1 0,-1 1 0,0-1 0,1 1 0,-1-1 0,0 0 0,1 1 0,-1-1 0,0 0 0,1 0 0,-1 0 0,1 0 0,0 0 0,-1 0 0,0 0 0,1 0 0,-1 0 0,-1 0 0,0-1 0,1 0 0,1 0 0,-1 0 0,0-1 0,0 1 0,1 0 0,-1-1 0,0 1 0,1 0 0,-1-1 0,1 1 0,-1 0 0,1 0 0,-1-1 0,1 0 0,0 1 0,0-4 0,-1 2 0,1-1 0,-2 1 0,2 0 0,0 0 0,0 0 0,0 0 0,2 0 0,-2 0 0,0 0 0,1 0 0,-1 0 0,1 0 0,0 0 0,0 1 0,0-1 0,0-1 0,0 2 0,0-2 0,1 2 0,-1-1 0,3 0 0,2-1 0,5-1 0,-16 5 0,-15 9 0,7-6 0,22-19 0,-8 16 0,0-1 0,0-1 0,0 1 0,0 0 0,0 0 0,0 0 0,0-1 0,0 1 0,1-1 0,-2 1 0,1-1 0,0 1 0,-1-1 0,1 0 0,-1 1 0,0-1 0,0-2 0,1 3 0,-1-1 0,0 0 0,0 0 0,0 0 0,0 1 0,0-1 0,0 0 0,0 0 0,0 1 0,-1-1 0,1-3 0,-1 3 0,-1-1 0,-1 1 0,2 1 0,-1 0 0,0 0 0,0-1 0,0 1 0,0 0 0,-1 0 0,2 0 0,-1 0 0,-1 0 0,1 1 0,0-1 0,-1 1 0,1 0 0,-5 0 0,6 0 0,3 0 0,13 1 0,-12 0 0,0-1 0,-2 1 0,3-1 0,-1 1 0,-1 0 0,1 1 0,1-1 0,-2 1 0,0-1 0,-1 0 0,4 5 0,-2-3-136,-1 0-1,1 0 1,0 0-1,0 0 1,1-1-1,-1 1 1,0-1-1,0 0 0,4 4 1,3-3-6690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1.75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84 23849,'2596'-84'0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8.91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89 24575,'0'0'0,"0"5"0,4 9 0,1 12 0,-1 6 0,-2 1 0,0 1 0,0-2 0,-1-3 0,-1 1 0,0-4 0,0 0 0,0 0 0,-1-5-8191</inkml:trace>
  <inkml:trace contextRef="#ctx0" brushRef="#br0" timeOffset="2236.39">30 206 24575,'5'-5'0,"1"-1"0,-2 1 0,2 2 0,0-1 0,0-1 0,1 2 0,-3-1 0,3 2 0,-1-2 0,1 2 0,-2-1 0,13 1 0,12-2 0,45 4 0,-37 0 0,1244-1 0,-593 4 0,-480 11 0,-18-1 0,69 5 0,-170-10 0,115-8 0,-81-3 0,223 3-1365,-330 0-5461</inkml:trace>
  <inkml:trace contextRef="#ctx0" brushRef="#br0" timeOffset="3263.27">3695 1 24575,'-10'57'0,"3"-10"0,4 151-1,4-120-1363,-1-63-5462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50.40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0 123 24194,'5525'0'0,"-5709"-122"0,368 244 0,-368 3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9.35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0 23915,'0'2782'0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22.459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454 0 24434,'-454'1167'0,"620"-1328"0,-332 322 0,171-438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23:17.618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64 56 24575,'1'1'0,"-1"0"0,1-1 0,-1 1 0,0 0 0,1-1 0,-1 1 0,1 0 0,0-1 0,-1 1 0,1 0 0,0-1 0,-1 1 0,1-1 0,-1 0 0,0 1 0,1-1 0,0 1 0,0-1 0,-1 0 0,1 0 0,0 0 0,0 1 0,0-1 0,-1 0 0,1 0 0,-1 0 0,1 0 0,0 0 0,0 0 0,-1-1 0,1 1 0,1 0 0,-1 0 0,0 0 0,1-2 0,37-7 0,-35 7 0,-3 2 0,5-1 0,1 0 0,0-1 0,-2-1 0,1 1 0,0-1 0,0 0 0,0 1 0,-2-1 0,2 0 0,-1-1 0,0-1 0,0 1 0,0 0 0,7-8 0,-14 11 0,0 1 0,0 0 0,0 0 0,0 0 0,1 0 0,-1 0 0,1 0 0,-1 0 0,0 1 0,0-1 0,1 1 0,-4 1 0,-32 13 0,1 3 0,0 2 0,-51 35 0,84-47 0,13-1 0,25 1 0,-8-2 0,-19 1 0,3-1 0,-3 1 0,0 1 0,1 0 0,0 0 0,-2-1 0,-1 2 0,13 17 0,0 0 0,2 2-1365,-12-18-5461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7.67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1 117 24575,'7'-1'0,"0"-1"0,0 0 0,0 1 0,0-2 0,0 0 0,0 0 0,0 0 0,6-4 0,7-4 0,-10 6 0,-1 0 0,0-1 0,-1 0 0,12-11 0,-12 10 0,-1 2 0,1-2 0,1 2 0,16-10 0,-22 15 0,0-1 0,-1 0 0,1 1 0,0 0 0,0-1 0,-1 1 0,1 0 0,0 0 0,0 1 0,-1-1 0,1 1 0,0-1 0,-1 1 0,1 0 0,4 2 0,43 20 0,-29-12 0,17 7-1365,-23-10-5461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42.57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24575,'3'1'0,"0"1"0,1-1 0,-1 1 0,0 0 0,-1 0 0,2-1 0,-1 1 0,-1 1 0,1-1 0,-1 1 0,3 3 0,4 2 0,17 15 0,-11-8 0,2-2 0,-1 0 0,1 0 0,25 14 0,-37-26 0,-2 1 0,1 0 0,-1 0 0,1-1 0,0 0 0,0 1 0,0-1 0,0 0 0,0-1 0,0 1 0,1-1 0,-1 0 0,0 0 0,0 0 0,0 0 0,0-1 0,0 0 0,0 1 0,0-2 0,0 1 0,1 0 0,-2-1 0,1 1 0,0-1 0,-1 0 0,1 0 0,-1 0 0,5-5 0,37-37 0,-42 42 0,0-1 0,-1 1 0,0-1 0,-1 1 0,1 0 0,-1-1 0,1 0 0,-1 0 0,0 0 0,0 0 0,0 0 0,0 1 0,0-1 0,-1 0 0,0-1 0,1-5 0,-1 9 0,-1 0 0,1 0 0,0-1 0,0 1 0,-1-1 0,1 1 0,0-1 0,-1 1 0,1 0 0,0-1 0,-1 1 0,1-1 0,-1 1 0,1 0 0,0-1 0,-1 1 0,1 0 0,-1 0 0,1-1 0,-1 1 0,1 0 0,-1 0 0,1 0 0,-1 0 0,0 0 0,1 0 0,-1 0 0,1 0 0,-1 0 0,1 0 0,-1 0 0,1 0 0,-1 0 0,1 0 0,-1 0 0,1 0 0,-1 1 0,1-1 0,-1 0 0,1 0 0,-2 1 0,2-1 0,-1 0 0,1 0 0,0 1 0,-1-1 0,0 1 0,-21 16 0,-27 48 111,38-50-603,1 0 0,-23 24 0,21-28-6334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20:48:04.228"/>
    </inkml:context>
    <inkml:brush xml:id="br0">
      <inkml:brushProperty name="width" value="0.035" units="cm"/>
      <inkml:brushProperty name="height" value="0.035" units="cm"/>
      <inkml:brushProperty name="color" value="#4624D6"/>
    </inkml:brush>
  </inkml:definitions>
  <inkml:trace contextRef="#ctx0" brushRef="#br0">267 7 24575,'-51'-3'0,"32"1"0,1 1 0,-1 1 0,-1 2 0,-29 7 0,44-8 0,2 2 0,-2-1 0,2 0 0,0 2 0,-1-2 0,1 2 0,-1 0 0,0-1 0,1-1 0,2 4 0,-6 2 0,6-7 0,1 0 0,-1 0 0,0 2 0,1-2 0,-2 0 0,2 0 0,-1 0 0,1 0 0,-1 1 0,1 0 0,0-1 0,-1 1 0,1-1 0,0 0 0,0 1 0,0 0 0,0-1 0,0 1 0,0-1 0,0 1 0,0 1 0,0-2 0,0 1 0,1-1 0,-1 0 0,0 1 0,1 0 0,-1-1 0,1 0 0,-1 0 0,2 1 0,-2-1 0,1 0 0,0 1 0,-1-1 0,1 0 0,0 0 0,0 0 0,0-1 0,-1 1 0,1-1 0,0 2 0,1-2 0,-1 1 0,0 0 0,8 4 0,1 1 0,-2-2 0,2 0 0,13 3 0,-15-4 0,1-1 0,-2 2 0,2-2 0,-1 2 0,-2 1 0,17 10 0,-21-13 0,0 0 0,-1 0 0,2 0 0,-2 1 0,1-1 0,-1 0 0,0 2 0,1-2 0,0 4 0,-1-4 0,-1 1 0,0 1 0,1-1 0,0-1 0,-1 2 0,0-1 0,1 0 0,-1 1 0,0-1 0,0 1 0,0-1 0,0 1 0,0 0 0,-1-1 0,1-1 0,-1 2 0,1-1 0,-1 1 0,0 2 0,-1 2 0,0 1 0,1-1 0,-1 0 0,0 0 0,-2 0 0,2-2 0,-1 1 0,0 0 0,0 0 0,0-1 0,-2 0 0,2 1 0,-2 0 0,2-2 0,-1 1 0,-2-2 0,2 2 0,-2-2 0,3-1 0,-3 2 0,0-2 0,1-1 0,0 2 0,-1-2 0,-10 4 0,10-3 0,1-1 0,0 0 0,1 1 0,-2 0 0,2 0 0,-1 2 0,1-1 0,-1 1 0,1-1 0,-1 1 0,2-1 0,-1 1 0,-3 8 0,6-10 0,-1-2 0,1 1 0,1 0 0,-1 1 0,0-2 0,1 1 0,-1 0 0,1 1 0,-1-1 0,1 0 0,0 0 0,-1 1 0,1-1 0,0 0 0,0 0 0,0 2 0,0-2 0,1 4 0,0-3 0,0-1 0,0 3 0,0-4 0,0 1 0,1 0 0,0 2 0,-1-2 0,0 0 0,1 1 0,-1-2 0,1 1 0,0 0 0,-1-1 0,1 2 0,0-2 0,1 0 0,2 2 0,15 10 0,-10-7 0,3 2 0,-3 1 0,1-1 0,10 11 0,-17-15 0,-2 0 0,0 0 0,2 1 0,-1 0 0,-1-1 0,0 1 0,1-1 0,-1 2 0,0-2 0,0 2 0,-2 0 0,3-1 0,-2 0 0,0 2 0,1 11 0,0 2 0,-1 1 0,1 0 0,-4 33 0,2-48 0,-1 2 0,0 0 0,0-1 0,0 2 0,-1-2 0,-1 1 0,2-3 0,-1 2 0,0 0 0,-2 1 0,2-3 0,-8 13 0,3-6 0,0 0 0,-1 0 0,-10 30 0,17-40 0,0 2 0,0-2 0,-1 0 0,2 2 0,-1-2 0,0 1 0,1 0 0,-1 0 0,1-1 0,0 2 0,-1-1 0,1-1 0,0 2 0,0-1 0,0-1 0,0 2 0,1-1 0,-1-1 0,1 3 0,-1-2 0,1 0 0,-1 0 0,1-1 0,-1 0 0,2 2 0,-1-1 0,0-1 0,3 5 0,5 2 0,-1 0 0,1 0 0,0-1 0,1 0 0,1 1 0,-2-2 0,21 7 0,-17-8 0,0 1 0,-1 2 0,0 0 0,16 13 0,-27-19 0,1-2 0,-1 0 0,0 0 0,1 1 0,0-1 0,-1 0 0,0 2 0,0-1 0,0-1 0,0 1 0,0 1 0,1-3 0,-1 2 0,-1 0 0,1 1 0,0-1 0,-1 1 0,1-1 0,-1 1 0,1-1 0,-1 1 0,0 0 0,1-1 0,-1 0 0,0 0 0,0 1 0,0 0 0,-1-1 0,1 0 0,0 1 0,-1-1 0,1 0 0,-1 1 0,1-1 0,-1 0 0,0 0 0,1 1 0,-1 0 0,-1-1 0,1 0 0,0 0 0,0 1 0,1-3 0,-5 4 0,1 3 0,-2-1 0,1-2 0,0 2 0,0-1 0,-1-1 0,1-1 0,-1 1 0,0-1 0,0 1 0,0-1 0,-11 3 0,3-4 0,0 0 0,-1 4 0,1-3 0,1 3 0,-22 12 0,32-16 0,0-1 0,0 1 0,1 1 0,-2 0 0,1 0 0,1 1 0,-2-2 0,2 1 0,1 1 0,-1-1 0,0 1 0,-1 0 0,1-1 0,0 1 0,1-1 0,-1 3 0,0-3 0,1 2 0,0-1 0,0 2 0,0-2 0,0 1 0,1-1 0,0 1 0,0-1 0,0 2 0,0-1 0,0-1 0,0 1 0,0 3 0,0-4 0,1-2 0,-1 3 0,1-3 0,0 0 0,-1 1 0,1 0 0,0-1 0,1 0 0,-1 1 0,0-1 0,0 0 0,0 1 0,1-1 0,-1-1 0,0 1 0,2-1 0,-2 2 0,1-2 0,1 3 0,40 16 0,-37-19 0,-1 1 0,2-1 0,-4 1 0,3 2 0,-1-2 0,1 1 0,-1 2 0,7 6 0,-4 1 0,1 3 0,-2-2 0,0 2 0,1 2 0,-1-1 0,-3-2 0,9 23 0,-13-36 0,1 1 0,-1 0 0,1 0 0,-1 2 0,0-2 0,0 0 0,0-1 0,0 2 0,0-1 0,0 0 0,0 0 0,0 1 0,-1-1 0,1 0 0,0-1 0,-1 2 0,1-1 0,-2 0 0,1-1 0,1 2 0,-1-1 0,0-1 0,0 1 0,0-1 0,0 2 0,0-2 0,0 0 0,-1 0 0,1 1 0,-2 0 0,-6 8 0,-1-4 0,2 2 0,-19 10 0,0-2 0,24-14 0,0 2 0,-2-1 0,2 2 0,-1-2 0,0 1 0,2 1 0,-1-1 0,0 1 0,0 1 0,0-2 0,0 3 0,1-2 0,-3 8 0,5-11 0,0-1 0,-1 2 0,1-1 0,0 0 0,0-1 0,-1 1 0,1 1 0,0-1 0,0 0 0,1-1 0,-1 3 0,0-2 0,0 0 0,1-1 0,-1 2 0,0-1 0,2 2 0,0 0 0,-1-2 0,0 1 0,1 0 0,0-1 0,0 0 0,0 0 0,0 2 0,0-3 0,0 1 0,0 0 0,0-1 0,0 1 0,0-1 0,3 1 0,53 15 0,3-1 0,-58-15 0,1 1 0,0-1 0,-1 2 0,0-1 0,0 0 0,0 1 0,0 0 0,1 0 0,-1 1 0,-1-2 0,2 2 0,3 7 0,-6-7 0,0-2 0,1 0 0,-1 1 0,0 0 0,0-1 0,0 2 0,1-2 0,-2 1 0,1 0 0,0 0 0,-1 1 0,1-1 0,-1 0 0,0 0 0,0 2 0,0-3 0,0 1 0,0 1 0,0-1 0,0-1 0,-1 2 0,1-2 0,-1 3 0,0-3 0,1 1 0,-4 4 0,3-4 0,-1 1 0,0-2 0,-1 2 0,1-2 0,1 2 0,-2-2 0,0 1 0,1-1 0,-1 0 0,1-1 0,-2 2 0,2-2 0,0 1 0,-2-1 0,2 0 0,-1-1 0,-1 1 0,1-1 0,-3 2 0,-25-4 0,-29 5 0,57-3 0,1 1 0,-1-1 0,1 1 0,-1 0 0,1 0 0,0 0 0,0 0 0,-1 1 0,1 0 0,0-1 0,0 1 0,-1-1 0,1 1 0,0 0 0,0 1 0,2 0 0,-3 0 0,2-1 0,-3 6 0,3-3 0,0 1 0,-1-1 0,1 0 0,0 1 0,1 0 0,-1-1 0,1 1 0,0-2 0,0 2 0,0 0 0,1-1 0,0 9 0,0-11 0,-1 2 0,2-2 0,-2 0 0,1 2 0,0-2 0,0 1 0,0-1 0,0 2 0,0-2 0,1 0 0,0 0 0,-1 0 0,0-1 0,1 2 0,0-2 0,1 0 0,-1 2 0,2 0 0,6 2 0,2-3 0,-3 1 0,2-2 0,-1 0 0,2-1 0,-2-1 0,1 0 0,0-1 0,15-3 0,44 0 0,-69 3 0,1 1 0,-1 0 0,0 0 0,1 1 0,-1-1 0,1 0 0,-1 1 0,0-1 0,1 1 0,0-1 0,0 2 0,-1-1 0,0 0 0,0 0 0,1 0 0,-1 0 0,1 0 0,-1 0 0,0 3 0,-1-3 0,1 0 0,0 1 0,0-1 0,0 2 0,-1-2 0,1 1 0,1 0 0,-2-1 0,1 2 0,-1-1 0,1 0 0,-1 0 0,0 0 0,1-1 0,-1 1 0,0 0 0,0 1 0,0-1 0,0 4 0,-1-3 0,0 0 0,1 1 0,-1 0 0,-1 2 0,1-3 0,0 0 0,0 0 0,0 0 0,0 0 0,0 1 0,-2-2 0,2 1 0,-1 0 0,0 0 0,0-1 0,-1 1 0,1-2 0,0 1 0,0-1 0,1 2 0,-3-2 0,-1 2 0,-27 10 0,2-3 0,-1-3 0,-1 0 0,0-2 0,0-4 0,-33-2 0,60 1 0,-2 0 0,1 1 0,1 0 0,-2 0 0,-5 4 0,11-5 0,-1 1 0,0-1 0,1 1 0,0-1 0,0 1 0,-1 0 0,1 0 0,0 0 0,-1 0 0,1 2 0,0-2 0,1-1 0,-1 1 0,0 0 0,0 1 0,0-1 0,1 1 0,-1 0 0,-1-1 0,2 2 0,-1 0 0,0-2 0,1 1 0,0-1 0,-1 1 0,1 1 0,-1 1 0,2-3 0,-1 0 0,0 2 0,0-2 0,1 0 0,-1 0 0,0 0 0,1 0 0,-1 0 0,1 1 0,-1-1 0,2 0 0,-2 0 0,1 0 0,0 0 0,-1 0 0,1-1 0,0 1 0,0 1 0,-1-2 0,0 2 0,1-1 0,0-1 0,1 2 0,-1-2 0,-1 0 0,3 1 0,31 10 0,-26-8 0,18 1 0,40 4 0,-40-6 0,39 10 0,-63-11-31,1 0 0,-1 1 0,0-1 0,2 1 0,-2 0 0,0 0 0,0 0 0,0 2 0,1-2 0,-2 0 0,1 0 0,0 2 0,-1-2 0,2 1 0,-2 2 0,1-3 0,-1 1 0,0 1 0,1-2 0,0 2 0,-1-1 0,-1 0 0,1 2 0,0-2-1,-1 2 1,0-1 0,0 0 0,0-1 0,0 2 0,0-2 0,0 0 0,0 2 0,0-2 0,0 1 0,-1-1 0,0 2 0,1-1 0,-1-2 0,-1 2 0,0 0 0,1-1 0,0 1 0,-3 3 0,-4 5-6795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4.xml"/><Relationship Id="rId3" Type="http://schemas.openxmlformats.org/officeDocument/2006/relationships/hyperlink" Target="https://www.fibraq.com/collections/material-para-vacio-e-infusion/products/pelicula-antiadherente-malla-de-sangrado" TargetMode="External"/><Relationship Id="rId7" Type="http://schemas.openxmlformats.org/officeDocument/2006/relationships/vmlDrawing" Target="../drawings/vmlDrawing5.vml"/><Relationship Id="rId2" Type="http://schemas.openxmlformats.org/officeDocument/2006/relationships/hyperlink" Target="https://www.fibraq.com/collections/material-para-vacio-e-infusion/products/tubo-de-absorcion-pebd-de-infusion-o-10-x-12-mm" TargetMode="External"/><Relationship Id="rId1" Type="http://schemas.openxmlformats.org/officeDocument/2006/relationships/hyperlink" Target="https://courses.hardhatengineer.com/courses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ibraq.com/collections/material-para-vacio-e-infusion/products/toma-de-infusion-para-vacio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95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95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95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95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95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95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95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95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95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96" t="s">
        <v>113</v>
      </c>
      <c r="D243" s="397"/>
      <c r="E243" s="397"/>
      <c r="F243" s="397"/>
      <c r="G243" s="398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96" t="s">
        <v>123</v>
      </c>
      <c r="D247" s="397"/>
      <c r="E247" s="397"/>
      <c r="F247" s="397"/>
      <c r="G247" s="398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99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400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95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95"/>
      <c r="B264" s="158" t="s">
        <v>136</v>
      </c>
      <c r="L264" s="149"/>
    </row>
    <row r="265" spans="1:12" ht="13" thickBot="1">
      <c r="A265" s="395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tabSelected="1" workbookViewId="0">
      <selection activeCell="E5" sqref="E5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401" t="s">
        <v>182</v>
      </c>
      <c r="C2" s="402"/>
    </row>
    <row r="3" spans="2:22">
      <c r="B3" s="3" t="s">
        <v>561</v>
      </c>
      <c r="C3" s="4">
        <v>1.62</v>
      </c>
    </row>
    <row r="4" spans="2:22">
      <c r="B4" s="3" t="s">
        <v>1040</v>
      </c>
      <c r="C4" s="4">
        <v>9.3223000000000003</v>
      </c>
    </row>
    <row r="5" spans="2:22">
      <c r="B5" s="164" t="s">
        <v>562</v>
      </c>
      <c r="C5" s="165">
        <v>15</v>
      </c>
    </row>
    <row r="6" spans="2:22">
      <c r="B6" s="164" t="s">
        <v>563</v>
      </c>
      <c r="C6" s="165">
        <v>10</v>
      </c>
    </row>
    <row r="7" spans="2:22">
      <c r="B7" s="164" t="s">
        <v>564</v>
      </c>
      <c r="C7" s="165">
        <v>40</v>
      </c>
    </row>
    <row r="8" spans="2:22">
      <c r="B8" s="164" t="s">
        <v>560</v>
      </c>
      <c r="C8" s="189">
        <f>(PI()*(DiameterRocket/100)^2)/4</f>
        <v>6.8255245173111968E-3</v>
      </c>
    </row>
    <row r="9" spans="2:22" ht="15" thickBot="1">
      <c r="B9" s="5" t="s">
        <v>1041</v>
      </c>
      <c r="C9" s="6">
        <v>10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405" t="s">
        <v>185</v>
      </c>
      <c r="D12" s="406"/>
      <c r="E12" s="406"/>
      <c r="F12" s="406"/>
      <c r="G12" s="407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405" t="s">
        <v>189</v>
      </c>
      <c r="P12" s="406"/>
      <c r="Q12" s="406"/>
      <c r="R12" s="406"/>
      <c r="S12" s="407"/>
      <c r="T12" s="1" t="s">
        <v>186</v>
      </c>
      <c r="U12" s="1" t="s">
        <v>187</v>
      </c>
      <c r="V12" s="1" t="s">
        <v>188</v>
      </c>
    </row>
    <row r="13" spans="2:22">
      <c r="B13" s="403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403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404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0.29132187500000006</v>
      </c>
      <c r="J14" s="1">
        <f t="shared" ref="J14:J22" si="1">I14*-1</f>
        <v>-0.29132187500000006</v>
      </c>
      <c r="L14" s="63"/>
      <c r="M14" s="63"/>
      <c r="N14" s="404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0.57663421503632151</v>
      </c>
      <c r="V14" s="1">
        <f>-U14</f>
        <v>-0.57663421503632151</v>
      </c>
    </row>
    <row r="15" spans="2:22">
      <c r="B15" s="404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0.87396562500000008</v>
      </c>
      <c r="J15" s="1">
        <f t="shared" si="1"/>
        <v>-0.87396562500000008</v>
      </c>
      <c r="L15" s="63"/>
      <c r="M15" s="63"/>
      <c r="N15" s="404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1.6095003057301938</v>
      </c>
      <c r="V15" s="1">
        <f t="shared" ref="V15:V22" si="3">-U15</f>
        <v>-1.6095003057301938</v>
      </c>
    </row>
    <row r="16" spans="2:22">
      <c r="B16" s="404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1.4566093750000002</v>
      </c>
      <c r="J16" s="1">
        <f t="shared" si="1"/>
        <v>-1.4566093750000002</v>
      </c>
      <c r="L16" s="63"/>
      <c r="M16" s="63"/>
      <c r="N16" s="404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2.4860336098093825</v>
      </c>
      <c r="V16" s="1">
        <f t="shared" si="3"/>
        <v>-2.4860336098093825</v>
      </c>
    </row>
    <row r="17" spans="2:22">
      <c r="B17" s="404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2.0392531250000001</v>
      </c>
      <c r="J17" s="1">
        <f t="shared" si="1"/>
        <v>-2.0392531250000001</v>
      </c>
      <c r="L17" s="63"/>
      <c r="M17" s="63"/>
      <c r="N17" s="404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3.2104539046127201</v>
      </c>
      <c r="V17" s="1">
        <f t="shared" si="3"/>
        <v>-3.2104539046127201</v>
      </c>
    </row>
    <row r="18" spans="2:22">
      <c r="B18" s="404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2.6218968750000005</v>
      </c>
      <c r="J18" s="1">
        <f t="shared" si="1"/>
        <v>-2.6218968750000005</v>
      </c>
      <c r="L18" s="63"/>
      <c r="M18" s="63"/>
      <c r="N18" s="404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3.7861345862472433</v>
      </c>
      <c r="V18" s="1">
        <f t="shared" si="3"/>
        <v>-3.7861345862472433</v>
      </c>
    </row>
    <row r="19" spans="2:22">
      <c r="B19" s="404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3.2045406250000004</v>
      </c>
      <c r="J19" s="1">
        <f t="shared" si="1"/>
        <v>-3.2045406250000004</v>
      </c>
      <c r="L19" s="63"/>
      <c r="M19" s="63"/>
      <c r="N19" s="404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4.2156855164324014</v>
      </c>
      <c r="V19" s="1">
        <f t="shared" si="3"/>
        <v>-4.2156855164324014</v>
      </c>
    </row>
    <row r="20" spans="2:22">
      <c r="B20" s="404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3.7871843750000003</v>
      </c>
      <c r="J20" s="1">
        <f t="shared" si="1"/>
        <v>-3.7871843750000003</v>
      </c>
      <c r="L20" s="63"/>
      <c r="M20" s="63"/>
      <c r="N20" s="404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4.50101436759455</v>
      </c>
      <c r="V20" s="1">
        <f t="shared" si="3"/>
        <v>-4.50101436759455</v>
      </c>
    </row>
    <row r="21" spans="2:22">
      <c r="B21" s="404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4.3698281250000006</v>
      </c>
      <c r="J21" s="1">
        <f t="shared" si="1"/>
        <v>-4.3698281250000006</v>
      </c>
      <c r="L21" s="63"/>
      <c r="M21" s="63"/>
      <c r="N21" s="404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4.6433699619850444</v>
      </c>
      <c r="V21" s="1">
        <f t="shared" si="3"/>
        <v>-4.6433699619850444</v>
      </c>
    </row>
    <row r="22" spans="2:22" ht="15" thickBot="1">
      <c r="B22" s="404"/>
      <c r="C22" s="73"/>
      <c r="D22" s="63"/>
      <c r="E22" s="63"/>
      <c r="F22" s="63"/>
      <c r="G22" s="74"/>
      <c r="H22" s="1">
        <f>D26</f>
        <v>30</v>
      </c>
      <c r="I22" s="1">
        <f t="shared" si="0"/>
        <v>4.661150000000001</v>
      </c>
      <c r="J22" s="1">
        <f t="shared" si="1"/>
        <v>-4.661150000000001</v>
      </c>
      <c r="L22" s="63"/>
      <c r="M22" s="63"/>
      <c r="N22" s="408"/>
      <c r="O22" s="73"/>
      <c r="P22" s="63"/>
      <c r="Q22" s="63"/>
      <c r="R22" s="63"/>
      <c r="S22" s="74"/>
      <c r="T22" s="1">
        <f>P26</f>
        <v>30</v>
      </c>
      <c r="U22" s="1">
        <f t="shared" si="2"/>
        <v>4.6611500000000063</v>
      </c>
      <c r="V22" s="1">
        <f t="shared" si="3"/>
        <v>-4.6611500000000063</v>
      </c>
    </row>
    <row r="23" spans="2:22" ht="14.5" customHeight="1">
      <c r="B23" s="412" t="s">
        <v>191</v>
      </c>
      <c r="C23" s="65"/>
      <c r="D23" s="64" t="s">
        <v>186</v>
      </c>
      <c r="E23" s="64"/>
      <c r="F23" s="64"/>
      <c r="G23" s="64"/>
      <c r="K23" s="410"/>
      <c r="N23" s="411" t="s">
        <v>191</v>
      </c>
      <c r="O23" s="65" t="s">
        <v>192</v>
      </c>
      <c r="P23" s="64">
        <f>((P25/2)^2+P26^2)/(2*(P25/2))</f>
        <v>98.873273690237383</v>
      </c>
      <c r="Q23" s="64"/>
      <c r="R23" s="64"/>
      <c r="S23" s="64"/>
    </row>
    <row r="24" spans="2:22">
      <c r="B24" s="412"/>
      <c r="C24" s="66" t="s">
        <v>193</v>
      </c>
      <c r="D24" s="1">
        <f>(F25/2)/(F26)</f>
        <v>0.15537166666666669</v>
      </c>
      <c r="K24" s="410"/>
      <c r="N24" s="412"/>
      <c r="O24" s="66" t="s">
        <v>193</v>
      </c>
      <c r="P24" s="1" t="s">
        <v>194</v>
      </c>
    </row>
    <row r="25" spans="2:22">
      <c r="B25" s="412"/>
      <c r="C25" s="66" t="s">
        <v>195</v>
      </c>
      <c r="D25" s="1">
        <f>DiameterRocket</f>
        <v>9.3223000000000003</v>
      </c>
      <c r="E25" s="1" t="s">
        <v>196</v>
      </c>
      <c r="F25" s="1">
        <f>D25/100</f>
        <v>9.3223E-2</v>
      </c>
      <c r="G25" s="1" t="s">
        <v>197</v>
      </c>
      <c r="K25" s="410"/>
      <c r="N25" s="412"/>
      <c r="O25" s="66" t="s">
        <v>195</v>
      </c>
      <c r="P25" s="1">
        <f>DiameterRocket</f>
        <v>9.3223000000000003</v>
      </c>
      <c r="Q25" s="1" t="s">
        <v>196</v>
      </c>
      <c r="R25" s="1">
        <f>P25/100</f>
        <v>9.3223E-2</v>
      </c>
      <c r="S25" s="1" t="s">
        <v>197</v>
      </c>
    </row>
    <row r="26" spans="2:22" ht="14.5" customHeight="1">
      <c r="B26" s="412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410"/>
      <c r="N26" s="412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413" t="s">
        <v>200</v>
      </c>
      <c r="D27" s="413"/>
      <c r="E27" s="413"/>
      <c r="F27" s="413"/>
      <c r="G27" s="413"/>
      <c r="L27" s="63"/>
      <c r="M27" s="63"/>
      <c r="N27" s="2" t="s">
        <v>199</v>
      </c>
      <c r="O27" s="413" t="s">
        <v>200</v>
      </c>
      <c r="P27" s="413"/>
      <c r="Q27" s="413"/>
      <c r="R27" s="413"/>
      <c r="S27" s="413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403" t="s">
        <v>203</v>
      </c>
      <c r="C31" s="401"/>
      <c r="D31" s="414"/>
      <c r="E31" s="414"/>
      <c r="F31" s="414"/>
      <c r="G31" s="402"/>
      <c r="H31" s="1">
        <f>H22</f>
        <v>30</v>
      </c>
      <c r="I31" s="1">
        <f>$D$42/2</f>
        <v>4.6611500000000001</v>
      </c>
      <c r="J31" s="1">
        <f>I31*-1</f>
        <v>-4.6611500000000001</v>
      </c>
    </row>
    <row r="32" spans="2:22">
      <c r="B32" s="404"/>
      <c r="C32" s="415"/>
      <c r="D32" s="409"/>
      <c r="E32" s="409"/>
      <c r="F32" s="409"/>
      <c r="G32" s="416"/>
      <c r="H32" s="12">
        <f>(D43/8/2)+H31</f>
        <v>36.25</v>
      </c>
      <c r="I32" s="1">
        <f t="shared" ref="I32:I40" si="6">$D$42/2</f>
        <v>4.6611500000000001</v>
      </c>
      <c r="J32" s="1">
        <f t="shared" ref="J32:J40" si="7">I32*-1</f>
        <v>-4.6611500000000001</v>
      </c>
    </row>
    <row r="33" spans="2:24">
      <c r="B33" s="404"/>
      <c r="C33" s="415"/>
      <c r="D33" s="409"/>
      <c r="E33" s="409"/>
      <c r="F33" s="409"/>
      <c r="G33" s="416"/>
      <c r="H33" s="12">
        <f>($D$43/8/2)*2+(H32)</f>
        <v>48.75</v>
      </c>
      <c r="I33" s="1">
        <f t="shared" si="6"/>
        <v>4.6611500000000001</v>
      </c>
      <c r="J33" s="1">
        <f t="shared" si="7"/>
        <v>-4.6611500000000001</v>
      </c>
    </row>
    <row r="34" spans="2:24">
      <c r="B34" s="404"/>
      <c r="C34" s="415"/>
      <c r="D34" s="409"/>
      <c r="E34" s="409"/>
      <c r="F34" s="409"/>
      <c r="G34" s="416"/>
      <c r="H34" s="12">
        <f t="shared" ref="H34:H39" si="8">($D$43/8/2)*2+(H33)</f>
        <v>61.25</v>
      </c>
      <c r="I34" s="1">
        <f t="shared" si="6"/>
        <v>4.6611500000000001</v>
      </c>
      <c r="J34" s="1">
        <f t="shared" si="7"/>
        <v>-4.6611500000000001</v>
      </c>
    </row>
    <row r="35" spans="2:24">
      <c r="B35" s="404"/>
      <c r="C35" s="415"/>
      <c r="D35" s="409"/>
      <c r="E35" s="409"/>
      <c r="F35" s="409"/>
      <c r="G35" s="416"/>
      <c r="H35" s="12">
        <f t="shared" si="8"/>
        <v>73.75</v>
      </c>
      <c r="I35" s="1">
        <f t="shared" si="6"/>
        <v>4.6611500000000001</v>
      </c>
      <c r="J35" s="1">
        <f t="shared" si="7"/>
        <v>-4.6611500000000001</v>
      </c>
    </row>
    <row r="36" spans="2:24">
      <c r="B36" s="404"/>
      <c r="C36" s="415"/>
      <c r="D36" s="409"/>
      <c r="E36" s="409"/>
      <c r="F36" s="409"/>
      <c r="G36" s="416"/>
      <c r="H36" s="12">
        <f t="shared" si="8"/>
        <v>86.25</v>
      </c>
      <c r="I36" s="1">
        <f t="shared" si="6"/>
        <v>4.6611500000000001</v>
      </c>
      <c r="J36" s="1">
        <f t="shared" si="7"/>
        <v>-4.6611500000000001</v>
      </c>
    </row>
    <row r="37" spans="2:24">
      <c r="B37" s="404"/>
      <c r="C37" s="415"/>
      <c r="D37" s="409"/>
      <c r="E37" s="409"/>
      <c r="F37" s="409"/>
      <c r="G37" s="416"/>
      <c r="H37" s="12">
        <f t="shared" si="8"/>
        <v>98.75</v>
      </c>
      <c r="I37" s="1">
        <f t="shared" si="6"/>
        <v>4.6611500000000001</v>
      </c>
      <c r="J37" s="1">
        <f t="shared" si="7"/>
        <v>-4.6611500000000001</v>
      </c>
    </row>
    <row r="38" spans="2:24">
      <c r="B38" s="404"/>
      <c r="C38" s="415"/>
      <c r="D38" s="409"/>
      <c r="E38" s="409"/>
      <c r="F38" s="409"/>
      <c r="G38" s="416"/>
      <c r="H38" s="12">
        <f t="shared" si="8"/>
        <v>111.25</v>
      </c>
      <c r="I38" s="1">
        <f t="shared" si="6"/>
        <v>4.6611500000000001</v>
      </c>
      <c r="J38" s="1">
        <f t="shared" si="7"/>
        <v>-4.6611500000000001</v>
      </c>
    </row>
    <row r="39" spans="2:24" ht="14.5" customHeight="1">
      <c r="B39" s="404"/>
      <c r="C39" s="415"/>
      <c r="D39" s="409"/>
      <c r="E39" s="409"/>
      <c r="F39" s="409"/>
      <c r="G39" s="416"/>
      <c r="H39" s="12">
        <f t="shared" si="8"/>
        <v>123.75</v>
      </c>
      <c r="I39" s="1">
        <f t="shared" si="6"/>
        <v>4.6611500000000001</v>
      </c>
      <c r="J39" s="1">
        <f t="shared" si="7"/>
        <v>-4.6611500000000001</v>
      </c>
    </row>
    <row r="40" spans="2:24" ht="15" thickBot="1">
      <c r="B40" s="408"/>
      <c r="C40" s="417"/>
      <c r="D40" s="418"/>
      <c r="E40" s="418"/>
      <c r="F40" s="418"/>
      <c r="G40" s="419"/>
      <c r="H40" s="12">
        <f>D43+H22</f>
        <v>130</v>
      </c>
      <c r="I40" s="1">
        <f t="shared" si="6"/>
        <v>4.6611500000000001</v>
      </c>
      <c r="J40" s="1">
        <f t="shared" si="7"/>
        <v>-4.6611500000000001</v>
      </c>
    </row>
    <row r="41" spans="2:24" ht="29">
      <c r="B41" s="413" t="s">
        <v>191</v>
      </c>
      <c r="C41" s="1" t="s">
        <v>204</v>
      </c>
      <c r="H41" s="12"/>
    </row>
    <row r="42" spans="2:24">
      <c r="B42" s="409"/>
      <c r="C42" s="1" t="s">
        <v>195</v>
      </c>
      <c r="D42" s="1">
        <f>DiameterRocket</f>
        <v>9.3223000000000003</v>
      </c>
      <c r="E42" s="1" t="s">
        <v>196</v>
      </c>
      <c r="F42" s="1">
        <f>D42/100</f>
        <v>9.3223E-2</v>
      </c>
      <c r="G42" s="1" t="s">
        <v>197</v>
      </c>
      <c r="H42" s="12"/>
    </row>
    <row r="43" spans="2:24" ht="28.9" customHeight="1">
      <c r="B43" s="409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409" t="s">
        <v>206</v>
      </c>
      <c r="D44" s="409"/>
      <c r="E44" s="409"/>
      <c r="F44" s="409"/>
      <c r="G44" s="409"/>
    </row>
    <row r="45" spans="2:24">
      <c r="B45" s="409" t="s">
        <v>201</v>
      </c>
    </row>
    <row r="46" spans="2:24">
      <c r="B46" s="409"/>
    </row>
    <row r="47" spans="2:24" ht="15" thickBot="1">
      <c r="B47" s="409"/>
    </row>
    <row r="48" spans="2:24" ht="15" customHeight="1" thickBot="1">
      <c r="K48" s="420" t="s">
        <v>207</v>
      </c>
      <c r="L48" s="422"/>
      <c r="W48" s="410" t="s">
        <v>207</v>
      </c>
      <c r="X48" s="410"/>
    </row>
    <row r="49" spans="2:24" ht="15" thickBot="1">
      <c r="B49" s="8" t="s">
        <v>184</v>
      </c>
      <c r="C49" s="420" t="s">
        <v>208</v>
      </c>
      <c r="D49" s="421"/>
      <c r="E49" s="421"/>
      <c r="F49" s="421"/>
      <c r="G49" s="422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20" t="s">
        <v>212</v>
      </c>
      <c r="P49" s="421"/>
      <c r="Q49" s="421"/>
      <c r="R49" s="421"/>
      <c r="S49" s="422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403" t="s">
        <v>214</v>
      </c>
      <c r="C50" s="401"/>
      <c r="D50" s="414"/>
      <c r="E50" s="414"/>
      <c r="F50" s="414"/>
      <c r="G50" s="402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4.6611500000000001</v>
      </c>
      <c r="J50" s="87">
        <f>I50*-1</f>
        <v>-4.6611500000000001</v>
      </c>
      <c r="K50" s="91">
        <f>D61/D60</f>
        <v>100.6777</v>
      </c>
      <c r="L50" s="92">
        <f>0</f>
        <v>0</v>
      </c>
      <c r="N50" s="403" t="s">
        <v>214</v>
      </c>
      <c r="O50" s="401"/>
      <c r="P50" s="414"/>
      <c r="Q50" s="414"/>
      <c r="R50" s="414"/>
      <c r="S50" s="402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4.6611500000000001</v>
      </c>
      <c r="V50" s="12">
        <f>U50*-1</f>
        <v>-4.6611500000000001</v>
      </c>
      <c r="W50" s="1">
        <f>0</f>
        <v>0</v>
      </c>
    </row>
    <row r="51" spans="2:24">
      <c r="B51" s="404"/>
      <c r="C51" s="415"/>
      <c r="D51" s="409"/>
      <c r="E51" s="409"/>
      <c r="F51" s="409"/>
      <c r="G51" s="416"/>
      <c r="H51" s="85">
        <f>(H58-H50)/8/2+H50</f>
        <v>110.9375</v>
      </c>
      <c r="I51" s="86">
        <f t="shared" si="9"/>
        <v>6.5361500000000001</v>
      </c>
      <c r="J51" s="87">
        <f t="shared" ref="J51:J57" si="11">I51*-1</f>
        <v>-6.5361500000000001</v>
      </c>
      <c r="K51" s="91">
        <f>H50</f>
        <v>110</v>
      </c>
      <c r="L51" s="92">
        <v>3</v>
      </c>
      <c r="N51" s="404"/>
      <c r="O51" s="415"/>
      <c r="P51" s="409"/>
      <c r="Q51" s="409"/>
      <c r="R51" s="409"/>
      <c r="S51" s="416"/>
      <c r="T51" s="1">
        <f>(T58-T50)/8/2+T50</f>
        <v>110.9375</v>
      </c>
      <c r="U51" s="1">
        <f t="shared" si="10"/>
        <v>6.5361500000000001</v>
      </c>
      <c r="V51" s="12">
        <f t="shared" ref="V51:V57" si="12">U51*-1</f>
        <v>-6.5361500000000001</v>
      </c>
      <c r="W51" s="1">
        <v>3</v>
      </c>
      <c r="X51" s="1">
        <v>-3</v>
      </c>
    </row>
    <row r="52" spans="2:24">
      <c r="B52" s="404"/>
      <c r="C52" s="415"/>
      <c r="D52" s="409"/>
      <c r="E52" s="409"/>
      <c r="F52" s="409"/>
      <c r="G52" s="416"/>
      <c r="H52" s="85">
        <f t="shared" ref="H52:H57" si="13">($H$58-$H$50)/8+H51</f>
        <v>112.8125</v>
      </c>
      <c r="I52" s="86">
        <f t="shared" si="9"/>
        <v>10.286149999999999</v>
      </c>
      <c r="J52" s="87">
        <f t="shared" si="11"/>
        <v>-10.286149999999999</v>
      </c>
      <c r="K52" s="85">
        <f>H51</f>
        <v>110.9375</v>
      </c>
      <c r="L52" s="87">
        <f>I51</f>
        <v>6.5361500000000001</v>
      </c>
      <c r="N52" s="404"/>
      <c r="O52" s="415"/>
      <c r="P52" s="409"/>
      <c r="Q52" s="409"/>
      <c r="R52" s="409"/>
      <c r="S52" s="416"/>
      <c r="T52" s="1">
        <f t="shared" ref="T52:T57" si="14">($H$58-$H$50)/8+T51</f>
        <v>112.8125</v>
      </c>
      <c r="U52" s="1">
        <f t="shared" si="10"/>
        <v>10.286149999999999</v>
      </c>
      <c r="V52" s="12">
        <f t="shared" si="12"/>
        <v>-10.286149999999999</v>
      </c>
      <c r="W52" s="1">
        <v>3.46875</v>
      </c>
      <c r="X52" s="1">
        <v>-3.46875</v>
      </c>
    </row>
    <row r="53" spans="2:24">
      <c r="B53" s="404"/>
      <c r="C53" s="415"/>
      <c r="D53" s="409"/>
      <c r="E53" s="409"/>
      <c r="F53" s="409"/>
      <c r="G53" s="416"/>
      <c r="H53" s="85">
        <f t="shared" si="13"/>
        <v>114.6875</v>
      </c>
      <c r="I53" s="86">
        <f t="shared" si="9"/>
        <v>14.036149999999999</v>
      </c>
      <c r="J53" s="87">
        <f t="shared" si="11"/>
        <v>-14.036149999999999</v>
      </c>
      <c r="K53" s="85">
        <f t="shared" ref="K53:K57" si="15">H52</f>
        <v>112.8125</v>
      </c>
      <c r="L53" s="87">
        <f t="shared" ref="L53:L57" si="16">I52</f>
        <v>10.286149999999999</v>
      </c>
      <c r="N53" s="404"/>
      <c r="O53" s="415"/>
      <c r="P53" s="409"/>
      <c r="Q53" s="409"/>
      <c r="R53" s="409"/>
      <c r="S53" s="416"/>
      <c r="T53" s="1">
        <f t="shared" si="14"/>
        <v>114.6875</v>
      </c>
      <c r="U53" s="1">
        <f t="shared" si="10"/>
        <v>14.036149999999999</v>
      </c>
      <c r="V53" s="12">
        <f t="shared" si="12"/>
        <v>-14.036149999999999</v>
      </c>
      <c r="W53" s="1">
        <v>4.40625</v>
      </c>
      <c r="X53" s="1">
        <v>-4.40625</v>
      </c>
    </row>
    <row r="54" spans="2:24">
      <c r="B54" s="404"/>
      <c r="C54" s="415"/>
      <c r="D54" s="409"/>
      <c r="E54" s="409"/>
      <c r="F54" s="409"/>
      <c r="G54" s="416"/>
      <c r="H54" s="85">
        <f t="shared" si="13"/>
        <v>116.5625</v>
      </c>
      <c r="I54" s="86">
        <f t="shared" si="9"/>
        <v>14.661149999999999</v>
      </c>
      <c r="J54" s="87">
        <f t="shared" si="11"/>
        <v>-14.661149999999999</v>
      </c>
      <c r="K54" s="85">
        <f t="shared" si="15"/>
        <v>114.6875</v>
      </c>
      <c r="L54" s="87">
        <f t="shared" si="16"/>
        <v>14.036149999999999</v>
      </c>
      <c r="N54" s="404"/>
      <c r="O54" s="415"/>
      <c r="P54" s="409"/>
      <c r="Q54" s="409"/>
      <c r="R54" s="409"/>
      <c r="S54" s="416"/>
      <c r="T54" s="1">
        <f t="shared" si="14"/>
        <v>116.5625</v>
      </c>
      <c r="U54" s="1">
        <f t="shared" si="10"/>
        <v>14.661149999999999</v>
      </c>
      <c r="V54" s="12">
        <f t="shared" si="12"/>
        <v>-14.661149999999999</v>
      </c>
      <c r="W54" s="1">
        <v>5.34375</v>
      </c>
      <c r="X54" s="1">
        <v>-5.34375</v>
      </c>
    </row>
    <row r="55" spans="2:24">
      <c r="B55" s="404"/>
      <c r="C55" s="415"/>
      <c r="D55" s="409"/>
      <c r="E55" s="409"/>
      <c r="F55" s="409"/>
      <c r="G55" s="416"/>
      <c r="H55" s="85">
        <f t="shared" si="13"/>
        <v>118.4375</v>
      </c>
      <c r="I55" s="86">
        <f t="shared" si="9"/>
        <v>14.661149999999999</v>
      </c>
      <c r="J55" s="87">
        <f t="shared" si="11"/>
        <v>-14.661149999999999</v>
      </c>
      <c r="K55" s="85">
        <f t="shared" si="15"/>
        <v>116.5625</v>
      </c>
      <c r="L55" s="87">
        <f t="shared" si="16"/>
        <v>14.661149999999999</v>
      </c>
      <c r="N55" s="404"/>
      <c r="O55" s="415"/>
      <c r="P55" s="409"/>
      <c r="Q55" s="409"/>
      <c r="R55" s="409"/>
      <c r="S55" s="416"/>
      <c r="T55" s="1">
        <f t="shared" si="14"/>
        <v>118.4375</v>
      </c>
      <c r="U55" s="1">
        <f t="shared" si="10"/>
        <v>14.661149999999999</v>
      </c>
      <c r="V55" s="12">
        <f t="shared" si="12"/>
        <v>-14.661149999999999</v>
      </c>
      <c r="W55" s="1">
        <v>6.28125</v>
      </c>
      <c r="X55" s="1">
        <v>-6.28125</v>
      </c>
    </row>
    <row r="56" spans="2:24">
      <c r="B56" s="404"/>
      <c r="C56" s="415"/>
      <c r="D56" s="409"/>
      <c r="E56" s="409"/>
      <c r="F56" s="409"/>
      <c r="G56" s="416"/>
      <c r="H56" s="85">
        <f t="shared" si="13"/>
        <v>120.3125</v>
      </c>
      <c r="I56" s="86">
        <f t="shared" si="9"/>
        <v>14.661149999999999</v>
      </c>
      <c r="J56" s="87">
        <f t="shared" si="11"/>
        <v>-14.661149999999999</v>
      </c>
      <c r="K56" s="85">
        <f t="shared" si="15"/>
        <v>118.4375</v>
      </c>
      <c r="L56" s="87">
        <f t="shared" si="16"/>
        <v>14.661149999999999</v>
      </c>
      <c r="N56" s="404"/>
      <c r="O56" s="415"/>
      <c r="P56" s="409"/>
      <c r="Q56" s="409"/>
      <c r="R56" s="409"/>
      <c r="S56" s="416"/>
      <c r="T56" s="1">
        <f t="shared" si="14"/>
        <v>120.3125</v>
      </c>
      <c r="U56" s="1">
        <f t="shared" si="10"/>
        <v>14.661149999999999</v>
      </c>
      <c r="V56" s="12">
        <f t="shared" si="12"/>
        <v>-14.661149999999999</v>
      </c>
      <c r="W56" s="1">
        <v>7.21875</v>
      </c>
      <c r="X56" s="1">
        <v>-7.21875</v>
      </c>
    </row>
    <row r="57" spans="2:24">
      <c r="B57" s="404"/>
      <c r="C57" s="415"/>
      <c r="D57" s="409"/>
      <c r="E57" s="409"/>
      <c r="F57" s="409"/>
      <c r="G57" s="416"/>
      <c r="H57" s="85">
        <f t="shared" si="13"/>
        <v>122.1875</v>
      </c>
      <c r="I57" s="86">
        <f t="shared" si="9"/>
        <v>14.661149999999999</v>
      </c>
      <c r="J57" s="87">
        <f t="shared" si="11"/>
        <v>-14.661149999999999</v>
      </c>
      <c r="K57" s="85">
        <f t="shared" si="15"/>
        <v>120.3125</v>
      </c>
      <c r="L57" s="87">
        <f t="shared" si="16"/>
        <v>14.661149999999999</v>
      </c>
      <c r="N57" s="404"/>
      <c r="O57" s="415"/>
      <c r="P57" s="409"/>
      <c r="Q57" s="409"/>
      <c r="R57" s="409"/>
      <c r="S57" s="416"/>
      <c r="T57" s="1">
        <f t="shared" si="14"/>
        <v>122.1875</v>
      </c>
      <c r="U57" s="1">
        <f t="shared" si="10"/>
        <v>14.661149999999999</v>
      </c>
      <c r="V57" s="12">
        <f t="shared" si="12"/>
        <v>-14.661149999999999</v>
      </c>
      <c r="W57" s="1">
        <v>8</v>
      </c>
      <c r="X57" s="1">
        <v>-8</v>
      </c>
    </row>
    <row r="58" spans="2:24">
      <c r="B58" s="404"/>
      <c r="C58" s="415"/>
      <c r="D58" s="409"/>
      <c r="E58" s="409"/>
      <c r="F58" s="409"/>
      <c r="G58" s="416"/>
      <c r="H58" s="85">
        <f>$H$50+D65</f>
        <v>125</v>
      </c>
      <c r="I58" s="86">
        <f t="shared" si="9"/>
        <v>14.661149999999999</v>
      </c>
      <c r="J58" s="87">
        <f>I58*-1</f>
        <v>-14.661149999999999</v>
      </c>
      <c r="K58" s="85">
        <f>H58</f>
        <v>125</v>
      </c>
      <c r="L58" s="87">
        <f>IF(((($D$67)/($D$65-$D$64))*(K58-$H$50)+$I$40)&gt;($D$67+$I$40),($D$67+$I$40),(($D$67)/($D$65-$D$64))*(K58-$H$50)+$I$40)</f>
        <v>14.661149999999999</v>
      </c>
      <c r="N58" s="404"/>
      <c r="O58" s="415"/>
      <c r="P58" s="409"/>
      <c r="Q58" s="409"/>
      <c r="R58" s="409"/>
      <c r="S58" s="416"/>
      <c r="T58" s="12">
        <f>$H$50+P65</f>
        <v>125</v>
      </c>
      <c r="U58" s="1">
        <f t="shared" si="10"/>
        <v>14.661149999999999</v>
      </c>
      <c r="V58" s="12">
        <f>U58*-1</f>
        <v>-14.661149999999999</v>
      </c>
      <c r="W58" s="1">
        <v>8</v>
      </c>
      <c r="X58" s="1">
        <v>-8</v>
      </c>
    </row>
    <row r="59" spans="2:24" ht="15" customHeight="1" thickBot="1">
      <c r="B59" s="408"/>
      <c r="C59" s="423"/>
      <c r="D59" s="424"/>
      <c r="E59" s="424"/>
      <c r="F59" s="424"/>
      <c r="G59" s="425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4.6611500000000001</v>
      </c>
      <c r="J59" s="90">
        <f>I59*-1</f>
        <v>-4.6611500000000001</v>
      </c>
      <c r="K59" s="91">
        <f>K58</f>
        <v>125</v>
      </c>
      <c r="L59" s="92">
        <f>L50</f>
        <v>0</v>
      </c>
      <c r="N59" s="408"/>
      <c r="O59" s="417"/>
      <c r="P59" s="418"/>
      <c r="Q59" s="418"/>
      <c r="R59" s="418"/>
      <c r="S59" s="419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4.6611500000000001</v>
      </c>
      <c r="V59" s="12">
        <f>U59*-1</f>
        <v>-4.6611500000000001</v>
      </c>
    </row>
    <row r="60" spans="2:24" ht="16.149999999999999" customHeight="1">
      <c r="B60" s="426" t="s">
        <v>191</v>
      </c>
      <c r="C60" s="81" t="s">
        <v>215</v>
      </c>
      <c r="D60" s="54">
        <f>TAN(RADIANS(F60))</f>
        <v>0.49999999999999994</v>
      </c>
      <c r="E60" s="75" t="s">
        <v>216</v>
      </c>
      <c r="F60" s="56">
        <f>90-DEGREES(ATAN(D67/(D65-D64)))</f>
        <v>26.56505117707799</v>
      </c>
      <c r="G60" s="57" t="s">
        <v>217</v>
      </c>
      <c r="H60" s="431" t="s">
        <v>218</v>
      </c>
      <c r="I60" s="432"/>
      <c r="J60" s="433"/>
      <c r="K60" s="81" t="s">
        <v>219</v>
      </c>
      <c r="L60" s="57">
        <f>K67^2/K68</f>
        <v>0.85432211710753647</v>
      </c>
      <c r="N60" s="413" t="s">
        <v>191</v>
      </c>
      <c r="O60" s="1" t="s">
        <v>220</v>
      </c>
    </row>
    <row r="61" spans="2:24" ht="16.149999999999999" customHeight="1" thickBot="1">
      <c r="B61" s="427"/>
      <c r="C61" s="80" t="s">
        <v>221</v>
      </c>
      <c r="D61" s="82">
        <f>-I50+D60*H50</f>
        <v>50.338849999999994</v>
      </c>
      <c r="E61" s="77"/>
      <c r="F61" s="61"/>
      <c r="G61" s="62"/>
      <c r="H61" s="434"/>
      <c r="I61" s="435"/>
      <c r="J61" s="436"/>
      <c r="K61" s="80"/>
      <c r="L61" s="62"/>
      <c r="N61" s="413"/>
    </row>
    <row r="62" spans="2:24" ht="27.65" customHeight="1">
      <c r="B62" s="427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413"/>
    </row>
    <row r="63" spans="2:24" ht="27.65" customHeight="1">
      <c r="B63" s="427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413"/>
    </row>
    <row r="64" spans="2:24">
      <c r="B64" s="428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413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29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24.322299999999998</v>
      </c>
      <c r="J65" s="1" t="s">
        <v>196</v>
      </c>
      <c r="K65" s="1">
        <f t="shared" ref="K65:K67" si="17">I65/100</f>
        <v>0.24322299999999999</v>
      </c>
      <c r="L65" s="59" t="s">
        <v>197</v>
      </c>
      <c r="N65" s="409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29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0.41114532753892519</v>
      </c>
      <c r="J66" s="1" t="s">
        <v>194</v>
      </c>
      <c r="K66" s="1">
        <f>I66</f>
        <v>0.41114532753892519</v>
      </c>
      <c r="L66" s="59"/>
      <c r="N66" s="409"/>
    </row>
    <row r="67" spans="2:19">
      <c r="B67" s="429"/>
      <c r="C67" s="76" t="s">
        <v>232</v>
      </c>
      <c r="D67" s="58">
        <f>C9</f>
        <v>10</v>
      </c>
      <c r="E67" s="1" t="s">
        <v>196</v>
      </c>
      <c r="F67" s="1">
        <f>D67/100</f>
        <v>0.1</v>
      </c>
      <c r="G67" s="1" t="s">
        <v>197</v>
      </c>
      <c r="H67" s="76" t="s">
        <v>233</v>
      </c>
      <c r="I67" s="1">
        <f>(D67+D42/2)*2</f>
        <v>29.322299999999998</v>
      </c>
      <c r="J67" s="1" t="s">
        <v>196</v>
      </c>
      <c r="K67" s="1">
        <f t="shared" si="17"/>
        <v>0.29322300000000001</v>
      </c>
      <c r="L67" s="59" t="s">
        <v>197</v>
      </c>
      <c r="N67" s="409"/>
      <c r="O67" s="1" t="s">
        <v>232</v>
      </c>
      <c r="P67" s="1">
        <f>C9</f>
        <v>10</v>
      </c>
      <c r="Q67" s="1" t="s">
        <v>196</v>
      </c>
      <c r="R67" s="1">
        <f>P67/100</f>
        <v>0.1</v>
      </c>
      <c r="S67" s="1" t="s">
        <v>197</v>
      </c>
    </row>
    <row r="68" spans="2:19" ht="29.5" thickBot="1">
      <c r="B68" s="430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503.20438864499994</v>
      </c>
      <c r="J68" s="61" t="s">
        <v>236</v>
      </c>
      <c r="K68" s="61">
        <f>(K64+K65)*K67</f>
        <v>0.100640877729</v>
      </c>
      <c r="L68" s="62" t="s">
        <v>223</v>
      </c>
      <c r="N68" s="409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413" t="s">
        <v>237</v>
      </c>
      <c r="D69" s="413"/>
      <c r="E69" s="413"/>
      <c r="F69" s="413"/>
      <c r="G69" s="413"/>
      <c r="N69" s="2" t="s">
        <v>199</v>
      </c>
      <c r="O69" s="409" t="s">
        <v>238</v>
      </c>
      <c r="P69" s="409"/>
      <c r="Q69" s="409"/>
      <c r="R69" s="409"/>
      <c r="S69" s="409"/>
    </row>
    <row r="70" spans="2:19">
      <c r="B70" s="409" t="s">
        <v>201</v>
      </c>
      <c r="C70" s="65"/>
      <c r="D70" s="64"/>
      <c r="E70" s="64"/>
      <c r="F70" s="64"/>
      <c r="G70" s="93"/>
      <c r="N70" s="409" t="s">
        <v>201</v>
      </c>
    </row>
    <row r="71" spans="2:19">
      <c r="B71" s="409"/>
      <c r="C71" s="66"/>
      <c r="G71" s="94"/>
      <c r="N71" s="409"/>
    </row>
    <row r="72" spans="2:19">
      <c r="B72" s="409"/>
      <c r="C72" s="67"/>
      <c r="D72" s="68"/>
      <c r="E72" s="68"/>
      <c r="F72" s="68"/>
      <c r="G72" s="95"/>
      <c r="N72" s="409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24.322299999999998</v>
      </c>
      <c r="D78" s="86">
        <f t="shared" si="19"/>
        <v>0.24322299999999999</v>
      </c>
      <c r="E78" s="86"/>
      <c r="F78" s="86"/>
      <c r="G78" s="86"/>
    </row>
    <row r="79" spans="2:19">
      <c r="B79" s="1" t="s">
        <v>231</v>
      </c>
      <c r="C79" s="86">
        <f t="shared" si="18"/>
        <v>0.41114532753892519</v>
      </c>
      <c r="D79" s="86">
        <f t="shared" si="19"/>
        <v>0.41114532753892519</v>
      </c>
      <c r="E79" s="86"/>
      <c r="F79" s="86"/>
      <c r="G79" s="86"/>
    </row>
    <row r="80" spans="2:19">
      <c r="B80" s="1" t="s">
        <v>233</v>
      </c>
      <c r="C80" s="86">
        <f t="shared" si="18"/>
        <v>29.322299999999998</v>
      </c>
      <c r="D80" s="86">
        <f t="shared" si="19"/>
        <v>0.29322300000000001</v>
      </c>
      <c r="E80" s="86"/>
      <c r="F80" s="86"/>
      <c r="G80" s="86"/>
    </row>
    <row r="81" spans="2:10">
      <c r="B81" s="1" t="s">
        <v>245</v>
      </c>
      <c r="C81" s="86">
        <f t="shared" si="18"/>
        <v>503.20438864499994</v>
      </c>
      <c r="D81" s="86">
        <f t="shared" si="19"/>
        <v>0.100640877729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403" t="s">
        <v>246</v>
      </c>
      <c r="C88" s="401"/>
      <c r="D88" s="414"/>
      <c r="E88" s="414"/>
      <c r="F88" s="414"/>
      <c r="G88" s="402"/>
      <c r="H88" s="11">
        <f>H40</f>
        <v>130</v>
      </c>
      <c r="I88" s="11">
        <f>D99/2</f>
        <v>4.6611500000000001</v>
      </c>
      <c r="J88" s="11">
        <f>I88*-1</f>
        <v>-4.6611500000000001</v>
      </c>
    </row>
    <row r="89" spans="2:10">
      <c r="B89" s="404"/>
      <c r="C89" s="415"/>
      <c r="D89" s="409"/>
      <c r="E89" s="409"/>
      <c r="F89" s="409"/>
      <c r="G89" s="416"/>
      <c r="H89" s="11">
        <f>($D$100/8/2)+H88</f>
        <v>130.5</v>
      </c>
      <c r="I89" s="11">
        <f>(($I$97-$I$88)/($H$97-$H$88))*(H89-$H$88)+$I$88</f>
        <v>4.5104531249999997</v>
      </c>
      <c r="J89" s="11">
        <f t="shared" ref="J89:J98" si="20">I89*-1</f>
        <v>-4.5104531249999997</v>
      </c>
    </row>
    <row r="90" spans="2:10">
      <c r="B90" s="404"/>
      <c r="C90" s="415"/>
      <c r="D90" s="409"/>
      <c r="E90" s="409"/>
      <c r="F90" s="409"/>
      <c r="G90" s="416"/>
      <c r="H90" s="11">
        <f>($D$100/8)+H89</f>
        <v>131.5</v>
      </c>
      <c r="I90" s="11">
        <f t="shared" ref="I90:I96" si="21">(($I$97-$I$88)/($H$97-$H$88))*(H90-$H$88)+$I$88</f>
        <v>4.2090593749999998</v>
      </c>
      <c r="J90" s="11">
        <f t="shared" si="20"/>
        <v>-4.2090593749999998</v>
      </c>
    </row>
    <row r="91" spans="2:10">
      <c r="B91" s="404"/>
      <c r="C91" s="415"/>
      <c r="D91" s="409"/>
      <c r="E91" s="409"/>
      <c r="F91" s="409"/>
      <c r="G91" s="416"/>
      <c r="H91" s="11">
        <f t="shared" ref="H91:H96" si="22">($D$100/8)+H90</f>
        <v>132.5</v>
      </c>
      <c r="I91" s="11">
        <f t="shared" si="21"/>
        <v>3.9076656249999999</v>
      </c>
      <c r="J91" s="11">
        <f t="shared" si="20"/>
        <v>-3.9076656249999999</v>
      </c>
    </row>
    <row r="92" spans="2:10">
      <c r="B92" s="404"/>
      <c r="C92" s="415"/>
      <c r="D92" s="409"/>
      <c r="E92" s="409"/>
      <c r="F92" s="409"/>
      <c r="G92" s="416"/>
      <c r="H92" s="11">
        <f t="shared" si="22"/>
        <v>133.5</v>
      </c>
      <c r="I92" s="11">
        <f t="shared" si="21"/>
        <v>3.606271875</v>
      </c>
      <c r="J92" s="11">
        <f t="shared" si="20"/>
        <v>-3.606271875</v>
      </c>
    </row>
    <row r="93" spans="2:10">
      <c r="B93" s="404"/>
      <c r="C93" s="415"/>
      <c r="D93" s="409"/>
      <c r="E93" s="409"/>
      <c r="F93" s="409"/>
      <c r="G93" s="416"/>
      <c r="H93" s="11">
        <f t="shared" si="22"/>
        <v>134.5</v>
      </c>
      <c r="I93" s="11">
        <f t="shared" si="21"/>
        <v>3.3048781250000001</v>
      </c>
      <c r="J93" s="11">
        <f t="shared" si="20"/>
        <v>-3.3048781250000001</v>
      </c>
    </row>
    <row r="94" spans="2:10">
      <c r="B94" s="404"/>
      <c r="C94" s="415"/>
      <c r="D94" s="409"/>
      <c r="E94" s="409"/>
      <c r="F94" s="409"/>
      <c r="G94" s="416"/>
      <c r="H94" s="11">
        <f t="shared" si="22"/>
        <v>135.5</v>
      </c>
      <c r="I94" s="11">
        <f t="shared" si="21"/>
        <v>3.0034843750000002</v>
      </c>
      <c r="J94" s="11">
        <f t="shared" si="20"/>
        <v>-3.0034843750000002</v>
      </c>
    </row>
    <row r="95" spans="2:10">
      <c r="B95" s="404"/>
      <c r="C95" s="415"/>
      <c r="D95" s="409"/>
      <c r="E95" s="409"/>
      <c r="F95" s="409"/>
      <c r="G95" s="416"/>
      <c r="H95" s="11">
        <f t="shared" si="22"/>
        <v>136.5</v>
      </c>
      <c r="I95" s="11">
        <f t="shared" si="21"/>
        <v>2.7020906250000003</v>
      </c>
      <c r="J95" s="11">
        <f t="shared" si="20"/>
        <v>-2.7020906250000003</v>
      </c>
    </row>
    <row r="96" spans="2:10">
      <c r="B96" s="404"/>
      <c r="C96" s="415"/>
      <c r="D96" s="409"/>
      <c r="E96" s="409"/>
      <c r="F96" s="409"/>
      <c r="G96" s="416"/>
      <c r="H96" s="11">
        <f t="shared" si="22"/>
        <v>137.5</v>
      </c>
      <c r="I96" s="11">
        <f t="shared" si="21"/>
        <v>2.400696875</v>
      </c>
      <c r="J96" s="11">
        <f t="shared" si="20"/>
        <v>-2.400696875</v>
      </c>
    </row>
    <row r="97" spans="2:10" ht="15" thickBot="1">
      <c r="B97" s="408"/>
      <c r="C97" s="417"/>
      <c r="D97" s="418"/>
      <c r="E97" s="418"/>
      <c r="F97" s="418"/>
      <c r="G97" s="419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413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409"/>
      <c r="C99" s="1" t="s">
        <v>248</v>
      </c>
      <c r="D99" s="1">
        <f>DiameterRocket</f>
        <v>9.3223000000000003</v>
      </c>
      <c r="E99" s="1" t="s">
        <v>196</v>
      </c>
      <c r="F99" s="1">
        <f>D99/100</f>
        <v>9.3223E-2</v>
      </c>
      <c r="G99" s="1" t="s">
        <v>197</v>
      </c>
    </row>
    <row r="100" spans="2:10">
      <c r="B100" s="409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409" t="s">
        <v>249</v>
      </c>
      <c r="D101" s="409"/>
      <c r="E101" s="409"/>
      <c r="F101" s="409"/>
      <c r="G101" s="409"/>
    </row>
    <row r="102" spans="2:10">
      <c r="B102" s="409" t="s">
        <v>201</v>
      </c>
    </row>
    <row r="103" spans="2:10">
      <c r="B103" s="409"/>
    </row>
    <row r="104" spans="2:10">
      <c r="B104" s="409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L52" sqref="L52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40" t="s">
        <v>252</v>
      </c>
      <c r="U15" s="441"/>
      <c r="V15" s="442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43" t="s">
        <v>252</v>
      </c>
      <c r="U23" s="444"/>
      <c r="V23" s="445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46" t="s">
        <v>709</v>
      </c>
      <c r="L33" s="447"/>
      <c r="M33" s="447"/>
      <c r="N33" s="447"/>
      <c r="O33" s="447"/>
      <c r="P33" s="447"/>
      <c r="Q33" s="447"/>
      <c r="R33" s="447"/>
      <c r="S33" s="448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677</v>
      </c>
      <c r="N39" s="14">
        <f>(PI()*N37*0.25)*(N35^2-N36^2)</f>
        <v>2.149556233402473E-4</v>
      </c>
      <c r="O39" s="14" t="s">
        <v>678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46" t="s">
        <v>710</v>
      </c>
      <c r="L44" s="447"/>
      <c r="M44" s="447"/>
      <c r="N44" s="447"/>
      <c r="O44" s="447"/>
      <c r="P44" s="447"/>
      <c r="Q44" s="447"/>
      <c r="R44" s="447"/>
      <c r="S44" s="448"/>
    </row>
    <row r="45" spans="2:19" ht="15" thickBot="1">
      <c r="B45" s="437" t="s">
        <v>311</v>
      </c>
      <c r="C45" s="438"/>
      <c r="D45" s="438"/>
      <c r="E45" s="438"/>
      <c r="F45" s="439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677</v>
      </c>
      <c r="M50" s="252"/>
      <c r="N50" s="14">
        <f>((N46+N47)*N48/2)*N49</f>
        <v>3.0000000000000001E-5</v>
      </c>
      <c r="O50" s="252" t="s">
        <v>678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679</v>
      </c>
      <c r="L54" s="14">
        <v>4</v>
      </c>
      <c r="M54" s="252" t="s">
        <v>680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681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38"/>
  <sheetViews>
    <sheetView view="pageBreakPreview" topLeftCell="A322" zoomScaleNormal="142" zoomScaleSheetLayoutView="100" zoomScalePageLayoutView="115" workbookViewId="0">
      <selection activeCell="F341" sqref="F341"/>
    </sheetView>
  </sheetViews>
  <sheetFormatPr defaultRowHeight="14.5" outlineLevelRow="1"/>
  <cols>
    <col min="1" max="1" width="2" customWidth="1"/>
    <col min="2" max="3" width="9.81640625" customWidth="1"/>
    <col min="4" max="4" width="10.54296875" customWidth="1"/>
    <col min="5" max="10" width="9.81640625" customWidth="1"/>
    <col min="11" max="11" width="10.90625" customWidth="1"/>
    <col min="12" max="20" width="8.36328125" customWidth="1"/>
    <col min="21" max="21" width="8.7265625" customWidth="1"/>
  </cols>
  <sheetData>
    <row r="1" spans="2:9" ht="20.5" customHeight="1">
      <c r="E1" s="354" t="s">
        <v>711</v>
      </c>
      <c r="F1" s="351"/>
    </row>
    <row r="2" spans="2:9" ht="14.5" customHeight="1">
      <c r="E2" s="450" t="s">
        <v>1014</v>
      </c>
      <c r="F2" s="450"/>
      <c r="G2" s="450"/>
      <c r="H2" s="450"/>
      <c r="I2" s="450"/>
    </row>
    <row r="3" spans="2:9">
      <c r="E3" s="450"/>
      <c r="F3" s="450"/>
      <c r="G3" s="450"/>
      <c r="H3" s="450"/>
      <c r="I3" s="450"/>
    </row>
    <row r="4" spans="2:9">
      <c r="E4" t="s">
        <v>1015</v>
      </c>
    </row>
    <row r="5" spans="2:9">
      <c r="B5" t="s">
        <v>703</v>
      </c>
      <c r="G5" t="s">
        <v>682</v>
      </c>
      <c r="I5" s="352">
        <v>45923</v>
      </c>
    </row>
    <row r="6" spans="2:9" hidden="1" outlineLevel="1">
      <c r="B6" t="s">
        <v>683</v>
      </c>
    </row>
    <row r="7" spans="2:9" hidden="1" outlineLevel="1">
      <c r="B7" s="352">
        <v>45902</v>
      </c>
      <c r="C7" t="s">
        <v>684</v>
      </c>
    </row>
    <row r="8" spans="2:9" hidden="1" outlineLevel="1"/>
    <row r="9" spans="2:9" hidden="1" outlineLevel="1">
      <c r="B9" t="s">
        <v>409</v>
      </c>
    </row>
    <row r="10" spans="2:9" hidden="1" outlineLevel="1">
      <c r="B10" t="s">
        <v>744</v>
      </c>
    </row>
    <row r="11" spans="2:9" hidden="1" outlineLevel="1">
      <c r="B11" t="s">
        <v>700</v>
      </c>
    </row>
    <row r="12" spans="2:9" hidden="1" outlineLevel="1">
      <c r="B12" s="364" t="s">
        <v>699</v>
      </c>
    </row>
    <row r="13" spans="2:9" hidden="1" outlineLevel="1"/>
    <row r="14" spans="2:9" hidden="1" outlineLevel="1">
      <c r="B14" t="s">
        <v>701</v>
      </c>
    </row>
    <row r="15" spans="2:9" collapsed="1">
      <c r="B15" s="356" t="s">
        <v>731</v>
      </c>
      <c r="C15" s="186"/>
      <c r="D15" s="186"/>
    </row>
    <row r="16" spans="2:9">
      <c r="B16" s="371" t="s">
        <v>837</v>
      </c>
      <c r="C16" t="s">
        <v>838</v>
      </c>
      <c r="F16" s="306" t="s">
        <v>906</v>
      </c>
      <c r="G16" t="s">
        <v>908</v>
      </c>
    </row>
    <row r="17" spans="2:13">
      <c r="B17" s="371" t="s">
        <v>839</v>
      </c>
      <c r="C17" t="s">
        <v>840</v>
      </c>
      <c r="F17" s="306" t="s">
        <v>907</v>
      </c>
    </row>
    <row r="18" spans="2:13">
      <c r="B18" t="s">
        <v>844</v>
      </c>
      <c r="D18">
        <v>191</v>
      </c>
      <c r="E18" t="s">
        <v>842</v>
      </c>
      <c r="F18" t="s">
        <v>844</v>
      </c>
      <c r="H18">
        <v>198</v>
      </c>
      <c r="I18" t="s">
        <v>842</v>
      </c>
    </row>
    <row r="19" spans="2:13">
      <c r="B19" t="s">
        <v>845</v>
      </c>
      <c r="D19">
        <v>0.2</v>
      </c>
      <c r="E19" t="s">
        <v>227</v>
      </c>
      <c r="F19" t="s">
        <v>845</v>
      </c>
      <c r="H19">
        <v>0.25</v>
      </c>
      <c r="I19" t="s">
        <v>227</v>
      </c>
      <c r="L19" t="s">
        <v>791</v>
      </c>
      <c r="M19" t="s">
        <v>795</v>
      </c>
    </row>
    <row r="20" spans="2:13">
      <c r="B20" t="s">
        <v>843</v>
      </c>
      <c r="D20">
        <f>D18/D19</f>
        <v>955</v>
      </c>
      <c r="E20" t="s">
        <v>294</v>
      </c>
      <c r="F20" t="s">
        <v>843</v>
      </c>
      <c r="H20">
        <f>H18/H19</f>
        <v>792</v>
      </c>
      <c r="I20" t="s">
        <v>294</v>
      </c>
      <c r="L20" t="s">
        <v>792</v>
      </c>
      <c r="M20" t="s">
        <v>794</v>
      </c>
    </row>
    <row r="21" spans="2:13">
      <c r="H21" t="s">
        <v>719</v>
      </c>
      <c r="J21" t="s">
        <v>720</v>
      </c>
      <c r="L21" t="s">
        <v>793</v>
      </c>
      <c r="M21" t="s">
        <v>796</v>
      </c>
    </row>
    <row r="22" spans="2:13">
      <c r="B22" s="374" t="s">
        <v>909</v>
      </c>
      <c r="G22" t="s">
        <v>800</v>
      </c>
      <c r="H22">
        <v>219</v>
      </c>
      <c r="I22" t="s">
        <v>717</v>
      </c>
      <c r="J22" s="375">
        <v>1.4999999999999999E-2</v>
      </c>
    </row>
    <row r="23" spans="2:13">
      <c r="B23" t="s">
        <v>712</v>
      </c>
      <c r="D23">
        <v>955</v>
      </c>
      <c r="E23" t="s">
        <v>314</v>
      </c>
      <c r="F23" s="357">
        <v>0.55000000000000004</v>
      </c>
      <c r="G23" t="s">
        <v>801</v>
      </c>
      <c r="H23" s="383">
        <f>H22*0.1</f>
        <v>21.900000000000002</v>
      </c>
      <c r="I23" t="s">
        <v>742</v>
      </c>
      <c r="J23" s="381">
        <v>1.4999999999999999E-2</v>
      </c>
    </row>
    <row r="24" spans="2:13">
      <c r="B24" t="s">
        <v>713</v>
      </c>
      <c r="D24">
        <v>1090</v>
      </c>
      <c r="E24" t="s">
        <v>314</v>
      </c>
      <c r="F24" s="380">
        <f>1-F23</f>
        <v>0.44999999999999996</v>
      </c>
      <c r="G24" s="186" t="s">
        <v>886</v>
      </c>
      <c r="H24" s="186"/>
      <c r="I24" t="s">
        <v>887</v>
      </c>
      <c r="J24" s="381">
        <v>1.4999999999999999E-2</v>
      </c>
    </row>
    <row r="25" spans="2:13">
      <c r="B25" t="s">
        <v>807</v>
      </c>
      <c r="D25" s="190">
        <f>(H22/J22)/1000</f>
        <v>14.6</v>
      </c>
      <c r="E25" t="s">
        <v>736</v>
      </c>
      <c r="G25" t="s">
        <v>802</v>
      </c>
      <c r="H25" s="383">
        <f>H26*0.8</f>
        <v>34.03921568627451</v>
      </c>
      <c r="I25" t="s">
        <v>718</v>
      </c>
      <c r="J25" s="376">
        <v>1.9E-2</v>
      </c>
    </row>
    <row r="26" spans="2:13">
      <c r="B26" s="186" t="s">
        <v>808</v>
      </c>
      <c r="C26" s="186"/>
      <c r="D26" s="277">
        <f>(H26/J26)/1000</f>
        <v>1.5196078431372551</v>
      </c>
      <c r="E26" s="186" t="s">
        <v>736</v>
      </c>
      <c r="G26" t="s">
        <v>803</v>
      </c>
      <c r="H26">
        <f>434*(0.1/1.02)</f>
        <v>42.549019607843135</v>
      </c>
      <c r="I26" t="s">
        <v>729</v>
      </c>
      <c r="J26" s="376">
        <f>2.8/100</f>
        <v>2.7999999999999997E-2</v>
      </c>
    </row>
    <row r="27" spans="2:13">
      <c r="B27" t="s">
        <v>809</v>
      </c>
      <c r="D27" s="372">
        <v>0</v>
      </c>
      <c r="E27" t="s">
        <v>736</v>
      </c>
      <c r="G27" t="s">
        <v>804</v>
      </c>
      <c r="H27">
        <f>1239*(0.1/1.02)</f>
        <v>121.47058823529412</v>
      </c>
      <c r="I27" t="s">
        <v>730</v>
      </c>
      <c r="J27" s="376">
        <f>J26</f>
        <v>2.7999999999999997E-2</v>
      </c>
    </row>
    <row r="28" spans="2:13">
      <c r="B28" t="s">
        <v>810</v>
      </c>
      <c r="D28" s="190">
        <f>(H27/J27)/1000</f>
        <v>4.3382352941176476</v>
      </c>
      <c r="E28" t="s">
        <v>736</v>
      </c>
      <c r="G28" t="s">
        <v>835</v>
      </c>
      <c r="H28" s="383">
        <f>H27*0.8</f>
        <v>97.176470588235304</v>
      </c>
      <c r="I28" t="s">
        <v>836</v>
      </c>
      <c r="J28" s="376">
        <f>J25</f>
        <v>1.9E-2</v>
      </c>
    </row>
    <row r="29" spans="2:13">
      <c r="D29" s="190"/>
      <c r="G29" t="s">
        <v>894</v>
      </c>
      <c r="H29" s="383">
        <f>819*(0.1/1.02)</f>
        <v>80.294117647058826</v>
      </c>
      <c r="J29" s="376"/>
    </row>
    <row r="31" spans="2:13">
      <c r="B31" s="186" t="s">
        <v>716</v>
      </c>
      <c r="C31" s="186"/>
      <c r="D31" s="186"/>
      <c r="G31" s="186" t="s">
        <v>721</v>
      </c>
      <c r="H31" s="186"/>
    </row>
    <row r="32" spans="2:13">
      <c r="B32" t="s">
        <v>714</v>
      </c>
      <c r="D32">
        <f>D23*(F23)+D24*(F24)</f>
        <v>1015.75</v>
      </c>
      <c r="E32" t="s">
        <v>314</v>
      </c>
      <c r="G32" t="s">
        <v>724</v>
      </c>
      <c r="H32" s="281">
        <f>H33/(H34+H33)</f>
        <v>0.8771929824561403</v>
      </c>
    </row>
    <row r="33" spans="2:10">
      <c r="B33" t="s">
        <v>811</v>
      </c>
      <c r="D33">
        <f>D25*F23+D26*F24</f>
        <v>8.7138235294117656</v>
      </c>
      <c r="E33" t="s">
        <v>736</v>
      </c>
      <c r="G33" t="s">
        <v>722</v>
      </c>
      <c r="H33" s="281">
        <v>100</v>
      </c>
      <c r="I33" t="s">
        <v>725</v>
      </c>
    </row>
    <row r="34" spans="2:10">
      <c r="B34" t="s">
        <v>797</v>
      </c>
      <c r="D34">
        <f>IF(J25=J22,C42,IF(J25&lt;J22,B42,D42))</f>
        <v>130.70735294117648</v>
      </c>
      <c r="E34" t="s">
        <v>719</v>
      </c>
      <c r="G34" t="s">
        <v>723</v>
      </c>
      <c r="H34" s="281">
        <v>14</v>
      </c>
      <c r="I34" t="s">
        <v>725</v>
      </c>
    </row>
    <row r="35" spans="2:10">
      <c r="B35" t="s">
        <v>798</v>
      </c>
      <c r="D35">
        <f>H22*F23+H26*F24</f>
        <v>139.59705882352941</v>
      </c>
      <c r="E35" t="s">
        <v>719</v>
      </c>
      <c r="G35" s="263" t="s">
        <v>726</v>
      </c>
      <c r="H35" s="358">
        <v>1000</v>
      </c>
      <c r="I35" s="263" t="s">
        <v>725</v>
      </c>
      <c r="J35" s="263"/>
    </row>
    <row r="36" spans="2:10">
      <c r="B36" t="s">
        <v>813</v>
      </c>
      <c r="D36">
        <f>D37*0.8</f>
        <v>53.365411764705883</v>
      </c>
      <c r="E36" t="s">
        <v>814</v>
      </c>
      <c r="H36" s="359">
        <f>H35*H32</f>
        <v>877.19298245614027</v>
      </c>
      <c r="I36" t="s">
        <v>727</v>
      </c>
    </row>
    <row r="37" spans="2:10">
      <c r="B37" t="s">
        <v>799</v>
      </c>
      <c r="D37">
        <f>IF(J25=J22,C43,IF(J25&lt;J22,B43,D43))</f>
        <v>66.70676470588235</v>
      </c>
      <c r="E37" t="s">
        <v>719</v>
      </c>
      <c r="H37" s="359">
        <f>H35-H36</f>
        <v>122.80701754385973</v>
      </c>
      <c r="I37" t="s">
        <v>728</v>
      </c>
    </row>
    <row r="38" spans="2:10">
      <c r="B38" t="s">
        <v>888</v>
      </c>
      <c r="D38">
        <f>H24*F23+H29*F24</f>
        <v>36.132352941176471</v>
      </c>
      <c r="E38" t="s">
        <v>719</v>
      </c>
      <c r="H38" s="359"/>
    </row>
    <row r="39" spans="2:10">
      <c r="H39" s="359"/>
    </row>
    <row r="41" spans="2:10">
      <c r="B41" t="s">
        <v>741</v>
      </c>
    </row>
    <row r="42" spans="2:10">
      <c r="B42">
        <f>(F23*(D25/D26)+(1-F23))*H25</f>
        <v>195.18964705882348</v>
      </c>
      <c r="C42">
        <f>F23*H22+F24*H25</f>
        <v>135.76764705882354</v>
      </c>
      <c r="D42">
        <f>(F23+F24*(D26/D25))*H22</f>
        <v>130.70735294117648</v>
      </c>
      <c r="E42" t="s">
        <v>805</v>
      </c>
    </row>
    <row r="43" spans="2:10">
      <c r="B43">
        <f>(F23*(D27/D28)+(1-F23))*H27</f>
        <v>54.661764705882348</v>
      </c>
      <c r="C43">
        <f>F23*H23+F24*H27</f>
        <v>66.70676470588235</v>
      </c>
      <c r="D43">
        <f>C43</f>
        <v>66.70676470588235</v>
      </c>
      <c r="E43" t="s">
        <v>806</v>
      </c>
    </row>
    <row r="44" spans="2:10">
      <c r="B44" s="361">
        <f>J25</f>
        <v>1.9E-2</v>
      </c>
      <c r="C44" s="363">
        <f>F23*J22+F24*J25</f>
        <v>1.6799999999999999E-2</v>
      </c>
      <c r="D44" s="361">
        <f>J22</f>
        <v>1.4999999999999999E-2</v>
      </c>
    </row>
    <row r="45" spans="2:10">
      <c r="B45" t="s">
        <v>737</v>
      </c>
      <c r="C45" t="s">
        <v>738</v>
      </c>
      <c r="D45" t="s">
        <v>739</v>
      </c>
    </row>
    <row r="46" spans="2:10">
      <c r="B46" t="s">
        <v>254</v>
      </c>
      <c r="C46" t="s">
        <v>834</v>
      </c>
      <c r="D46" t="s">
        <v>255</v>
      </c>
      <c r="E46" t="s">
        <v>833</v>
      </c>
    </row>
    <row r="47" spans="2:10">
      <c r="B47" s="362">
        <v>0</v>
      </c>
      <c r="C47" s="360">
        <v>0</v>
      </c>
      <c r="D47" s="281">
        <v>0</v>
      </c>
      <c r="E47" s="281">
        <v>0</v>
      </c>
      <c r="G47" t="s">
        <v>732</v>
      </c>
    </row>
    <row r="48" spans="2:10">
      <c r="B48" s="362">
        <f>J22</f>
        <v>1.4999999999999999E-2</v>
      </c>
      <c r="C48" s="360">
        <f>J23</f>
        <v>1.4999999999999999E-2</v>
      </c>
      <c r="D48" s="281">
        <f>H22</f>
        <v>219</v>
      </c>
      <c r="E48" s="281">
        <f>D48*0.1</f>
        <v>21.900000000000002</v>
      </c>
    </row>
    <row r="49" spans="2:15">
      <c r="B49" s="362">
        <v>0</v>
      </c>
      <c r="C49" s="360">
        <v>0</v>
      </c>
      <c r="D49" s="281">
        <v>0</v>
      </c>
      <c r="E49" s="281">
        <v>0</v>
      </c>
      <c r="G49" t="s">
        <v>733</v>
      </c>
    </row>
    <row r="50" spans="2:15">
      <c r="B50" s="362">
        <f>J25</f>
        <v>1.9E-2</v>
      </c>
      <c r="C50" s="360">
        <f>J28</f>
        <v>1.9E-2</v>
      </c>
      <c r="D50" s="281">
        <f>H25</f>
        <v>34.03921568627451</v>
      </c>
      <c r="E50" s="281">
        <f>E51*0.8</f>
        <v>97.176470588235304</v>
      </c>
      <c r="G50" t="s">
        <v>734</v>
      </c>
    </row>
    <row r="51" spans="2:15">
      <c r="B51" s="362">
        <f>J26</f>
        <v>2.7999999999999997E-2</v>
      </c>
      <c r="C51" s="360">
        <f>J27</f>
        <v>2.7999999999999997E-2</v>
      </c>
      <c r="D51" s="281">
        <f>H26</f>
        <v>42.549019607843135</v>
      </c>
      <c r="E51" s="281">
        <f>H27</f>
        <v>121.47058823529412</v>
      </c>
      <c r="G51" t="s">
        <v>735</v>
      </c>
      <c r="M51" t="s">
        <v>830</v>
      </c>
      <c r="N51" t="s">
        <v>828</v>
      </c>
      <c r="O51" t="s">
        <v>831</v>
      </c>
    </row>
    <row r="52" spans="2:15">
      <c r="B52" s="362">
        <v>0</v>
      </c>
      <c r="C52" s="360">
        <v>0</v>
      </c>
      <c r="D52" s="281">
        <v>0</v>
      </c>
      <c r="E52" s="281">
        <v>0</v>
      </c>
      <c r="G52" t="s">
        <v>740</v>
      </c>
      <c r="M52" t="s">
        <v>827</v>
      </c>
      <c r="N52" t="s">
        <v>828</v>
      </c>
      <c r="O52" t="s">
        <v>829</v>
      </c>
    </row>
    <row r="53" spans="2:15">
      <c r="B53" s="362">
        <f>IF(J25=J22,C44,IF(J25&lt;J22,B44,D44))</f>
        <v>1.4999999999999999E-2</v>
      </c>
      <c r="C53" s="360">
        <f>F23*J23+F24*J28</f>
        <v>1.6799999999999999E-2</v>
      </c>
      <c r="D53" s="281">
        <f>D34</f>
        <v>130.70735294117648</v>
      </c>
      <c r="E53" s="281">
        <f>D36</f>
        <v>53.365411764705883</v>
      </c>
    </row>
    <row r="54" spans="2:15">
      <c r="B54" s="186" t="s">
        <v>841</v>
      </c>
      <c r="C54" s="186"/>
      <c r="D54" s="186"/>
    </row>
    <row r="55" spans="2:15">
      <c r="B55">
        <f>D34</f>
        <v>130.70735294117648</v>
      </c>
      <c r="C55" t="s">
        <v>797</v>
      </c>
    </row>
    <row r="56" spans="2:15">
      <c r="B56">
        <f>D36</f>
        <v>53.365411764705883</v>
      </c>
      <c r="C56" t="s">
        <v>813</v>
      </c>
    </row>
    <row r="57" spans="2:15">
      <c r="B57">
        <f>D37</f>
        <v>66.70676470588235</v>
      </c>
      <c r="C57" t="s">
        <v>812</v>
      </c>
    </row>
    <row r="63" spans="2:15" ht="16">
      <c r="B63" s="388" t="s">
        <v>704</v>
      </c>
      <c r="C63" s="186"/>
      <c r="D63" s="186"/>
    </row>
    <row r="64" spans="2:15">
      <c r="B64" t="s">
        <v>777</v>
      </c>
    </row>
    <row r="65" spans="2:10">
      <c r="D65" s="366"/>
    </row>
    <row r="66" spans="2:10">
      <c r="D66" s="366"/>
    </row>
    <row r="67" spans="2:10">
      <c r="D67" s="366"/>
    </row>
    <row r="75" spans="2:10">
      <c r="B75" s="186" t="s">
        <v>852</v>
      </c>
      <c r="C75" s="186"/>
      <c r="D75" s="186"/>
      <c r="E75" s="186"/>
      <c r="G75" s="186" t="s">
        <v>931</v>
      </c>
      <c r="H75" s="186"/>
      <c r="I75" s="186"/>
      <c r="J75" s="186"/>
    </row>
    <row r="76" spans="2:10">
      <c r="B76" t="s">
        <v>761</v>
      </c>
      <c r="D76">
        <v>3.5</v>
      </c>
      <c r="E76" t="s">
        <v>745</v>
      </c>
      <c r="G76" t="s">
        <v>205</v>
      </c>
      <c r="I76">
        <v>1620</v>
      </c>
      <c r="J76" t="s">
        <v>227</v>
      </c>
    </row>
    <row r="77" spans="2:10">
      <c r="D77" s="281">
        <f>D76*25.4</f>
        <v>88.899999999999991</v>
      </c>
      <c r="E77" t="s">
        <v>227</v>
      </c>
      <c r="G77" t="s">
        <v>226</v>
      </c>
      <c r="I77" s="190">
        <v>1.4075101552646612</v>
      </c>
      <c r="J77" t="s">
        <v>227</v>
      </c>
    </row>
    <row r="78" spans="2:10">
      <c r="B78" t="s">
        <v>853</v>
      </c>
      <c r="D78" t="s">
        <v>749</v>
      </c>
      <c r="G78" t="s">
        <v>705</v>
      </c>
      <c r="I78" s="190">
        <f>I79+2*I77</f>
        <v>93.223020310529307</v>
      </c>
      <c r="J78" t="s">
        <v>227</v>
      </c>
    </row>
    <row r="79" spans="2:10">
      <c r="B79" t="s">
        <v>768</v>
      </c>
      <c r="D79">
        <v>20</v>
      </c>
      <c r="E79" t="s">
        <v>765</v>
      </c>
      <c r="G79" t="s">
        <v>706</v>
      </c>
      <c r="I79" s="190">
        <f>D83</f>
        <v>90.407999999999987</v>
      </c>
      <c r="J79" t="s">
        <v>227</v>
      </c>
    </row>
    <row r="80" spans="2:10">
      <c r="B80" t="s">
        <v>764</v>
      </c>
      <c r="D80">
        <v>85</v>
      </c>
      <c r="E80" t="s">
        <v>765</v>
      </c>
      <c r="G80" t="s">
        <v>707</v>
      </c>
      <c r="I80" s="190">
        <f>(I78+I79)*0.5</f>
        <v>91.815510155264647</v>
      </c>
      <c r="J80" t="s">
        <v>227</v>
      </c>
    </row>
    <row r="81" spans="1:12">
      <c r="D81">
        <f>CONVERT(D80,"C","F")</f>
        <v>185</v>
      </c>
      <c r="E81" t="s">
        <v>766</v>
      </c>
      <c r="G81" t="s">
        <v>323</v>
      </c>
      <c r="I81" s="190">
        <f>1620/2</f>
        <v>810</v>
      </c>
      <c r="J81" t="s">
        <v>227</v>
      </c>
      <c r="L81" t="s">
        <v>774</v>
      </c>
    </row>
    <row r="82" spans="1:12">
      <c r="B82" t="s">
        <v>762</v>
      </c>
      <c r="D82">
        <f>VLOOKUP(D78,B313:C319,2,)</f>
        <v>23.2</v>
      </c>
      <c r="E82" t="s">
        <v>767</v>
      </c>
      <c r="G82" t="s">
        <v>743</v>
      </c>
      <c r="I82" s="190">
        <f>((PI()*I78^2)/4)-((PI()*I79^2)/4)</f>
        <v>405.99198631148738</v>
      </c>
      <c r="J82" t="s">
        <v>864</v>
      </c>
      <c r="L82" t="s">
        <v>775</v>
      </c>
    </row>
    <row r="83" spans="1:12">
      <c r="B83" t="s">
        <v>763</v>
      </c>
      <c r="D83">
        <f>D77+((D80-D79)*(D82/1000))</f>
        <v>90.407999999999987</v>
      </c>
      <c r="E83" t="s">
        <v>227</v>
      </c>
      <c r="G83" t="s">
        <v>865</v>
      </c>
      <c r="I83" s="190">
        <f>(PI()/(32*I78))*((I78^4)-I79^4)</f>
        <v>9180.5447477597481</v>
      </c>
      <c r="J83" t="s">
        <v>863</v>
      </c>
      <c r="L83" t="s">
        <v>776</v>
      </c>
    </row>
    <row r="85" spans="1:12">
      <c r="B85" s="186" t="s">
        <v>932</v>
      </c>
      <c r="C85" s="186"/>
      <c r="D85" s="186"/>
      <c r="E85" s="186"/>
      <c r="F85" s="186"/>
      <c r="G85" s="186"/>
      <c r="H85" s="186"/>
      <c r="I85" s="186"/>
      <c r="J85" s="186"/>
    </row>
    <row r="86" spans="1:12">
      <c r="B86" t="s">
        <v>935</v>
      </c>
      <c r="D86" s="281">
        <f>I88</f>
        <v>87.302361846254399</v>
      </c>
      <c r="E86" t="s">
        <v>227</v>
      </c>
      <c r="G86" t="s">
        <v>226</v>
      </c>
      <c r="I86" s="281">
        <f>0.5*I79-(0.125*(I79^4)-0.0625*(I78^4))^(1/4)</f>
        <v>1.5528190768727939</v>
      </c>
      <c r="J86" t="s">
        <v>227</v>
      </c>
    </row>
    <row r="87" spans="1:12">
      <c r="B87" t="s">
        <v>936</v>
      </c>
      <c r="D87" s="281">
        <f>D86+((D79-D80)*D82/1000)</f>
        <v>85.794361846254404</v>
      </c>
      <c r="E87" t="s">
        <v>227</v>
      </c>
      <c r="G87" t="s">
        <v>934</v>
      </c>
      <c r="I87" s="190">
        <f>I79</f>
        <v>90.407999999999987</v>
      </c>
      <c r="J87" t="s">
        <v>227</v>
      </c>
    </row>
    <row r="88" spans="1:12">
      <c r="B88" t="s">
        <v>937</v>
      </c>
      <c r="D88" s="281">
        <f>(D86-D87)/2</f>
        <v>0.75399999999999778</v>
      </c>
      <c r="E88" t="s">
        <v>227</v>
      </c>
      <c r="G88" t="s">
        <v>933</v>
      </c>
      <c r="I88">
        <f>I87-2*I86</f>
        <v>87.302361846254399</v>
      </c>
      <c r="J88" t="s">
        <v>227</v>
      </c>
    </row>
    <row r="89" spans="1:12">
      <c r="C89" s="449" t="s">
        <v>940</v>
      </c>
      <c r="D89">
        <v>0.2</v>
      </c>
      <c r="E89" t="s">
        <v>782</v>
      </c>
      <c r="G89" t="s">
        <v>938</v>
      </c>
    </row>
    <row r="90" spans="1:12">
      <c r="C90" s="449"/>
      <c r="D90">
        <v>0</v>
      </c>
      <c r="E90" t="s">
        <v>194</v>
      </c>
      <c r="G90" t="s">
        <v>939</v>
      </c>
    </row>
    <row r="91" spans="1:12" ht="15" thickBot="1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</row>
    <row r="92" spans="1:12" ht="15" thickTop="1">
      <c r="B92" s="186" t="s">
        <v>1001</v>
      </c>
      <c r="C92" s="186"/>
      <c r="G92" s="186" t="s">
        <v>932</v>
      </c>
      <c r="H92" s="186"/>
      <c r="I92" s="186"/>
    </row>
    <row r="93" spans="1:12">
      <c r="B93" t="s">
        <v>1002</v>
      </c>
      <c r="C93">
        <f>D83</f>
        <v>90.407999999999987</v>
      </c>
      <c r="D93" t="s">
        <v>227</v>
      </c>
      <c r="E93" s="449" t="s">
        <v>1008</v>
      </c>
      <c r="G93" t="s">
        <v>706</v>
      </c>
      <c r="H93">
        <f>I88</f>
        <v>87.302361846254399</v>
      </c>
      <c r="I93" t="s">
        <v>227</v>
      </c>
      <c r="J93" s="449" t="s">
        <v>1008</v>
      </c>
    </row>
    <row r="94" spans="1:12">
      <c r="B94" t="s">
        <v>1003</v>
      </c>
      <c r="C94" s="190">
        <f>I78</f>
        <v>93.223020310529307</v>
      </c>
      <c r="D94" t="s">
        <v>227</v>
      </c>
      <c r="E94" s="449"/>
      <c r="G94" t="s">
        <v>1003</v>
      </c>
      <c r="H94">
        <f>C93</f>
        <v>90.407999999999987</v>
      </c>
      <c r="I94" t="s">
        <v>227</v>
      </c>
      <c r="J94" s="449"/>
    </row>
    <row r="95" spans="1:12">
      <c r="B95" t="s">
        <v>1005</v>
      </c>
      <c r="C95">
        <v>80</v>
      </c>
      <c r="D95" t="s">
        <v>227</v>
      </c>
      <c r="E95">
        <v>4</v>
      </c>
      <c r="G95" t="s">
        <v>1005</v>
      </c>
      <c r="H95" t="s">
        <v>1004</v>
      </c>
      <c r="I95" t="s">
        <v>227</v>
      </c>
      <c r="J95">
        <v>4</v>
      </c>
    </row>
    <row r="96" spans="1:12">
      <c r="B96" t="s">
        <v>1006</v>
      </c>
      <c r="C96">
        <v>22</v>
      </c>
      <c r="D96" t="s">
        <v>227</v>
      </c>
      <c r="E96">
        <v>4</v>
      </c>
      <c r="G96" t="s">
        <v>1006</v>
      </c>
      <c r="I96" t="s">
        <v>227</v>
      </c>
    </row>
    <row r="97" spans="1:11" ht="15" thickBot="1">
      <c r="A97" s="392"/>
      <c r="B97" s="392" t="s">
        <v>1007</v>
      </c>
      <c r="C97" s="392">
        <v>46</v>
      </c>
      <c r="D97" s="392" t="s">
        <v>227</v>
      </c>
      <c r="E97" s="392">
        <v>4</v>
      </c>
      <c r="F97" s="392"/>
      <c r="G97" s="392" t="s">
        <v>1007</v>
      </c>
      <c r="H97" s="392"/>
      <c r="I97" s="392" t="s">
        <v>227</v>
      </c>
      <c r="J97" s="392"/>
      <c r="K97" s="392"/>
    </row>
    <row r="98" spans="1:11" ht="15" thickTop="1"/>
    <row r="99" spans="1:11">
      <c r="B99" s="186" t="s">
        <v>854</v>
      </c>
      <c r="C99" s="186"/>
      <c r="D99" s="186"/>
      <c r="E99" s="186"/>
      <c r="F99" s="186"/>
      <c r="G99" s="186"/>
      <c r="H99" s="186"/>
      <c r="I99" s="186"/>
      <c r="J99" s="186"/>
    </row>
    <row r="100" spans="1:11">
      <c r="B100" t="s">
        <v>1009</v>
      </c>
    </row>
    <row r="101" spans="1:11">
      <c r="B101" t="s">
        <v>855</v>
      </c>
    </row>
    <row r="102" spans="1:11">
      <c r="B102" t="s">
        <v>84</v>
      </c>
      <c r="C102" t="s">
        <v>856</v>
      </c>
      <c r="D102" t="s">
        <v>857</v>
      </c>
      <c r="E102">
        <v>18</v>
      </c>
      <c r="F102" t="s">
        <v>858</v>
      </c>
      <c r="G102" t="s">
        <v>859</v>
      </c>
      <c r="H102">
        <v>0.5</v>
      </c>
    </row>
    <row r="104" spans="1:11" ht="29">
      <c r="B104" s="186" t="s">
        <v>846</v>
      </c>
      <c r="C104" s="186" t="s">
        <v>778</v>
      </c>
      <c r="D104" s="378" t="s">
        <v>1010</v>
      </c>
      <c r="E104" s="186" t="s">
        <v>409</v>
      </c>
      <c r="F104" s="186"/>
      <c r="G104" s="186"/>
      <c r="H104" s="186"/>
      <c r="I104" s="186"/>
      <c r="J104" s="186"/>
    </row>
    <row r="105" spans="1:11">
      <c r="B105" t="s">
        <v>769</v>
      </c>
      <c r="C105" t="s">
        <v>783</v>
      </c>
      <c r="D105" t="s">
        <v>771</v>
      </c>
      <c r="E105" t="s">
        <v>1011</v>
      </c>
    </row>
    <row r="106" spans="1:11">
      <c r="B106" s="190">
        <v>117</v>
      </c>
      <c r="C106" s="368" t="s">
        <v>782</v>
      </c>
      <c r="D106">
        <v>150</v>
      </c>
      <c r="E106" t="s">
        <v>773</v>
      </c>
    </row>
    <row r="107" spans="1:11">
      <c r="B107" s="190">
        <v>350</v>
      </c>
      <c r="C107" s="369" t="s">
        <v>782</v>
      </c>
      <c r="D107">
        <v>1500</v>
      </c>
      <c r="E107" t="s">
        <v>849</v>
      </c>
      <c r="H107" s="306" t="s">
        <v>1035</v>
      </c>
      <c r="I107" s="359">
        <f>((B107+B106)/J145)/9.81</f>
        <v>7.5694840545657689</v>
      </c>
      <c r="J107" s="281"/>
    </row>
    <row r="108" spans="1:11">
      <c r="B108" s="190">
        <f>(B106+B107-(B109*D109))/D108</f>
        <v>-7.1043771043770741E-3</v>
      </c>
      <c r="C108" s="370" t="s">
        <v>194</v>
      </c>
      <c r="D108">
        <f>I81-D106</f>
        <v>660</v>
      </c>
      <c r="E108" t="s">
        <v>851</v>
      </c>
      <c r="I108" s="306"/>
      <c r="J108" s="306"/>
    </row>
    <row r="109" spans="1:11">
      <c r="B109" s="190">
        <f>(B107*(2*D109+D108)-(B106*D108))/((D109^2)+D108*D109)</f>
        <v>0.68360708534621573</v>
      </c>
      <c r="C109" s="367" t="s">
        <v>194</v>
      </c>
      <c r="D109">
        <f>D107-I81</f>
        <v>690</v>
      </c>
      <c r="E109" t="s">
        <v>850</v>
      </c>
      <c r="H109" t="s">
        <v>869</v>
      </c>
      <c r="I109">
        <f>SUM(D108:D109)</f>
        <v>1350</v>
      </c>
      <c r="J109" s="306"/>
    </row>
    <row r="111" spans="1:11">
      <c r="B111" t="s">
        <v>860</v>
      </c>
      <c r="F111" t="s">
        <v>862</v>
      </c>
    </row>
    <row r="112" spans="1:11">
      <c r="B112" t="s">
        <v>870</v>
      </c>
      <c r="D112" s="281">
        <f>B106-B108*D108</f>
        <v>121.68888888888887</v>
      </c>
      <c r="E112" t="s">
        <v>715</v>
      </c>
    </row>
    <row r="113" spans="2:14">
      <c r="B113" t="s">
        <v>861</v>
      </c>
      <c r="D113" s="281">
        <f>(B106^2)/(2*B108)</f>
        <v>-963420.14218009892</v>
      </c>
      <c r="E113" t="s">
        <v>787</v>
      </c>
      <c r="F113">
        <f>B106/B108</f>
        <v>-16468.720379146991</v>
      </c>
      <c r="G113" t="s">
        <v>227</v>
      </c>
    </row>
    <row r="114" spans="2:14">
      <c r="B114" t="s">
        <v>867</v>
      </c>
      <c r="D114" s="281">
        <f>((D112^2)/(2*B109))-D112*(I109-D108)+B109*(0.5*I109^2+0.5*D108^2-I109*D108)</f>
        <v>89598.252143597478</v>
      </c>
      <c r="E114" t="s">
        <v>787</v>
      </c>
      <c r="F114">
        <f>(D112/B109)+D108</f>
        <v>838.00998775087157</v>
      </c>
      <c r="G114" t="s">
        <v>227</v>
      </c>
      <c r="H114" s="379" t="s">
        <v>897</v>
      </c>
    </row>
    <row r="115" spans="2:14">
      <c r="B115" t="s">
        <v>790</v>
      </c>
      <c r="D115" s="281">
        <f>MAX(D113:D114)</f>
        <v>89598.252143597478</v>
      </c>
      <c r="E115" t="s">
        <v>787</v>
      </c>
      <c r="H115" s="379" t="s">
        <v>898</v>
      </c>
    </row>
    <row r="116" spans="2:14">
      <c r="B116" t="s">
        <v>866</v>
      </c>
      <c r="D116" s="281">
        <f>D115/tubeZ</f>
        <v>9.7595790451826279</v>
      </c>
      <c r="E116" t="s">
        <v>719</v>
      </c>
    </row>
    <row r="117" spans="2:14">
      <c r="B117" t="s">
        <v>893</v>
      </c>
      <c r="D117" s="281">
        <f>B107/(PI()*I80*I77)</f>
        <v>0.86208598149883475</v>
      </c>
      <c r="E117" t="s">
        <v>719</v>
      </c>
    </row>
    <row r="118" spans="2:14">
      <c r="B118" t="s">
        <v>889</v>
      </c>
      <c r="D118" s="281">
        <f>StyComp/D116</f>
        <v>13.392724454206272</v>
      </c>
    </row>
    <row r="119" spans="2:14">
      <c r="B119" t="s">
        <v>890</v>
      </c>
      <c r="D119" s="281">
        <f>ScyComp/D116</f>
        <v>5.468003437202273</v>
      </c>
    </row>
    <row r="120" spans="2:14">
      <c r="B120" t="s">
        <v>892</v>
      </c>
      <c r="D120" s="281">
        <f>SsyComp/D117</f>
        <v>41.912702116274126</v>
      </c>
      <c r="F120" s="379" t="s">
        <v>895</v>
      </c>
    </row>
    <row r="121" spans="2:14">
      <c r="F121" s="379" t="s">
        <v>896</v>
      </c>
    </row>
    <row r="122" spans="2:14">
      <c r="B122" t="s">
        <v>868</v>
      </c>
      <c r="C122">
        <v>15</v>
      </c>
      <c r="D122">
        <f>I109/C122</f>
        <v>90</v>
      </c>
      <c r="L122" t="s">
        <v>780</v>
      </c>
      <c r="M122" t="s">
        <v>786</v>
      </c>
    </row>
    <row r="123" spans="2:14">
      <c r="B123" s="373" t="s">
        <v>788</v>
      </c>
      <c r="C123" s="373" t="s">
        <v>320</v>
      </c>
      <c r="D123" s="373" t="s">
        <v>789</v>
      </c>
      <c r="L123">
        <f>D106</f>
        <v>150</v>
      </c>
      <c r="M123">
        <v>0</v>
      </c>
    </row>
    <row r="124" spans="2:14">
      <c r="B124">
        <v>0</v>
      </c>
      <c r="C124">
        <f>IF(B124&lt;$D$108,$B$106-$B$108*B124,$D$112-$B$109*(B124-$D$108))</f>
        <v>117</v>
      </c>
      <c r="D124">
        <f>IF(B124&lt;$D$108,$B$106*B124-$B$108*(B124^2)*0.5,$D$112*B124+$B$109*($D$108*B124+0.5*$I$109^2-0.5*B124^2)-$I$109*($D$112+$B$109*$D$108))</f>
        <v>0</v>
      </c>
      <c r="L124">
        <f>L123</f>
        <v>150</v>
      </c>
      <c r="M124">
        <f>B106</f>
        <v>117</v>
      </c>
      <c r="N124" t="s">
        <v>781</v>
      </c>
    </row>
    <row r="125" spans="2:14">
      <c r="B125">
        <f>D122</f>
        <v>90</v>
      </c>
      <c r="C125">
        <f t="shared" ref="C125:C140" si="0">IF(B125&lt;$D$108,$B$106-$B$108*B125,$D$112-$B$109*(B125-$D$108))</f>
        <v>117.63939393939394</v>
      </c>
      <c r="D125">
        <f>IF(B125&lt;$D$108,$B$106*B125-$B$108*(B125^2)*0.5,$D$112*B125+$B$109*($D$108*B125+0.5*$I$109^2-0.5*B125^2)-$I$109*($D$112+$B$109*$D$108))</f>
        <v>10558.772727272728</v>
      </c>
      <c r="L125" t="e">
        <f>#REF!</f>
        <v>#REF!</v>
      </c>
      <c r="M125">
        <f>M124</f>
        <v>117</v>
      </c>
    </row>
    <row r="126" spans="2:14">
      <c r="B126">
        <f>B125+$D$122</f>
        <v>180</v>
      </c>
      <c r="C126">
        <f t="shared" si="0"/>
        <v>118.27878787878787</v>
      </c>
      <c r="D126">
        <f t="shared" ref="D126:D141" si="1">IF(B126&lt;$D$108,$B$106*B126-$B$108*(B126^2)*0.5,$D$112*B126+$B$109*($D$108*B126+0.5*$I$109^2-0.5*B126^2)-$I$109*($D$112+$B$109*$D$108))</f>
        <v>21175.090909090908</v>
      </c>
      <c r="L126" t="e">
        <f>L125</f>
        <v>#REF!</v>
      </c>
      <c r="M126" t="e">
        <f>M125-#REF!</f>
        <v>#REF!</v>
      </c>
    </row>
    <row r="127" spans="2:14">
      <c r="B127">
        <f t="shared" ref="B127:B140" si="2">B126+$D$122</f>
        <v>270</v>
      </c>
      <c r="C127">
        <f t="shared" si="0"/>
        <v>118.91818181818181</v>
      </c>
      <c r="D127">
        <f t="shared" si="1"/>
        <v>31848.954545454544</v>
      </c>
      <c r="L127">
        <f>D107</f>
        <v>1500</v>
      </c>
      <c r="M127" t="e">
        <f>M126</f>
        <v>#REF!</v>
      </c>
    </row>
    <row r="128" spans="2:14">
      <c r="B128">
        <f t="shared" si="2"/>
        <v>360</v>
      </c>
      <c r="C128">
        <f t="shared" si="0"/>
        <v>119.55757575757575</v>
      </c>
      <c r="D128">
        <f t="shared" si="1"/>
        <v>42580.363636363632</v>
      </c>
      <c r="L128">
        <f>L127</f>
        <v>1500</v>
      </c>
      <c r="M128" t="e">
        <f>M126+B107</f>
        <v>#REF!</v>
      </c>
    </row>
    <row r="129" spans="2:13">
      <c r="B129">
        <f t="shared" si="2"/>
        <v>450</v>
      </c>
      <c r="C129">
        <f t="shared" si="0"/>
        <v>120.19696969696969</v>
      </c>
      <c r="D129">
        <f t="shared" si="1"/>
        <v>53369.318181818177</v>
      </c>
    </row>
    <row r="130" spans="2:13">
      <c r="B130">
        <f t="shared" si="2"/>
        <v>540</v>
      </c>
      <c r="C130">
        <f t="shared" si="0"/>
        <v>120.83636363636361</v>
      </c>
      <c r="D130">
        <f t="shared" si="1"/>
        <v>64215.818181818177</v>
      </c>
    </row>
    <row r="131" spans="2:13">
      <c r="B131">
        <f t="shared" si="2"/>
        <v>630</v>
      </c>
      <c r="C131">
        <f t="shared" si="0"/>
        <v>121.47575757575756</v>
      </c>
      <c r="D131">
        <f t="shared" si="1"/>
        <v>75119.863636363632</v>
      </c>
    </row>
    <row r="132" spans="2:13">
      <c r="B132">
        <f>D108</f>
        <v>660</v>
      </c>
      <c r="C132">
        <f t="shared" si="0"/>
        <v>121.68888888888887</v>
      </c>
      <c r="D132">
        <f t="shared" si="1"/>
        <v>78767.333333333372</v>
      </c>
    </row>
    <row r="133" spans="2:13">
      <c r="B133">
        <f>B131+$D$122</f>
        <v>720</v>
      </c>
      <c r="C133">
        <f t="shared" si="0"/>
        <v>80.672463768115932</v>
      </c>
      <c r="D133">
        <f t="shared" si="1"/>
        <v>84838.173913043574</v>
      </c>
    </row>
    <row r="134" spans="2:13">
      <c r="B134">
        <f t="shared" si="2"/>
        <v>810</v>
      </c>
      <c r="C134">
        <f t="shared" si="0"/>
        <v>19.147826086956513</v>
      </c>
      <c r="D134">
        <f>IF(B134&lt;$D$108,$B$106*B134-$B$108*(B134^2)*0.5,$D$112*B134+$B$109*($D$108*B134+0.5*$I$109^2-0.5*B134^2)-$I$109*($D$112+$B$109*$D$108))</f>
        <v>89330.086956521729</v>
      </c>
      <c r="L134" t="s">
        <v>784</v>
      </c>
    </row>
    <row r="135" spans="2:13">
      <c r="B135">
        <f t="shared" si="2"/>
        <v>900</v>
      </c>
      <c r="C135">
        <f t="shared" si="0"/>
        <v>-42.376811594202906</v>
      </c>
      <c r="D135">
        <f t="shared" si="1"/>
        <v>88284.782608695677</v>
      </c>
      <c r="L135" t="s">
        <v>780</v>
      </c>
      <c r="M135" t="s">
        <v>785</v>
      </c>
    </row>
    <row r="136" spans="2:13">
      <c r="B136">
        <f t="shared" si="2"/>
        <v>990</v>
      </c>
      <c r="C136">
        <f t="shared" si="0"/>
        <v>-103.90144927536232</v>
      </c>
      <c r="D136">
        <f t="shared" si="1"/>
        <v>81702.260869565303</v>
      </c>
      <c r="L136">
        <f>L123</f>
        <v>150</v>
      </c>
      <c r="M136">
        <f>M123</f>
        <v>0</v>
      </c>
    </row>
    <row r="137" spans="2:13">
      <c r="B137">
        <f t="shared" si="2"/>
        <v>1080</v>
      </c>
      <c r="C137">
        <f t="shared" si="0"/>
        <v>-165.42608695652171</v>
      </c>
      <c r="D137">
        <f t="shared" si="1"/>
        <v>69582.52173913049</v>
      </c>
      <c r="L137" t="e">
        <f>L125</f>
        <v>#REF!</v>
      </c>
      <c r="M137" t="e">
        <f>(L137-L136)*M125</f>
        <v>#REF!</v>
      </c>
    </row>
    <row r="138" spans="2:13">
      <c r="B138">
        <f t="shared" si="2"/>
        <v>1170</v>
      </c>
      <c r="C138">
        <f t="shared" si="0"/>
        <v>-226.95072463768116</v>
      </c>
      <c r="D138">
        <f t="shared" si="1"/>
        <v>51925.565217391355</v>
      </c>
      <c r="L138">
        <f>L127</f>
        <v>1500</v>
      </c>
      <c r="M138" t="e">
        <f>M137-(L138-L137)*M126</f>
        <v>#REF!</v>
      </c>
    </row>
    <row r="139" spans="2:13">
      <c r="B139">
        <f t="shared" si="2"/>
        <v>1260</v>
      </c>
      <c r="C139">
        <f t="shared" si="0"/>
        <v>-288.47536231884055</v>
      </c>
      <c r="D139">
        <f t="shared" si="1"/>
        <v>28731.391304347897</v>
      </c>
    </row>
    <row r="140" spans="2:13">
      <c r="B140">
        <f t="shared" si="2"/>
        <v>1350</v>
      </c>
      <c r="C140">
        <f t="shared" si="0"/>
        <v>-350</v>
      </c>
      <c r="D140">
        <f t="shared" si="1"/>
        <v>0</v>
      </c>
    </row>
    <row r="141" spans="2:13">
      <c r="B141">
        <f>B140</f>
        <v>1350</v>
      </c>
      <c r="C141">
        <f>0</f>
        <v>0</v>
      </c>
      <c r="D141">
        <f t="shared" si="1"/>
        <v>0</v>
      </c>
    </row>
    <row r="142" spans="2:13">
      <c r="B142" s="186" t="s">
        <v>779</v>
      </c>
      <c r="C142" s="186" t="s">
        <v>778</v>
      </c>
      <c r="D142" s="186" t="s">
        <v>770</v>
      </c>
      <c r="E142" s="186" t="s">
        <v>409</v>
      </c>
      <c r="F142" s="186"/>
      <c r="G142" s="186"/>
      <c r="H142" s="186"/>
      <c r="I142" s="186"/>
      <c r="J142" s="186"/>
    </row>
    <row r="143" spans="2:13">
      <c r="B143" t="s">
        <v>769</v>
      </c>
      <c r="C143" t="s">
        <v>783</v>
      </c>
      <c r="D143" t="s">
        <v>771</v>
      </c>
      <c r="E143" t="s">
        <v>772</v>
      </c>
    </row>
    <row r="144" spans="2:13">
      <c r="B144">
        <v>6</v>
      </c>
      <c r="C144" s="368" t="s">
        <v>194</v>
      </c>
      <c r="D144">
        <v>0</v>
      </c>
      <c r="E144" t="s">
        <v>847</v>
      </c>
      <c r="I144" t="s">
        <v>1012</v>
      </c>
      <c r="J144" s="281">
        <f>(B147/J145)/9.81</f>
        <v>19.450494358627243</v>
      </c>
    </row>
    <row r="145" spans="2:10">
      <c r="B145">
        <v>150</v>
      </c>
      <c r="C145" s="369" t="s">
        <v>194</v>
      </c>
      <c r="E145" t="s">
        <v>848</v>
      </c>
      <c r="I145" t="s">
        <v>872</v>
      </c>
      <c r="J145" s="281">
        <f>J147-J146</f>
        <v>6.2889999999999997</v>
      </c>
    </row>
    <row r="146" spans="2:10">
      <c r="B146" s="281">
        <f>(J145*9.81*(1+J144))</f>
        <v>1261.6950899999999</v>
      </c>
      <c r="C146" s="370" t="s">
        <v>194</v>
      </c>
      <c r="E146" t="s">
        <v>884</v>
      </c>
      <c r="I146" t="s">
        <v>873</v>
      </c>
      <c r="J146" s="281">
        <f>3.423-2.328</f>
        <v>1.0950000000000002</v>
      </c>
    </row>
    <row r="147" spans="2:10">
      <c r="B147">
        <v>1200</v>
      </c>
      <c r="C147" t="s">
        <v>782</v>
      </c>
      <c r="D147" t="s">
        <v>88</v>
      </c>
      <c r="E147" t="s">
        <v>1013</v>
      </c>
      <c r="I147" t="s">
        <v>871</v>
      </c>
      <c r="J147" s="281">
        <v>7.3840000000000003</v>
      </c>
    </row>
    <row r="149" spans="2:10">
      <c r="B149" t="s">
        <v>874</v>
      </c>
      <c r="D149" s="281">
        <f>B145/I82</f>
        <v>0.36946542064235766</v>
      </c>
      <c r="E149" t="s">
        <v>719</v>
      </c>
    </row>
    <row r="150" spans="2:10">
      <c r="B150" t="s">
        <v>875</v>
      </c>
      <c r="D150" s="281">
        <f>B146/I82</f>
        <v>3.1076847143283151</v>
      </c>
      <c r="E150" t="s">
        <v>719</v>
      </c>
      <c r="F150" s="379" t="s">
        <v>880</v>
      </c>
    </row>
    <row r="151" spans="2:10">
      <c r="B151" t="s">
        <v>876</v>
      </c>
      <c r="D151" s="281">
        <f>Sbending</f>
        <v>9.7595790451826279</v>
      </c>
      <c r="E151" t="s">
        <v>719</v>
      </c>
      <c r="F151" s="379" t="s">
        <v>881</v>
      </c>
    </row>
    <row r="152" spans="2:10">
      <c r="B152" t="s">
        <v>877</v>
      </c>
      <c r="D152" s="281">
        <f>SUM(D149:D151)</f>
        <v>13.236729180153301</v>
      </c>
      <c r="E152" t="s">
        <v>719</v>
      </c>
      <c r="F152" s="379" t="s">
        <v>882</v>
      </c>
    </row>
    <row r="153" spans="2:10">
      <c r="B153" t="s">
        <v>891</v>
      </c>
      <c r="D153" s="281">
        <f>D112</f>
        <v>121.68888888888887</v>
      </c>
      <c r="F153" s="391" t="s">
        <v>883</v>
      </c>
      <c r="G153" s="391">
        <f>(B145/J145)/9.81</f>
        <v>2.4313117948284053</v>
      </c>
    </row>
    <row r="154" spans="2:10">
      <c r="B154" s="273" t="s">
        <v>879</v>
      </c>
      <c r="C154" s="273"/>
      <c r="D154" s="382">
        <f>ScyComp/D152</f>
        <v>4.0316161975059641</v>
      </c>
    </row>
    <row r="155" spans="2:10">
      <c r="B155" s="273" t="s">
        <v>878</v>
      </c>
      <c r="C155" s="273"/>
      <c r="D155" s="382">
        <f>StyComp/Sbending</f>
        <v>13.392724454206272</v>
      </c>
    </row>
    <row r="156" spans="2:10">
      <c r="B156" s="273" t="s">
        <v>885</v>
      </c>
      <c r="C156" s="273"/>
      <c r="D156" s="382">
        <f>D120</f>
        <v>41.912702116274126</v>
      </c>
    </row>
    <row r="158" spans="2:10">
      <c r="B158" s="186" t="s">
        <v>917</v>
      </c>
      <c r="C158" s="186"/>
      <c r="D158" s="186"/>
      <c r="F158" t="s">
        <v>941</v>
      </c>
    </row>
    <row r="159" spans="2:10">
      <c r="B159" t="s">
        <v>910</v>
      </c>
      <c r="D159">
        <f>(I82*I76)/(1000^3)</f>
        <v>6.5770701782460951E-4</v>
      </c>
      <c r="E159" t="s">
        <v>678</v>
      </c>
      <c r="F159" t="s">
        <v>943</v>
      </c>
    </row>
    <row r="160" spans="2:10">
      <c r="B160" t="s">
        <v>911</v>
      </c>
      <c r="D160">
        <f>F24*D159</f>
        <v>2.9596815802107428E-4</v>
      </c>
      <c r="E160" t="s">
        <v>678</v>
      </c>
      <c r="F160" t="s">
        <v>942</v>
      </c>
      <c r="G160">
        <f>I174</f>
        <v>0.6861264568664136</v>
      </c>
      <c r="H160" t="s">
        <v>944</v>
      </c>
    </row>
    <row r="161" spans="2:10">
      <c r="D161">
        <f>D160*(1000)</f>
        <v>0.29596815802107429</v>
      </c>
      <c r="E161" t="s">
        <v>403</v>
      </c>
      <c r="F161" s="384" t="s">
        <v>948</v>
      </c>
    </row>
    <row r="162" spans="2:10">
      <c r="B162" t="s">
        <v>912</v>
      </c>
      <c r="D162">
        <f>F23*D159</f>
        <v>3.6173885980353524E-4</v>
      </c>
      <c r="E162" t="s">
        <v>678</v>
      </c>
      <c r="F162" s="384" t="s">
        <v>950</v>
      </c>
    </row>
    <row r="163" spans="2:10">
      <c r="B163" t="s">
        <v>913</v>
      </c>
      <c r="D163">
        <f>D23*D162</f>
        <v>0.34546061111237614</v>
      </c>
      <c r="E163" t="s">
        <v>310</v>
      </c>
      <c r="F163" t="s">
        <v>951</v>
      </c>
    </row>
    <row r="164" spans="2:10">
      <c r="B164" t="s">
        <v>914</v>
      </c>
      <c r="D164">
        <f>D163/(D18/1000)</f>
        <v>1.808694299017676</v>
      </c>
      <c r="E164" t="s">
        <v>223</v>
      </c>
      <c r="F164" s="385" t="s">
        <v>949</v>
      </c>
    </row>
    <row r="165" spans="2:10">
      <c r="B165" t="s">
        <v>915</v>
      </c>
      <c r="D165">
        <v>1.62</v>
      </c>
      <c r="E165" t="s">
        <v>197</v>
      </c>
    </row>
    <row r="166" spans="2:10">
      <c r="B166" t="s">
        <v>916</v>
      </c>
      <c r="D166">
        <f>D164/D165</f>
        <v>1.1164779623565901</v>
      </c>
      <c r="E166" t="s">
        <v>197</v>
      </c>
    </row>
    <row r="167" spans="2:10">
      <c r="H167" t="s">
        <v>946</v>
      </c>
      <c r="I167" t="s">
        <v>945</v>
      </c>
    </row>
    <row r="168" spans="2:10">
      <c r="B168" s="186" t="s">
        <v>918</v>
      </c>
      <c r="C168" s="186"/>
      <c r="D168" s="186"/>
      <c r="F168" t="s">
        <v>926</v>
      </c>
      <c r="I168" t="s">
        <v>677</v>
      </c>
    </row>
    <row r="169" spans="2:10">
      <c r="B169" t="s">
        <v>919</v>
      </c>
      <c r="D169" s="281">
        <v>0.2</v>
      </c>
      <c r="E169" t="s">
        <v>227</v>
      </c>
      <c r="F169">
        <v>0.3</v>
      </c>
      <c r="G169" t="s">
        <v>924</v>
      </c>
      <c r="I169">
        <f>($I$82/1000^2)*F169</f>
        <v>1.217975958934462E-4</v>
      </c>
    </row>
    <row r="170" spans="2:10">
      <c r="B170" t="s">
        <v>921</v>
      </c>
      <c r="D170" s="281">
        <f>PI()*I80</f>
        <v>288.44693218937846</v>
      </c>
      <c r="E170" t="s">
        <v>227</v>
      </c>
      <c r="F170">
        <v>0.22</v>
      </c>
      <c r="G170" t="s">
        <v>925</v>
      </c>
      <c r="I170">
        <f t="shared" ref="I170:I172" si="3">($I$82/1000^2)*F170</f>
        <v>8.9318236988527219E-5</v>
      </c>
    </row>
    <row r="171" spans="2:10">
      <c r="B171" t="s">
        <v>205</v>
      </c>
      <c r="D171" s="281">
        <v>1620</v>
      </c>
      <c r="E171" t="s">
        <v>227</v>
      </c>
      <c r="F171">
        <v>0.37</v>
      </c>
      <c r="G171" t="s">
        <v>927</v>
      </c>
      <c r="I171">
        <f t="shared" si="3"/>
        <v>1.5021703493525032E-4</v>
      </c>
    </row>
    <row r="172" spans="2:10">
      <c r="B172" t="s">
        <v>920</v>
      </c>
      <c r="D172" s="281">
        <f>ROUNDUP(I77/D169,0)</f>
        <v>8</v>
      </c>
      <c r="E172" t="s">
        <v>923</v>
      </c>
      <c r="F172">
        <v>0.8</v>
      </c>
      <c r="G172" t="s">
        <v>928</v>
      </c>
      <c r="I172">
        <f t="shared" si="3"/>
        <v>3.2479358904918994E-4</v>
      </c>
    </row>
    <row r="173" spans="2:10">
      <c r="B173" t="s">
        <v>922</v>
      </c>
      <c r="D173" s="281">
        <f>(D170/1000)*(D171/1000)*D172</f>
        <v>3.7382722411743448</v>
      </c>
      <c r="E173" t="s">
        <v>223</v>
      </c>
      <c r="F173">
        <f>SUM(F169:F172)</f>
        <v>1.69</v>
      </c>
      <c r="G173" s="386">
        <f>SUM(F171:F172)</f>
        <v>1.17</v>
      </c>
      <c r="H173" t="s">
        <v>929</v>
      </c>
      <c r="I173">
        <f>SUM(I169:I172)</f>
        <v>6.8612645686641363E-4</v>
      </c>
    </row>
    <row r="174" spans="2:10">
      <c r="B174" t="s">
        <v>915</v>
      </c>
      <c r="D174" s="281">
        <v>1.17</v>
      </c>
      <c r="I174">
        <f>I173*1000</f>
        <v>0.6861264568664136</v>
      </c>
      <c r="J174" t="s">
        <v>947</v>
      </c>
    </row>
    <row r="175" spans="2:10">
      <c r="B175" s="186" t="s">
        <v>916</v>
      </c>
      <c r="C175" s="186"/>
      <c r="D175" s="387">
        <f>D173/D174</f>
        <v>3.1951044796361923</v>
      </c>
    </row>
    <row r="176" spans="2:10">
      <c r="B176" t="s">
        <v>919</v>
      </c>
      <c r="D176" s="281">
        <v>0.2</v>
      </c>
      <c r="E176" t="s">
        <v>227</v>
      </c>
      <c r="F176" s="386">
        <v>1.17</v>
      </c>
      <c r="G176" t="s">
        <v>929</v>
      </c>
    </row>
    <row r="177" spans="2:20">
      <c r="B177" t="s">
        <v>921</v>
      </c>
      <c r="D177" s="281">
        <f>PI()*I80</f>
        <v>288.44693218937846</v>
      </c>
      <c r="E177" t="s">
        <v>227</v>
      </c>
    </row>
    <row r="178" spans="2:20">
      <c r="B178" t="s">
        <v>205</v>
      </c>
      <c r="D178" s="281">
        <v>1170</v>
      </c>
      <c r="E178" t="s">
        <v>227</v>
      </c>
    </row>
    <row r="179" spans="2:20">
      <c r="B179" t="s">
        <v>920</v>
      </c>
      <c r="D179" s="281">
        <v>9</v>
      </c>
      <c r="E179" t="s">
        <v>923</v>
      </c>
    </row>
    <row r="180" spans="2:20">
      <c r="B180" t="s">
        <v>922</v>
      </c>
      <c r="D180" s="281">
        <f>(D177/1000)*(D178/1000)*D179</f>
        <v>3.037346195954155</v>
      </c>
      <c r="E180" t="s">
        <v>223</v>
      </c>
    </row>
    <row r="181" spans="2:20">
      <c r="B181" t="s">
        <v>915</v>
      </c>
      <c r="D181" s="281">
        <v>1.17</v>
      </c>
    </row>
    <row r="182" spans="2:20">
      <c r="B182" s="186" t="s">
        <v>916</v>
      </c>
      <c r="C182" s="186"/>
      <c r="D182" s="387">
        <f>D180/D181</f>
        <v>2.5960223897044061</v>
      </c>
    </row>
    <row r="183" spans="2:20">
      <c r="B183" t="s">
        <v>919</v>
      </c>
      <c r="D183" s="281">
        <v>0.2</v>
      </c>
      <c r="E183" t="s">
        <v>227</v>
      </c>
      <c r="F183" s="301">
        <f>SUM(F169:F170)</f>
        <v>0.52</v>
      </c>
      <c r="G183" t="s">
        <v>930</v>
      </c>
    </row>
    <row r="184" spans="2:20">
      <c r="B184" t="s">
        <v>921</v>
      </c>
      <c r="D184" s="281">
        <f>PI()*I80</f>
        <v>288.44693218937846</v>
      </c>
      <c r="E184" t="s">
        <v>227</v>
      </c>
      <c r="L184" t="s">
        <v>952</v>
      </c>
      <c r="Q184" t="s">
        <v>956</v>
      </c>
    </row>
    <row r="185" spans="2:20">
      <c r="B185" t="s">
        <v>205</v>
      </c>
      <c r="D185" s="281">
        <v>520</v>
      </c>
      <c r="E185" t="s">
        <v>227</v>
      </c>
      <c r="L185" t="s">
        <v>953</v>
      </c>
      <c r="N185">
        <v>15</v>
      </c>
      <c r="O185" t="s">
        <v>196</v>
      </c>
      <c r="Q185" t="s">
        <v>959</v>
      </c>
      <c r="S185">
        <v>2</v>
      </c>
      <c r="T185" t="s">
        <v>227</v>
      </c>
    </row>
    <row r="186" spans="2:20">
      <c r="B186" t="s">
        <v>920</v>
      </c>
      <c r="D186" s="281">
        <v>9</v>
      </c>
      <c r="E186" t="s">
        <v>923</v>
      </c>
      <c r="L186" t="s">
        <v>954</v>
      </c>
      <c r="N186">
        <v>10</v>
      </c>
      <c r="O186" t="s">
        <v>196</v>
      </c>
      <c r="Q186" t="s">
        <v>957</v>
      </c>
      <c r="S186">
        <v>0.25</v>
      </c>
      <c r="T186" t="s">
        <v>227</v>
      </c>
    </row>
    <row r="187" spans="2:20">
      <c r="B187" t="s">
        <v>922</v>
      </c>
      <c r="D187" s="281">
        <f>(D184/1000)*(D185/1000)*D186</f>
        <v>1.3499316426462913</v>
      </c>
      <c r="E187" t="s">
        <v>223</v>
      </c>
      <c r="L187" t="s">
        <v>955</v>
      </c>
      <c r="N187">
        <v>10</v>
      </c>
      <c r="O187" t="s">
        <v>196</v>
      </c>
      <c r="Q187" t="s">
        <v>958</v>
      </c>
      <c r="S187" s="286">
        <f>ROUNDUP(S185/S186,0)</f>
        <v>8</v>
      </c>
      <c r="T187" t="s">
        <v>923</v>
      </c>
    </row>
    <row r="188" spans="2:20">
      <c r="B188" t="s">
        <v>915</v>
      </c>
      <c r="D188" s="281">
        <v>0.52</v>
      </c>
    </row>
    <row r="189" spans="2:20">
      <c r="B189" t="s">
        <v>916</v>
      </c>
      <c r="D189" s="281">
        <f>D187/D188</f>
        <v>2.5960223897044061</v>
      </c>
    </row>
    <row r="192" spans="2:20" ht="16">
      <c r="B192" s="388" t="s">
        <v>708</v>
      </c>
      <c r="C192" s="186"/>
      <c r="D192" s="186"/>
      <c r="E192" s="186"/>
    </row>
    <row r="193" spans="2:19">
      <c r="B193" t="s">
        <v>1016</v>
      </c>
      <c r="D193">
        <v>150</v>
      </c>
      <c r="E193" t="s">
        <v>227</v>
      </c>
    </row>
    <row r="194" spans="2:19">
      <c r="B194" t="s">
        <v>1017</v>
      </c>
      <c r="D194">
        <v>100</v>
      </c>
      <c r="E194" t="s">
        <v>227</v>
      </c>
    </row>
    <row r="195" spans="2:19">
      <c r="B195" t="s">
        <v>1018</v>
      </c>
      <c r="D195">
        <v>100</v>
      </c>
      <c r="E195" t="s">
        <v>227</v>
      </c>
      <c r="S195" s="286"/>
    </row>
    <row r="196" spans="2:19">
      <c r="B196" t="s">
        <v>226</v>
      </c>
      <c r="D196">
        <v>2</v>
      </c>
      <c r="E196" t="s">
        <v>227</v>
      </c>
      <c r="S196" s="286"/>
    </row>
    <row r="197" spans="2:19">
      <c r="B197" t="s">
        <v>231</v>
      </c>
      <c r="D197" s="281">
        <f>D194/D193</f>
        <v>0.66666666666666663</v>
      </c>
      <c r="E197" t="str">
        <f>IF(D197&gt;0.5, "root stress", "too tapered")</f>
        <v>root stress</v>
      </c>
      <c r="S197" s="286"/>
    </row>
    <row r="198" spans="2:19">
      <c r="B198" t="s">
        <v>1029</v>
      </c>
      <c r="D198">
        <f>(D193*D196^4)/12</f>
        <v>200</v>
      </c>
      <c r="E198" t="s">
        <v>1022</v>
      </c>
      <c r="S198" s="286"/>
    </row>
    <row r="199" spans="2:19">
      <c r="B199" t="s">
        <v>1030</v>
      </c>
      <c r="D199">
        <f>(D196*D193^4)/12</f>
        <v>84375000</v>
      </c>
      <c r="E199" t="s">
        <v>1022</v>
      </c>
      <c r="S199" s="286"/>
    </row>
    <row r="200" spans="2:19">
      <c r="B200" t="s">
        <v>1019</v>
      </c>
      <c r="D200">
        <f>D193/2+D193*0.15</f>
        <v>97.5</v>
      </c>
      <c r="E200" t="s">
        <v>1023</v>
      </c>
      <c r="S200" s="286"/>
    </row>
    <row r="201" spans="2:19">
      <c r="D201">
        <f>D195*0.7</f>
        <v>70</v>
      </c>
      <c r="E201" t="s">
        <v>1024</v>
      </c>
      <c r="M201" t="s">
        <v>1039</v>
      </c>
      <c r="P201">
        <f>(D194-D193)/D195</f>
        <v>-0.5</v>
      </c>
      <c r="S201" s="286"/>
    </row>
    <row r="202" spans="2:19">
      <c r="B202" t="s">
        <v>1020</v>
      </c>
      <c r="D202">
        <f>350/2</f>
        <v>175</v>
      </c>
      <c r="E202" t="s">
        <v>715</v>
      </c>
      <c r="S202" s="286"/>
    </row>
    <row r="203" spans="2:19">
      <c r="B203" t="s">
        <v>1021</v>
      </c>
      <c r="D203">
        <v>30</v>
      </c>
      <c r="E203" t="s">
        <v>715</v>
      </c>
      <c r="S203" s="286"/>
    </row>
    <row r="204" spans="2:19">
      <c r="B204" t="s">
        <v>1034</v>
      </c>
      <c r="D204">
        <v>50</v>
      </c>
      <c r="E204" t="s">
        <v>309</v>
      </c>
      <c r="S204" s="286"/>
    </row>
    <row r="205" spans="2:19">
      <c r="B205" t="s">
        <v>1033</v>
      </c>
      <c r="D205">
        <f>((D204/1000)*I107*9.81)/D201</f>
        <v>5.3040456125207289E-2</v>
      </c>
      <c r="E205" t="s">
        <v>1038</v>
      </c>
      <c r="S205" s="286"/>
    </row>
    <row r="206" spans="2:19">
      <c r="D206">
        <f>D205*D201</f>
        <v>3.7128319287645102</v>
      </c>
      <c r="E206" t="s">
        <v>715</v>
      </c>
      <c r="S206" s="286"/>
    </row>
    <row r="207" spans="2:19">
      <c r="B207" t="s">
        <v>1037</v>
      </c>
      <c r="D207">
        <f>D206-D202</f>
        <v>-171.2871680712355</v>
      </c>
      <c r="E207" t="s">
        <v>715</v>
      </c>
      <c r="S207" s="286"/>
    </row>
    <row r="208" spans="2:19">
      <c r="B208" t="s">
        <v>1025</v>
      </c>
      <c r="D208">
        <f>D202*D201</f>
        <v>12250</v>
      </c>
      <c r="E208" t="s">
        <v>787</v>
      </c>
      <c r="S208" s="286"/>
    </row>
    <row r="209" spans="2:14">
      <c r="B209" t="s">
        <v>1026</v>
      </c>
      <c r="D209">
        <f>D203*D201</f>
        <v>2100</v>
      </c>
      <c r="E209" t="s">
        <v>787</v>
      </c>
    </row>
    <row r="210" spans="2:14">
      <c r="B210" t="s">
        <v>1027</v>
      </c>
      <c r="D210">
        <f>D208/D198</f>
        <v>61.25</v>
      </c>
      <c r="E210" t="s">
        <v>719</v>
      </c>
    </row>
    <row r="211" spans="2:14">
      <c r="B211" t="s">
        <v>1028</v>
      </c>
      <c r="D211">
        <f>D209/D199</f>
        <v>2.4888888888888889E-5</v>
      </c>
      <c r="E211" t="s">
        <v>719</v>
      </c>
    </row>
    <row r="214" spans="2:14">
      <c r="B214" t="s">
        <v>1031</v>
      </c>
      <c r="E214" t="s">
        <v>715</v>
      </c>
      <c r="F214">
        <v>15</v>
      </c>
      <c r="G214" s="281">
        <f>D201/F214</f>
        <v>4.666666666666667</v>
      </c>
    </row>
    <row r="215" spans="2:14">
      <c r="B215" t="s">
        <v>706</v>
      </c>
      <c r="C215" t="s">
        <v>186</v>
      </c>
      <c r="D215" t="s">
        <v>320</v>
      </c>
      <c r="E215" t="s">
        <v>789</v>
      </c>
      <c r="F215" t="s">
        <v>1032</v>
      </c>
      <c r="G215" t="s">
        <v>321</v>
      </c>
      <c r="H215" t="s">
        <v>1036</v>
      </c>
    </row>
    <row r="216" spans="2:14">
      <c r="B216">
        <v>1</v>
      </c>
      <c r="C216" s="281">
        <f>G214/2</f>
        <v>2.3333333333333335</v>
      </c>
      <c r="D216">
        <f>IF(C216&lt;$D$201,$D$207-$D$205*C216,$D$202)</f>
        <v>-171.41092913552765</v>
      </c>
      <c r="E216" s="281">
        <f>D216*C216</f>
        <v>-399.95883464956455</v>
      </c>
      <c r="F216" s="281">
        <f>(H216*$D$196^4)/12</f>
        <v>198.44444444444446</v>
      </c>
      <c r="G216">
        <f>E216/F216</f>
        <v>-2.0154700514255772</v>
      </c>
      <c r="H216" s="281">
        <f>C216*$P$201+$D$193</f>
        <v>148.83333333333334</v>
      </c>
    </row>
    <row r="217" spans="2:14">
      <c r="B217">
        <v>2</v>
      </c>
      <c r="C217" s="281">
        <f>C216+$G$214</f>
        <v>7</v>
      </c>
      <c r="D217">
        <f t="shared" ref="D217:D230" si="4">IF(C217&lt;$D$201,$D$207-$D$205*C217,$D$202)</f>
        <v>-171.65845126411196</v>
      </c>
      <c r="E217" s="281">
        <f t="shared" ref="E217:E231" si="5">D217*C217</f>
        <v>-1201.6091588487836</v>
      </c>
      <c r="F217" s="281">
        <f t="shared" ref="F217:F231" si="6">(H217*$D$196^4)/12</f>
        <v>195.33333333333334</v>
      </c>
      <c r="G217">
        <f t="shared" ref="G217:G231" si="7">E217/F217</f>
        <v>-6.1515827244818269</v>
      </c>
      <c r="H217" s="281">
        <f t="shared" ref="H217:H231" si="8">C217*$P$201+$D$193</f>
        <v>146.5</v>
      </c>
    </row>
    <row r="218" spans="2:14">
      <c r="B218">
        <v>3</v>
      </c>
      <c r="C218" s="281">
        <f t="shared" ref="C218:C230" si="9">C217+$G$214</f>
        <v>11.666666666666668</v>
      </c>
      <c r="D218">
        <f t="shared" si="4"/>
        <v>-171.90597339269624</v>
      </c>
      <c r="E218" s="281">
        <f t="shared" si="5"/>
        <v>-2005.5696895814563</v>
      </c>
      <c r="F218" s="281">
        <f t="shared" si="6"/>
        <v>192.2222222222222</v>
      </c>
      <c r="G218">
        <f t="shared" si="7"/>
        <v>-10.433599541175207</v>
      </c>
      <c r="H218" s="281">
        <f t="shared" si="8"/>
        <v>144.16666666666666</v>
      </c>
    </row>
    <row r="219" spans="2:14">
      <c r="B219">
        <v>4</v>
      </c>
      <c r="C219" s="281">
        <f t="shared" si="9"/>
        <v>16.333333333333336</v>
      </c>
      <c r="D219">
        <f t="shared" si="4"/>
        <v>-172.15349552128055</v>
      </c>
      <c r="E219" s="281">
        <f>D219*C219</f>
        <v>-2811.8404268475829</v>
      </c>
      <c r="F219" s="281">
        <f t="shared" si="6"/>
        <v>189.11111111111111</v>
      </c>
      <c r="G219">
        <f t="shared" si="7"/>
        <v>-14.868721411062424</v>
      </c>
      <c r="H219" s="281">
        <f t="shared" si="8"/>
        <v>141.83333333333334</v>
      </c>
    </row>
    <row r="220" spans="2:14">
      <c r="B220">
        <v>5</v>
      </c>
      <c r="C220" s="281">
        <f t="shared" si="9"/>
        <v>21.000000000000004</v>
      </c>
      <c r="D220">
        <f t="shared" si="4"/>
        <v>-172.40101764986485</v>
      </c>
      <c r="E220" s="281">
        <f>D220*C220</f>
        <v>-3620.4213706471623</v>
      </c>
      <c r="F220" s="281">
        <f t="shared" si="6"/>
        <v>186</v>
      </c>
      <c r="G220">
        <f t="shared" si="7"/>
        <v>-19.464631024984744</v>
      </c>
      <c r="H220" s="281">
        <f t="shared" si="8"/>
        <v>139.5</v>
      </c>
    </row>
    <row r="221" spans="2:14">
      <c r="B221">
        <v>6</v>
      </c>
      <c r="C221" s="281">
        <f t="shared" si="9"/>
        <v>25.666666666666671</v>
      </c>
      <c r="D221">
        <f t="shared" si="4"/>
        <v>-172.64853977844916</v>
      </c>
      <c r="E221" s="281">
        <f t="shared" si="5"/>
        <v>-4431.3125209801956</v>
      </c>
      <c r="F221" s="281">
        <f t="shared" si="6"/>
        <v>182.88888888888889</v>
      </c>
      <c r="G221">
        <f t="shared" si="7"/>
        <v>-24.229533832820024</v>
      </c>
      <c r="H221" s="281">
        <f t="shared" si="8"/>
        <v>137.16666666666666</v>
      </c>
    </row>
    <row r="222" spans="2:14">
      <c r="B222">
        <v>7</v>
      </c>
      <c r="C222" s="281">
        <f t="shared" si="9"/>
        <v>30.333333333333339</v>
      </c>
      <c r="D222">
        <f t="shared" si="4"/>
        <v>-172.89606190703344</v>
      </c>
      <c r="E222" s="281">
        <f>D222*C222</f>
        <v>-5244.5138778466817</v>
      </c>
      <c r="F222" s="281">
        <f t="shared" si="6"/>
        <v>179.7777777777778</v>
      </c>
      <c r="G222">
        <f t="shared" si="7"/>
        <v>-29.172203276032217</v>
      </c>
      <c r="H222" s="281">
        <f t="shared" si="8"/>
        <v>134.83333333333334</v>
      </c>
    </row>
    <row r="223" spans="2:14">
      <c r="B223">
        <v>8</v>
      </c>
      <c r="C223" s="281">
        <f t="shared" si="9"/>
        <v>35.000000000000007</v>
      </c>
      <c r="D223">
        <f t="shared" si="4"/>
        <v>-173.14358403561775</v>
      </c>
      <c r="E223" s="281">
        <f t="shared" si="5"/>
        <v>-6060.0254412466229</v>
      </c>
      <c r="F223" s="281">
        <f t="shared" si="6"/>
        <v>176.66666666666666</v>
      </c>
      <c r="G223">
        <f t="shared" si="7"/>
        <v>-34.30203079950919</v>
      </c>
      <c r="H223" s="281">
        <f t="shared" si="8"/>
        <v>132.5</v>
      </c>
      <c r="N223" s="286"/>
    </row>
    <row r="224" spans="2:14">
      <c r="B224">
        <v>9</v>
      </c>
      <c r="C224" s="281">
        <f t="shared" si="9"/>
        <v>39.666666666666671</v>
      </c>
      <c r="D224">
        <f t="shared" si="4"/>
        <v>-173.39110616420206</v>
      </c>
      <c r="E224" s="281">
        <f t="shared" si="5"/>
        <v>-6877.8472111800156</v>
      </c>
      <c r="F224" s="281">
        <f t="shared" si="6"/>
        <v>173.55555555555554</v>
      </c>
      <c r="G224">
        <f t="shared" si="7"/>
        <v>-39.629081242394456</v>
      </c>
      <c r="H224" s="281">
        <f t="shared" si="8"/>
        <v>130.16666666666666</v>
      </c>
      <c r="N224" s="286"/>
    </row>
    <row r="225" spans="2:17">
      <c r="B225">
        <v>10</v>
      </c>
      <c r="C225" s="281">
        <f t="shared" si="9"/>
        <v>44.333333333333336</v>
      </c>
      <c r="D225">
        <f t="shared" si="4"/>
        <v>-173.63862829278636</v>
      </c>
      <c r="E225" s="281">
        <f t="shared" si="5"/>
        <v>-7697.9791876468626</v>
      </c>
      <c r="F225" s="281">
        <f t="shared" si="6"/>
        <v>170.44444444444443</v>
      </c>
      <c r="G225">
        <f t="shared" si="7"/>
        <v>-45.164154295190201</v>
      </c>
      <c r="H225" s="281">
        <f t="shared" si="8"/>
        <v>127.83333333333333</v>
      </c>
    </row>
    <row r="226" spans="2:17">
      <c r="B226">
        <v>11</v>
      </c>
      <c r="C226" s="281">
        <f>C225+$G$214</f>
        <v>49</v>
      </c>
      <c r="D226">
        <f t="shared" si="4"/>
        <v>-173.88615042137064</v>
      </c>
      <c r="E226" s="281">
        <f t="shared" si="5"/>
        <v>-8520.4213706471619</v>
      </c>
      <c r="F226" s="281">
        <f t="shared" si="6"/>
        <v>167.33333333333334</v>
      </c>
      <c r="G226">
        <f t="shared" si="7"/>
        <v>-50.918852812632437</v>
      </c>
      <c r="H226" s="281">
        <f t="shared" si="8"/>
        <v>125.5</v>
      </c>
    </row>
    <row r="227" spans="2:17">
      <c r="B227">
        <v>12</v>
      </c>
      <c r="C227" s="281">
        <f t="shared" si="9"/>
        <v>53.666666666666664</v>
      </c>
      <c r="D227">
        <f t="shared" si="4"/>
        <v>-174.13367254995495</v>
      </c>
      <c r="E227" s="281">
        <f>D227*C227</f>
        <v>-9345.1737601809145</v>
      </c>
      <c r="F227" s="281">
        <f t="shared" si="6"/>
        <v>164.22222222222223</v>
      </c>
      <c r="G227">
        <f t="shared" si="7"/>
        <v>-56.905658891494063</v>
      </c>
      <c r="H227" s="281">
        <f t="shared" si="8"/>
        <v>123.16666666666667</v>
      </c>
      <c r="P227" s="281"/>
      <c r="Q227" s="281"/>
    </row>
    <row r="228" spans="2:17">
      <c r="B228">
        <v>13</v>
      </c>
      <c r="C228" s="281">
        <f t="shared" si="9"/>
        <v>58.333333333333329</v>
      </c>
      <c r="D228">
        <f t="shared" si="4"/>
        <v>-174.38119467853926</v>
      </c>
      <c r="E228" s="281">
        <f t="shared" si="5"/>
        <v>-10172.236356248122</v>
      </c>
      <c r="F228" s="281">
        <f t="shared" si="6"/>
        <v>161.11111111111111</v>
      </c>
      <c r="G228">
        <f t="shared" si="7"/>
        <v>-63.13801876291938</v>
      </c>
      <c r="H228" s="281">
        <f t="shared" si="8"/>
        <v>120.83333333333334</v>
      </c>
      <c r="P228" s="281"/>
      <c r="Q228" s="281"/>
    </row>
    <row r="229" spans="2:17">
      <c r="B229">
        <v>14</v>
      </c>
      <c r="C229" s="281">
        <f t="shared" si="9"/>
        <v>62.999999999999993</v>
      </c>
      <c r="D229">
        <f t="shared" si="4"/>
        <v>-174.62871680712357</v>
      </c>
      <c r="E229" s="281">
        <f t="shared" si="5"/>
        <v>-11001.609158848783</v>
      </c>
      <c r="F229" s="281">
        <f t="shared" si="6"/>
        <v>158</v>
      </c>
      <c r="G229">
        <f t="shared" si="7"/>
        <v>-69.630437714232812</v>
      </c>
      <c r="H229" s="281">
        <f t="shared" si="8"/>
        <v>118.5</v>
      </c>
      <c r="P229" s="281"/>
      <c r="Q229" s="281"/>
    </row>
    <row r="230" spans="2:17">
      <c r="B230">
        <v>15</v>
      </c>
      <c r="C230" s="281">
        <f t="shared" si="9"/>
        <v>67.666666666666657</v>
      </c>
      <c r="D230">
        <f t="shared" si="4"/>
        <v>-174.87623893570785</v>
      </c>
      <c r="E230" s="281">
        <f>D230*C230</f>
        <v>-11833.292167982896</v>
      </c>
      <c r="F230" s="281">
        <f t="shared" si="6"/>
        <v>154.88888888888889</v>
      </c>
      <c r="G230">
        <f t="shared" si="7"/>
        <v>-76.398586450391733</v>
      </c>
      <c r="H230" s="281">
        <f t="shared" si="8"/>
        <v>116.16666666666667</v>
      </c>
    </row>
    <row r="231" spans="2:17">
      <c r="B231">
        <v>16</v>
      </c>
      <c r="C231" s="281">
        <f>D201</f>
        <v>70</v>
      </c>
      <c r="D231">
        <f>IF(C231&lt;$D$201,$D$207-$D$205*C231,$D$202+$D$207-$D$205*C231)</f>
        <v>-8.8817841970012523E-15</v>
      </c>
      <c r="E231" s="281">
        <f t="shared" si="5"/>
        <v>-6.2172489379008766E-13</v>
      </c>
      <c r="F231" s="281">
        <f t="shared" si="6"/>
        <v>153.33333333333334</v>
      </c>
      <c r="G231">
        <f t="shared" si="7"/>
        <v>-4.0547275681962237E-15</v>
      </c>
      <c r="H231" s="281">
        <f t="shared" si="8"/>
        <v>115</v>
      </c>
    </row>
    <row r="233" spans="2:17" ht="16">
      <c r="B233" s="388" t="s">
        <v>976</v>
      </c>
      <c r="C233" s="186"/>
      <c r="D233" s="186"/>
    </row>
    <row r="235" spans="2:17">
      <c r="B235" s="186" t="s">
        <v>978</v>
      </c>
      <c r="C235" s="186"/>
      <c r="D235" s="186"/>
    </row>
    <row r="236" spans="2:17">
      <c r="B236" t="s">
        <v>962</v>
      </c>
      <c r="D236">
        <f>88.9-0.005*25.4*2</f>
        <v>88.646000000000001</v>
      </c>
      <c r="E236" t="s">
        <v>227</v>
      </c>
    </row>
    <row r="237" spans="2:17">
      <c r="B237" t="s">
        <v>964</v>
      </c>
      <c r="D237">
        <f>D236/2</f>
        <v>44.323</v>
      </c>
    </row>
    <row r="238" spans="2:17">
      <c r="B238" t="s">
        <v>965</v>
      </c>
      <c r="D238">
        <v>5</v>
      </c>
      <c r="E238" t="s">
        <v>196</v>
      </c>
      <c r="L238" t="s">
        <v>960</v>
      </c>
    </row>
    <row r="239" spans="2:17">
      <c r="B239" t="s">
        <v>963</v>
      </c>
      <c r="D239">
        <v>56.1</v>
      </c>
      <c r="E239" t="s">
        <v>227</v>
      </c>
    </row>
    <row r="240" spans="2:17">
      <c r="B240" t="s">
        <v>966</v>
      </c>
      <c r="D240">
        <f>PI()*D236*D238*10</f>
        <v>13924.481118506039</v>
      </c>
      <c r="E240" t="s">
        <v>864</v>
      </c>
    </row>
    <row r="241" spans="2:5">
      <c r="B241" t="s">
        <v>967</v>
      </c>
      <c r="D241">
        <f>(PI()/4)*((D239^2)-D237^2)</f>
        <v>928.87601228722519</v>
      </c>
      <c r="E241" t="s">
        <v>968</v>
      </c>
    </row>
    <row r="242" spans="2:5">
      <c r="B242" t="s">
        <v>969</v>
      </c>
      <c r="D242">
        <v>1200</v>
      </c>
      <c r="E242" t="s">
        <v>715</v>
      </c>
    </row>
    <row r="243" spans="2:5">
      <c r="B243" t="s">
        <v>970</v>
      </c>
      <c r="D243">
        <f>D242/D240</f>
        <v>8.6179153807402223E-2</v>
      </c>
      <c r="E243" t="s">
        <v>719</v>
      </c>
    </row>
    <row r="244" spans="2:5">
      <c r="B244" t="s">
        <v>984</v>
      </c>
      <c r="E244" t="s">
        <v>719</v>
      </c>
    </row>
    <row r="245" spans="2:5">
      <c r="B245" t="s">
        <v>971</v>
      </c>
      <c r="D245">
        <f>D242/D241</f>
        <v>1.2918839372815436</v>
      </c>
      <c r="E245" t="s">
        <v>719</v>
      </c>
    </row>
    <row r="246" spans="2:5">
      <c r="B246" t="s">
        <v>972</v>
      </c>
      <c r="D246">
        <f>1750*(0.1/14.5)</f>
        <v>12.068965517241381</v>
      </c>
      <c r="E246" t="s">
        <v>719</v>
      </c>
    </row>
    <row r="247" spans="2:5">
      <c r="B247" t="s">
        <v>973</v>
      </c>
      <c r="E247" t="s">
        <v>719</v>
      </c>
    </row>
    <row r="249" spans="2:5">
      <c r="B249" t="s">
        <v>974</v>
      </c>
      <c r="D249">
        <f>D246/D243</f>
        <v>140.04506872060674</v>
      </c>
    </row>
    <row r="250" spans="2:5">
      <c r="B250" t="s">
        <v>975</v>
      </c>
      <c r="D250">
        <f>D247/D245</f>
        <v>0</v>
      </c>
    </row>
    <row r="261" spans="2:15">
      <c r="B261" s="186" t="s">
        <v>977</v>
      </c>
      <c r="C261" s="186"/>
      <c r="D261" s="186"/>
    </row>
    <row r="262" spans="2:15">
      <c r="B262" t="s">
        <v>963</v>
      </c>
      <c r="D262">
        <f>D239</f>
        <v>56.1</v>
      </c>
      <c r="E262" t="s">
        <v>227</v>
      </c>
    </row>
    <row r="263" spans="2:15">
      <c r="B263" t="s">
        <v>980</v>
      </c>
      <c r="D263">
        <f>D236</f>
        <v>88.646000000000001</v>
      </c>
      <c r="E263" t="s">
        <v>227</v>
      </c>
    </row>
    <row r="264" spans="2:15">
      <c r="B264" t="s">
        <v>981</v>
      </c>
      <c r="D264">
        <f>3.5*25.4+2*2</f>
        <v>92.899999999999991</v>
      </c>
      <c r="E264" t="s">
        <v>227</v>
      </c>
      <c r="L264" t="s">
        <v>830</v>
      </c>
      <c r="M264" t="s">
        <v>979</v>
      </c>
    </row>
    <row r="265" spans="2:15">
      <c r="B265" t="s">
        <v>982</v>
      </c>
      <c r="D265" s="390">
        <v>60</v>
      </c>
      <c r="E265" t="s">
        <v>227</v>
      </c>
      <c r="O265" t="s">
        <v>985</v>
      </c>
    </row>
    <row r="266" spans="2:15">
      <c r="B266" t="s">
        <v>992</v>
      </c>
      <c r="D266" s="390">
        <v>5</v>
      </c>
      <c r="E266" t="s">
        <v>227</v>
      </c>
    </row>
    <row r="267" spans="2:15">
      <c r="B267" t="s">
        <v>989</v>
      </c>
      <c r="D267">
        <v>3</v>
      </c>
      <c r="E267" t="s">
        <v>227</v>
      </c>
      <c r="O267" t="s">
        <v>986</v>
      </c>
    </row>
    <row r="268" spans="2:15">
      <c r="B268" t="s">
        <v>983</v>
      </c>
      <c r="D268">
        <f>D267+D266</f>
        <v>8</v>
      </c>
      <c r="E268" t="s">
        <v>227</v>
      </c>
    </row>
    <row r="269" spans="2:15">
      <c r="B269" t="s">
        <v>990</v>
      </c>
      <c r="D269">
        <f>PI()*D263*D267</f>
        <v>835.46886711036245</v>
      </c>
      <c r="E269" t="s">
        <v>864</v>
      </c>
    </row>
    <row r="270" spans="2:15">
      <c r="B270" t="s">
        <v>991</v>
      </c>
      <c r="D270">
        <f>PI()*D265*D268</f>
        <v>1507.9644737231006</v>
      </c>
      <c r="E270" t="s">
        <v>864</v>
      </c>
    </row>
    <row r="271" spans="2:15">
      <c r="B271" t="s">
        <v>993</v>
      </c>
      <c r="D271">
        <v>1200</v>
      </c>
      <c r="E271" t="s">
        <v>715</v>
      </c>
    </row>
    <row r="272" spans="2:15">
      <c r="B272" t="s">
        <v>987</v>
      </c>
      <c r="D272">
        <f>D271/D269</f>
        <v>1.43631923012337</v>
      </c>
      <c r="E272" t="s">
        <v>719</v>
      </c>
    </row>
    <row r="273" spans="2:5">
      <c r="B273" t="s">
        <v>988</v>
      </c>
      <c r="D273">
        <f>D271/D270</f>
        <v>0.79577471545947676</v>
      </c>
      <c r="E273" t="s">
        <v>719</v>
      </c>
    </row>
    <row r="274" spans="2:5">
      <c r="B274" t="s">
        <v>998</v>
      </c>
      <c r="E274" t="s">
        <v>719</v>
      </c>
    </row>
    <row r="275" spans="2:5">
      <c r="B275" t="s">
        <v>999</v>
      </c>
      <c r="E275" t="s">
        <v>719</v>
      </c>
    </row>
    <row r="276" spans="2:5">
      <c r="B276" t="s">
        <v>996</v>
      </c>
      <c r="D276">
        <v>12</v>
      </c>
      <c r="E276" t="s">
        <v>719</v>
      </c>
    </row>
    <row r="277" spans="2:5">
      <c r="B277" t="s">
        <v>997</v>
      </c>
      <c r="D277">
        <v>3</v>
      </c>
      <c r="E277" t="s">
        <v>719</v>
      </c>
    </row>
    <row r="278" spans="2:5">
      <c r="B278" t="s">
        <v>994</v>
      </c>
      <c r="D278">
        <f>D276/D272</f>
        <v>8.3546886711036255</v>
      </c>
    </row>
    <row r="279" spans="2:5">
      <c r="B279" t="s">
        <v>995</v>
      </c>
      <c r="D279">
        <f>D277/D273</f>
        <v>3.7699111843077517</v>
      </c>
    </row>
    <row r="281" spans="2:5">
      <c r="B281" s="186" t="s">
        <v>1000</v>
      </c>
      <c r="C281" s="186"/>
      <c r="D281" s="186"/>
    </row>
    <row r="296" spans="2:9">
      <c r="B296" s="389" t="s">
        <v>685</v>
      </c>
      <c r="C296" s="186"/>
      <c r="D296" s="186"/>
      <c r="E296" s="186"/>
    </row>
    <row r="297" spans="2:9" ht="43.5">
      <c r="B297" t="s">
        <v>688</v>
      </c>
      <c r="C297" t="s">
        <v>686</v>
      </c>
      <c r="D297" t="s">
        <v>689</v>
      </c>
      <c r="E297" t="s">
        <v>690</v>
      </c>
      <c r="F297" s="353" t="s">
        <v>694</v>
      </c>
      <c r="G297" t="s">
        <v>687</v>
      </c>
      <c r="H297" t="s">
        <v>692</v>
      </c>
      <c r="I297" t="s">
        <v>693</v>
      </c>
    </row>
    <row r="298" spans="2:9">
      <c r="B298">
        <v>2</v>
      </c>
      <c r="C298">
        <v>2.375</v>
      </c>
      <c r="D298">
        <f>C298-2*E298</f>
        <v>2.0670000000000002</v>
      </c>
      <c r="E298">
        <v>0.154</v>
      </c>
      <c r="F298" t="s">
        <v>695</v>
      </c>
      <c r="G298">
        <f>C298*25.4</f>
        <v>60.324999999999996</v>
      </c>
      <c r="H298">
        <f t="shared" ref="H298:I298" si="10">D298*25.4</f>
        <v>52.501800000000003</v>
      </c>
      <c r="I298">
        <f t="shared" si="10"/>
        <v>3.9115999999999995</v>
      </c>
    </row>
    <row r="299" spans="2:9">
      <c r="B299">
        <v>2</v>
      </c>
      <c r="C299">
        <v>2.375</v>
      </c>
      <c r="D299">
        <f t="shared" ref="D299:D307" si="11">C299-2*E299</f>
        <v>1.9390000000000001</v>
      </c>
      <c r="E299">
        <v>0.218</v>
      </c>
      <c r="F299" t="s">
        <v>696</v>
      </c>
      <c r="G299">
        <f t="shared" ref="G299:G307" si="12">C299*25.4</f>
        <v>60.324999999999996</v>
      </c>
      <c r="H299">
        <f t="shared" ref="H299:H307" si="13">D299*25.4</f>
        <v>49.250599999999999</v>
      </c>
      <c r="I299">
        <f t="shared" ref="I299:I307" si="14">E299*25.4</f>
        <v>5.5371999999999995</v>
      </c>
    </row>
    <row r="300" spans="2:9">
      <c r="B300">
        <v>2.5</v>
      </c>
      <c r="C300">
        <v>2.875</v>
      </c>
      <c r="D300">
        <f t="shared" si="11"/>
        <v>2.4689999999999999</v>
      </c>
      <c r="E300">
        <v>0.20300000000000001</v>
      </c>
      <c r="F300" t="s">
        <v>695</v>
      </c>
      <c r="G300">
        <f t="shared" si="12"/>
        <v>73.024999999999991</v>
      </c>
      <c r="H300">
        <f t="shared" si="13"/>
        <v>62.712599999999995</v>
      </c>
      <c r="I300">
        <f t="shared" si="14"/>
        <v>5.1562000000000001</v>
      </c>
    </row>
    <row r="301" spans="2:9">
      <c r="B301">
        <v>2.5</v>
      </c>
      <c r="C301">
        <v>2.875</v>
      </c>
      <c r="D301">
        <f t="shared" si="11"/>
        <v>2.323</v>
      </c>
      <c r="E301">
        <v>0.27600000000000002</v>
      </c>
      <c r="F301" t="s">
        <v>696</v>
      </c>
      <c r="G301">
        <f t="shared" si="12"/>
        <v>73.024999999999991</v>
      </c>
      <c r="H301">
        <f t="shared" si="13"/>
        <v>59.004199999999997</v>
      </c>
      <c r="I301">
        <f t="shared" si="14"/>
        <v>7.0104000000000006</v>
      </c>
    </row>
    <row r="302" spans="2:9">
      <c r="B302">
        <v>3</v>
      </c>
      <c r="C302">
        <v>3.5</v>
      </c>
      <c r="D302">
        <f t="shared" si="11"/>
        <v>3.0680000000000001</v>
      </c>
      <c r="E302">
        <v>0.216</v>
      </c>
      <c r="F302" t="s">
        <v>695</v>
      </c>
      <c r="G302">
        <f t="shared" si="12"/>
        <v>88.899999999999991</v>
      </c>
      <c r="H302">
        <f t="shared" si="13"/>
        <v>77.927199999999999</v>
      </c>
      <c r="I302">
        <f t="shared" si="14"/>
        <v>5.4863999999999997</v>
      </c>
    </row>
    <row r="303" spans="2:9">
      <c r="B303">
        <v>3</v>
      </c>
      <c r="C303">
        <v>3.5</v>
      </c>
      <c r="D303">
        <f t="shared" si="11"/>
        <v>2.9</v>
      </c>
      <c r="E303">
        <v>0.3</v>
      </c>
      <c r="F303" t="s">
        <v>696</v>
      </c>
      <c r="G303">
        <f t="shared" si="12"/>
        <v>88.899999999999991</v>
      </c>
      <c r="H303">
        <f t="shared" si="13"/>
        <v>73.66</v>
      </c>
      <c r="I303">
        <f t="shared" si="14"/>
        <v>7.6199999999999992</v>
      </c>
    </row>
    <row r="304" spans="2:9">
      <c r="B304">
        <v>3.5</v>
      </c>
      <c r="C304">
        <v>4</v>
      </c>
      <c r="D304">
        <f t="shared" si="11"/>
        <v>3.548</v>
      </c>
      <c r="E304">
        <v>0.22600000000000001</v>
      </c>
      <c r="F304" t="s">
        <v>695</v>
      </c>
      <c r="G304">
        <f t="shared" si="12"/>
        <v>101.6</v>
      </c>
      <c r="H304">
        <f t="shared" si="13"/>
        <v>90.119199999999992</v>
      </c>
      <c r="I304">
        <f t="shared" si="14"/>
        <v>5.7404000000000002</v>
      </c>
    </row>
    <row r="305" spans="2:9">
      <c r="B305">
        <v>3.5</v>
      </c>
      <c r="C305">
        <v>4</v>
      </c>
      <c r="D305">
        <f t="shared" si="11"/>
        <v>3.3639999999999999</v>
      </c>
      <c r="E305">
        <v>0.318</v>
      </c>
      <c r="F305" t="s">
        <v>696</v>
      </c>
      <c r="G305">
        <f t="shared" si="12"/>
        <v>101.6</v>
      </c>
      <c r="H305">
        <f t="shared" si="13"/>
        <v>85.445599999999999</v>
      </c>
      <c r="I305">
        <f t="shared" si="14"/>
        <v>8.0771999999999995</v>
      </c>
    </row>
    <row r="306" spans="2:9">
      <c r="B306">
        <v>4</v>
      </c>
      <c r="C306">
        <v>4.5</v>
      </c>
      <c r="D306">
        <f t="shared" si="11"/>
        <v>4.0259999999999998</v>
      </c>
      <c r="E306">
        <v>0.23699999999999999</v>
      </c>
      <c r="F306" t="s">
        <v>695</v>
      </c>
      <c r="G306">
        <f t="shared" si="12"/>
        <v>114.3</v>
      </c>
      <c r="H306">
        <f t="shared" si="13"/>
        <v>102.26039999999999</v>
      </c>
      <c r="I306">
        <f t="shared" si="14"/>
        <v>6.0197999999999992</v>
      </c>
    </row>
    <row r="307" spans="2:9">
      <c r="B307">
        <v>4</v>
      </c>
      <c r="C307">
        <v>4.5</v>
      </c>
      <c r="D307">
        <f t="shared" si="11"/>
        <v>3.8260000000000001</v>
      </c>
      <c r="E307">
        <v>0.33700000000000002</v>
      </c>
      <c r="F307" t="s">
        <v>696</v>
      </c>
      <c r="G307">
        <f t="shared" si="12"/>
        <v>114.3</v>
      </c>
      <c r="H307">
        <f t="shared" si="13"/>
        <v>97.180399999999992</v>
      </c>
      <c r="I307">
        <f t="shared" si="14"/>
        <v>8.5597999999999992</v>
      </c>
    </row>
    <row r="309" spans="2:9">
      <c r="B309" t="s">
        <v>691</v>
      </c>
      <c r="C309" t="s">
        <v>697</v>
      </c>
    </row>
    <row r="310" spans="2:9">
      <c r="B310" t="s">
        <v>702</v>
      </c>
      <c r="C310" t="s">
        <v>698</v>
      </c>
    </row>
    <row r="312" spans="2:9" ht="72.5">
      <c r="B312" s="353" t="s">
        <v>746</v>
      </c>
      <c r="C312" s="353" t="s">
        <v>815</v>
      </c>
      <c r="D312" t="s">
        <v>409</v>
      </c>
    </row>
    <row r="313" spans="2:9" ht="29">
      <c r="B313" s="63" t="s">
        <v>747</v>
      </c>
      <c r="C313" s="63">
        <v>23.6</v>
      </c>
      <c r="D313" s="365" t="s">
        <v>748</v>
      </c>
    </row>
    <row r="314" spans="2:9">
      <c r="B314" s="63" t="s">
        <v>749</v>
      </c>
      <c r="C314" s="63">
        <v>23.2</v>
      </c>
      <c r="D314" s="365" t="s">
        <v>750</v>
      </c>
    </row>
    <row r="315" spans="2:9">
      <c r="B315" s="63" t="s">
        <v>751</v>
      </c>
      <c r="C315" s="63">
        <v>22</v>
      </c>
      <c r="D315" s="365" t="s">
        <v>752</v>
      </c>
    </row>
    <row r="316" spans="2:9">
      <c r="B316" s="63" t="s">
        <v>753</v>
      </c>
      <c r="C316" s="63">
        <v>23.6</v>
      </c>
      <c r="D316" s="365" t="s">
        <v>754</v>
      </c>
    </row>
    <row r="317" spans="2:9">
      <c r="B317" s="63" t="s">
        <v>755</v>
      </c>
      <c r="C317" s="63">
        <v>23.5</v>
      </c>
      <c r="D317" s="365" t="s">
        <v>756</v>
      </c>
    </row>
    <row r="318" spans="2:9" ht="29">
      <c r="B318" s="63" t="s">
        <v>757</v>
      </c>
      <c r="C318" s="63">
        <v>21.5</v>
      </c>
      <c r="D318" s="365" t="s">
        <v>758</v>
      </c>
    </row>
    <row r="319" spans="2:9" ht="29">
      <c r="B319" s="63" t="s">
        <v>759</v>
      </c>
      <c r="C319" s="63">
        <v>21.5</v>
      </c>
      <c r="D319" s="365" t="s">
        <v>760</v>
      </c>
    </row>
    <row r="323" spans="2:8">
      <c r="B323" t="s">
        <v>816</v>
      </c>
    </row>
    <row r="324" spans="2:8">
      <c r="B324" t="s">
        <v>817</v>
      </c>
      <c r="C324" t="s">
        <v>832</v>
      </c>
      <c r="D324" t="s">
        <v>818</v>
      </c>
      <c r="E324" t="s">
        <v>819</v>
      </c>
    </row>
    <row r="325" spans="2:8">
      <c r="B325">
        <v>310</v>
      </c>
      <c r="C325">
        <f>B325*D325</f>
        <v>310</v>
      </c>
      <c r="D325">
        <v>1</v>
      </c>
      <c r="E325" s="301" t="s">
        <v>820</v>
      </c>
    </row>
    <row r="326" spans="2:8">
      <c r="B326">
        <v>840</v>
      </c>
      <c r="C326">
        <f t="shared" ref="C326:C336" si="15">B326*D326</f>
        <v>840</v>
      </c>
      <c r="D326">
        <v>1</v>
      </c>
      <c r="E326" s="301" t="s">
        <v>821</v>
      </c>
    </row>
    <row r="327" spans="2:8">
      <c r="B327">
        <v>840</v>
      </c>
      <c r="C327">
        <f t="shared" si="15"/>
        <v>840</v>
      </c>
      <c r="D327">
        <v>1</v>
      </c>
      <c r="E327" s="301" t="s">
        <v>899</v>
      </c>
    </row>
    <row r="328" spans="2:8">
      <c r="B328">
        <v>595</v>
      </c>
      <c r="C328" s="300">
        <f t="shared" si="15"/>
        <v>595</v>
      </c>
      <c r="D328">
        <v>1</v>
      </c>
      <c r="E328" t="s">
        <v>822</v>
      </c>
      <c r="H328" s="364" t="s">
        <v>900</v>
      </c>
    </row>
    <row r="329" spans="2:8">
      <c r="B329">
        <v>590</v>
      </c>
      <c r="C329" s="300">
        <f t="shared" si="15"/>
        <v>590</v>
      </c>
      <c r="D329">
        <v>1</v>
      </c>
      <c r="E329" t="s">
        <v>823</v>
      </c>
      <c r="H329" s="364" t="s">
        <v>901</v>
      </c>
    </row>
    <row r="330" spans="2:8">
      <c r="B330" s="300">
        <v>360</v>
      </c>
      <c r="C330">
        <f t="shared" si="15"/>
        <v>1800</v>
      </c>
      <c r="D330">
        <v>5</v>
      </c>
      <c r="E330" t="s">
        <v>824</v>
      </c>
      <c r="H330" s="364" t="s">
        <v>902</v>
      </c>
    </row>
    <row r="331" spans="2:8">
      <c r="B331">
        <v>649</v>
      </c>
      <c r="C331">
        <f>B331*D331</f>
        <v>649</v>
      </c>
      <c r="D331">
        <v>1</v>
      </c>
      <c r="E331" s="301" t="s">
        <v>825</v>
      </c>
    </row>
    <row r="332" spans="2:8">
      <c r="B332">
        <v>800</v>
      </c>
      <c r="C332" s="300">
        <f t="shared" si="15"/>
        <v>1600</v>
      </c>
      <c r="D332">
        <v>2</v>
      </c>
      <c r="E332" t="s">
        <v>826</v>
      </c>
    </row>
    <row r="333" spans="2:8">
      <c r="B333">
        <v>85</v>
      </c>
      <c r="C333">
        <f t="shared" si="15"/>
        <v>85</v>
      </c>
      <c r="D333">
        <v>1</v>
      </c>
      <c r="E333" s="301" t="s">
        <v>903</v>
      </c>
    </row>
    <row r="334" spans="2:8">
      <c r="B334">
        <v>320</v>
      </c>
      <c r="C334" s="300">
        <f>B334*D334</f>
        <v>960</v>
      </c>
      <c r="D334">
        <v>3</v>
      </c>
      <c r="E334" t="s">
        <v>904</v>
      </c>
    </row>
    <row r="335" spans="2:8">
      <c r="B335">
        <v>320</v>
      </c>
      <c r="C335">
        <f t="shared" si="15"/>
        <v>0</v>
      </c>
      <c r="E335" t="s">
        <v>905</v>
      </c>
    </row>
    <row r="336" spans="2:8">
      <c r="B336">
        <v>420</v>
      </c>
      <c r="C336">
        <f t="shared" si="15"/>
        <v>1260</v>
      </c>
      <c r="D336">
        <v>3</v>
      </c>
      <c r="E336" t="s">
        <v>961</v>
      </c>
    </row>
    <row r="338" spans="3:4">
      <c r="C338">
        <f>C328+B330+C332+C334</f>
        <v>3515</v>
      </c>
      <c r="D338" t="s">
        <v>324</v>
      </c>
    </row>
  </sheetData>
  <dataConsolidate/>
  <mergeCells count="4">
    <mergeCell ref="C89:C90"/>
    <mergeCell ref="E93:E94"/>
    <mergeCell ref="J93:J94"/>
    <mergeCell ref="E2:I3"/>
  </mergeCells>
  <dataValidations disablePrompts="1" count="2">
    <dataValidation type="list" allowBlank="1" showInputMessage="1" showErrorMessage="1" sqref="D76" xr:uid="{00000000-0002-0000-0400-000000000000}">
      <formula1>$C$298:$C$307</formula1>
    </dataValidation>
    <dataValidation type="list" allowBlank="1" showInputMessage="1" showErrorMessage="1" sqref="D78" xr:uid="{00000000-0002-0000-0400-000001000000}">
      <formula1>$B$313:$B$319</formula1>
    </dataValidation>
  </dataValidations>
  <hyperlinks>
    <hyperlink ref="B12" r:id="rId1" xr:uid="{00000000-0004-0000-0400-000000000000}"/>
    <hyperlink ref="H329" r:id="rId2" xr:uid="{00000000-0004-0000-0400-000001000000}"/>
    <hyperlink ref="H328" r:id="rId3" xr:uid="{00000000-0004-0000-0400-000002000000}"/>
    <hyperlink ref="H330" r:id="rId4" xr:uid="{00000000-0004-0000-0400-000003000000}"/>
  </hyperlinks>
  <pageMargins left="0.25" right="0.25" top="0.75" bottom="0.75" header="0.3" footer="0.3"/>
  <pageSetup orientation="portrait" r:id="rId5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591"/>
  <sheetViews>
    <sheetView zoomScale="85" zoomScaleNormal="85" workbookViewId="0">
      <pane ySplit="14" topLeftCell="A15" activePane="bottomLeft" state="frozen"/>
      <selection pane="bottomLeft" activeCell="D17" sqref="D17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621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164.29146131391354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44.021764382392163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6.8255245173111968E-3</v>
      </c>
    </row>
    <row r="8" spans="1:13" ht="14.5" outlineLevel="1">
      <c r="A8" t="s">
        <v>610</v>
      </c>
      <c r="B8" s="190">
        <f>B33</f>
        <v>17706.008941658431</v>
      </c>
    </row>
    <row r="9" spans="1:13" ht="14.5" outlineLevel="1">
      <c r="A9" t="s">
        <v>611</v>
      </c>
      <c r="B9" s="190">
        <f>B545</f>
        <v>1.35</v>
      </c>
    </row>
    <row r="10" spans="1:13" s="283" customFormat="1" ht="14.5">
      <c r="A10" s="283" t="s">
        <v>609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s="30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377" t="s">
        <v>330</v>
      </c>
      <c r="B13" s="285">
        <v>15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0.26179938779914941</v>
      </c>
      <c r="C15" s="318">
        <f t="shared" si="6"/>
        <v>0.26179938779914941</v>
      </c>
      <c r="D15" s="190">
        <f t="shared" si="6"/>
        <v>0.26179938779914941</v>
      </c>
      <c r="F15" s="190">
        <f t="shared" si="6"/>
        <v>0.26179938779914941</v>
      </c>
      <c r="G15" s="190">
        <f t="shared" si="6"/>
        <v>0.26179938779914941</v>
      </c>
      <c r="H15" s="190">
        <f t="shared" si="6"/>
        <v>0.26179938779914941</v>
      </c>
      <c r="I15" s="190">
        <f t="shared" si="6"/>
        <v>0.26179938779914941</v>
      </c>
      <c r="J15" s="190">
        <f t="shared" si="6"/>
        <v>0.26179938779914941</v>
      </c>
      <c r="K15" s="190">
        <f t="shared" si="6"/>
        <v>0.26179938779914941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outlineLevel="1">
      <c r="A26" t="s">
        <v>347</v>
      </c>
    </row>
    <row r="27" spans="1:11" ht="14.5" outlineLevel="1">
      <c r="A27" t="s">
        <v>348</v>
      </c>
    </row>
    <row r="28" spans="1:11" ht="14.5" outlineLevel="1">
      <c r="A28" t="s">
        <v>349</v>
      </c>
    </row>
    <row r="29" spans="1:11" ht="14.5" outlineLevel="1">
      <c r="A29" t="s">
        <v>340</v>
      </c>
      <c r="B29" s="190">
        <f t="shared" ref="B29:K29" si="14">DEGREES(ATAN((B5+B25)/B3))</f>
        <v>17.886441140114158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outlineLevel="1">
      <c r="A30" t="s">
        <v>341</v>
      </c>
      <c r="B30" s="190">
        <f t="shared" ref="B30:K30" si="15">DEGREES(ATAN((B4+B25)/B3))</f>
        <v>3.1355684427654356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outlineLevel="1">
      <c r="A31" t="s">
        <v>342</v>
      </c>
      <c r="B31" s="190">
        <f t="shared" ref="B31:K32" si="16">RADIANS(B29)</f>
        <v>0.31217728935916045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outlineLevel="1">
      <c r="A32" t="s">
        <v>343</v>
      </c>
      <c r="B32" s="190">
        <f t="shared" si="16"/>
        <v>5.4725993247888224E-2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outlineLevel="1">
      <c r="A34" t="s">
        <v>345</v>
      </c>
      <c r="B34" s="190">
        <f t="shared" ref="B34:K34" si="18">CrossSecAreaRocket</f>
        <v>6.8255245173111968E-3</v>
      </c>
      <c r="C34" s="318">
        <f t="shared" si="18"/>
        <v>6.8255245173111968E-3</v>
      </c>
      <c r="D34" s="190">
        <f t="shared" si="18"/>
        <v>6.8255245173111968E-3</v>
      </c>
      <c r="F34" s="190">
        <f t="shared" si="18"/>
        <v>6.8255245173111968E-3</v>
      </c>
      <c r="G34" s="190">
        <f t="shared" si="18"/>
        <v>6.8255245173111968E-3</v>
      </c>
      <c r="H34" s="190">
        <f t="shared" si="18"/>
        <v>6.8255245173111968E-3</v>
      </c>
      <c r="I34" s="190">
        <f t="shared" si="18"/>
        <v>6.8255245173111968E-3</v>
      </c>
      <c r="J34" s="190">
        <f t="shared" si="18"/>
        <v>6.8255245173111968E-3</v>
      </c>
      <c r="K34" s="190">
        <f t="shared" si="18"/>
        <v>6.8255245173111968E-3</v>
      </c>
    </row>
    <row r="36" spans="1:13" s="96" customFormat="1" ht="15" customHeight="1">
      <c r="A36" s="317" t="s">
        <v>608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9.3223000000000003</v>
      </c>
      <c r="C39" s="318">
        <f t="shared" si="19"/>
        <v>9.3223000000000003</v>
      </c>
      <c r="D39" s="190">
        <f t="shared" si="19"/>
        <v>9.3223000000000003</v>
      </c>
      <c r="F39" s="190">
        <f t="shared" si="19"/>
        <v>9.3223000000000003</v>
      </c>
      <c r="G39" s="190">
        <f t="shared" si="19"/>
        <v>9.3223000000000003</v>
      </c>
      <c r="H39" s="190">
        <f t="shared" si="19"/>
        <v>9.3223000000000003</v>
      </c>
      <c r="I39" s="190">
        <f t="shared" si="19"/>
        <v>9.3223000000000003</v>
      </c>
      <c r="J39" s="190">
        <f t="shared" si="19"/>
        <v>9.3223000000000003</v>
      </c>
      <c r="K39" s="190">
        <f t="shared" si="19"/>
        <v>9.3223000000000003</v>
      </c>
    </row>
    <row r="40" spans="1:13" ht="14.5" hidden="1" outlineLevel="2">
      <c r="A40" t="s">
        <v>352</v>
      </c>
      <c r="B40" s="190">
        <f t="shared" ref="B40:K40" si="20">B39/100</f>
        <v>9.3223E-2</v>
      </c>
      <c r="C40" s="318">
        <f t="shared" si="20"/>
        <v>9.3223E-2</v>
      </c>
      <c r="D40" s="190">
        <f t="shared" si="20"/>
        <v>9.3223E-2</v>
      </c>
      <c r="F40" s="190">
        <f t="shared" si="20"/>
        <v>9.3223E-2</v>
      </c>
      <c r="G40" s="190">
        <f t="shared" si="20"/>
        <v>9.3223E-2</v>
      </c>
      <c r="H40" s="190">
        <f t="shared" si="20"/>
        <v>9.3223E-2</v>
      </c>
      <c r="I40" s="190">
        <f t="shared" si="20"/>
        <v>9.3223E-2</v>
      </c>
      <c r="J40" s="190">
        <f t="shared" si="20"/>
        <v>9.3223E-2</v>
      </c>
      <c r="K40" s="190">
        <f t="shared" si="20"/>
        <v>9.3223E-2</v>
      </c>
    </row>
    <row r="41" spans="1:13" ht="14.5" hidden="1" outlineLevel="2">
      <c r="A41" t="s">
        <v>353</v>
      </c>
      <c r="B41" s="260">
        <f t="shared" ref="B41:K41" si="21">((B45-B43)/(-B53))*(B53+B39/2)+B45</f>
        <v>16.553716666666666</v>
      </c>
      <c r="C41" s="324">
        <f t="shared" si="21"/>
        <v>16.553716666666666</v>
      </c>
      <c r="D41" s="260">
        <f t="shared" si="21"/>
        <v>16.553716666666666</v>
      </c>
      <c r="E41" s="260"/>
      <c r="F41" s="260">
        <f t="shared" si="21"/>
        <v>16.553716666666666</v>
      </c>
      <c r="G41" s="260">
        <f t="shared" si="21"/>
        <v>16.553716666666666</v>
      </c>
      <c r="H41" s="260">
        <f t="shared" si="21"/>
        <v>16.553716666666666</v>
      </c>
      <c r="I41" s="260">
        <f t="shared" si="21"/>
        <v>16.553716666666666</v>
      </c>
      <c r="J41" s="260">
        <f t="shared" si="21"/>
        <v>16.553716666666666</v>
      </c>
      <c r="K41" s="260">
        <f t="shared" si="21"/>
        <v>16.553716666666666</v>
      </c>
    </row>
    <row r="42" spans="1:13" ht="14.5" hidden="1" outlineLevel="2">
      <c r="A42" t="s">
        <v>354</v>
      </c>
      <c r="B42" s="190">
        <f t="shared" ref="B42:K42" si="22">B41/100</f>
        <v>0.16553716666666665</v>
      </c>
      <c r="C42" s="318">
        <f t="shared" si="22"/>
        <v>0.16553716666666665</v>
      </c>
      <c r="D42" s="190">
        <f t="shared" si="22"/>
        <v>0.16553716666666665</v>
      </c>
      <c r="F42" s="190">
        <f t="shared" si="22"/>
        <v>0.16553716666666665</v>
      </c>
      <c r="G42" s="190">
        <f t="shared" si="22"/>
        <v>0.16553716666666665</v>
      </c>
      <c r="H42" s="190">
        <f t="shared" si="22"/>
        <v>0.16553716666666665</v>
      </c>
      <c r="I42" s="190">
        <f t="shared" si="22"/>
        <v>0.16553716666666665</v>
      </c>
      <c r="J42" s="190">
        <f t="shared" si="22"/>
        <v>0.16553716666666665</v>
      </c>
      <c r="K42" s="190">
        <f t="shared" si="22"/>
        <v>0.16553716666666665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19.661149999999999</v>
      </c>
      <c r="C51" s="318">
        <f t="shared" si="27"/>
        <v>19.661149999999999</v>
      </c>
      <c r="D51" s="190">
        <f t="shared" si="27"/>
        <v>19.661149999999999</v>
      </c>
      <c r="F51" s="190">
        <f t="shared" si="27"/>
        <v>19.661149999999999</v>
      </c>
      <c r="G51" s="190">
        <f t="shared" si="27"/>
        <v>19.661149999999999</v>
      </c>
      <c r="H51" s="190">
        <f t="shared" si="27"/>
        <v>19.661149999999999</v>
      </c>
      <c r="I51" s="190">
        <f t="shared" si="27"/>
        <v>19.661149999999999</v>
      </c>
      <c r="J51" s="190">
        <f t="shared" si="27"/>
        <v>19.661149999999999</v>
      </c>
      <c r="K51" s="190">
        <f t="shared" si="27"/>
        <v>19.661149999999999</v>
      </c>
    </row>
    <row r="52" spans="1:11" ht="14.5" hidden="1" outlineLevel="2">
      <c r="A52" t="s">
        <v>352</v>
      </c>
      <c r="B52" s="190">
        <f t="shared" ref="B52:K52" si="28">B51/100</f>
        <v>0.19661149999999999</v>
      </c>
      <c r="C52" s="318">
        <f t="shared" si="28"/>
        <v>0.19661149999999999</v>
      </c>
      <c r="D52" s="190">
        <f t="shared" si="28"/>
        <v>0.19661149999999999</v>
      </c>
      <c r="F52" s="190">
        <f t="shared" si="28"/>
        <v>0.19661149999999999</v>
      </c>
      <c r="G52" s="190">
        <f t="shared" si="28"/>
        <v>0.19661149999999999</v>
      </c>
      <c r="H52" s="190">
        <f t="shared" si="28"/>
        <v>0.19661149999999999</v>
      </c>
      <c r="I52" s="190">
        <f t="shared" si="28"/>
        <v>0.19661149999999999</v>
      </c>
      <c r="J52" s="190">
        <f t="shared" si="28"/>
        <v>0.19661149999999999</v>
      </c>
      <c r="K52" s="190">
        <f t="shared" si="28"/>
        <v>0.19661149999999999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2.6103830322041666E-2</v>
      </c>
      <c r="C55" s="318">
        <f t="shared" ref="C55:K55" si="30">(C46+C42)*C52/2</f>
        <v>2.6103830322041666E-2</v>
      </c>
      <c r="D55" s="190">
        <f t="shared" si="30"/>
        <v>2.6103830322041666E-2</v>
      </c>
      <c r="F55" s="190">
        <f t="shared" si="30"/>
        <v>2.6103830322041666E-2</v>
      </c>
      <c r="G55" s="190">
        <f t="shared" si="30"/>
        <v>2.6103830322041666E-2</v>
      </c>
      <c r="H55" s="190">
        <f t="shared" si="30"/>
        <v>2.6103830322041666E-2</v>
      </c>
      <c r="I55" s="190">
        <f t="shared" si="30"/>
        <v>2.6103830322041666E-2</v>
      </c>
      <c r="J55" s="190">
        <f t="shared" si="30"/>
        <v>2.6103830322041666E-2</v>
      </c>
      <c r="K55" s="190">
        <f t="shared" si="30"/>
        <v>2.6103830322041666E-2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2.9617172235148503</v>
      </c>
      <c r="C57" s="324">
        <f t="shared" ref="C57:K57" si="32">((C52+C52)^2)/(C55+C55)</f>
        <v>2.9617172235148503</v>
      </c>
      <c r="D57" s="260">
        <f t="shared" si="32"/>
        <v>2.9617172235148503</v>
      </c>
      <c r="E57" s="260"/>
      <c r="F57" s="260">
        <f t="shared" si="32"/>
        <v>2.9617172235148503</v>
      </c>
      <c r="G57" s="260">
        <f t="shared" si="32"/>
        <v>2.9617172235148503</v>
      </c>
      <c r="H57" s="260">
        <f t="shared" si="32"/>
        <v>2.9617172235148503</v>
      </c>
      <c r="I57" s="260">
        <f t="shared" si="32"/>
        <v>2.9617172235148503</v>
      </c>
      <c r="J57" s="260">
        <f t="shared" si="32"/>
        <v>2.9617172235148503</v>
      </c>
      <c r="K57" s="260">
        <f t="shared" si="32"/>
        <v>2.9617172235148503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2.0247784593365763</v>
      </c>
      <c r="C99" s="326">
        <f t="shared" ref="C99:K99" si="41">IF(C11&lt;1,(C101/(C102+C103))/SQRT(1-C11^2),(C101/(C102+C103))/SQRT(1-0.99^2))</f>
        <v>1.7623434401545024</v>
      </c>
      <c r="D99" s="287">
        <f t="shared" si="41"/>
        <v>1.8381775067178228</v>
      </c>
      <c r="E99" s="287"/>
      <c r="F99" s="287">
        <f t="shared" si="41"/>
        <v>2.4554045459764993</v>
      </c>
      <c r="G99" s="287">
        <f t="shared" si="41"/>
        <v>12.430299860638085</v>
      </c>
      <c r="H99" s="287">
        <f t="shared" si="41"/>
        <v>12.430299860638085</v>
      </c>
      <c r="I99" s="287">
        <f t="shared" si="41"/>
        <v>12.430299860638085</v>
      </c>
      <c r="J99" s="287">
        <f t="shared" si="41"/>
        <v>12.430299860638085</v>
      </c>
      <c r="K99" s="287">
        <f t="shared" si="41"/>
        <v>12.430299860638085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2.0247784593365763</v>
      </c>
      <c r="C100" s="326">
        <f t="shared" ref="C100:K100" si="42">IF(C10&lt;1,C99,IF(C10&gt;1,(4)/SQRT(C10^2-1),(4)/SQRT((1.01)^2-1)))</f>
        <v>1.7623434401545024</v>
      </c>
      <c r="D100" s="287">
        <f t="shared" si="42"/>
        <v>1.8381775067178228</v>
      </c>
      <c r="E100" s="287"/>
      <c r="F100" s="287">
        <f t="shared" si="42"/>
        <v>2.4554045459764993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1.0281055615201125</v>
      </c>
      <c r="C102" s="318">
        <f t="shared" ref="C102:K102" si="44">SQRT(1+((C101/(PI()*C57))^2))</f>
        <v>1.0281055615201125</v>
      </c>
      <c r="D102" s="190">
        <f t="shared" si="44"/>
        <v>1.0281055615201125</v>
      </c>
      <c r="F102" s="190">
        <f t="shared" si="44"/>
        <v>1.0281055615201125</v>
      </c>
      <c r="G102" s="190">
        <f t="shared" si="44"/>
        <v>1.0281055615201125</v>
      </c>
      <c r="H102" s="190">
        <f t="shared" si="44"/>
        <v>1.0281055615201125</v>
      </c>
      <c r="I102" s="190">
        <f t="shared" si="44"/>
        <v>1.0281055615201125</v>
      </c>
      <c r="J102" s="190">
        <f t="shared" si="44"/>
        <v>1.0281055615201125</v>
      </c>
      <c r="K102" s="190">
        <f t="shared" si="44"/>
        <v>1.0281055615201125</v>
      </c>
    </row>
    <row r="103" spans="1:13" ht="14.5" hidden="1" outlineLevel="2">
      <c r="A103" t="s">
        <v>375</v>
      </c>
      <c r="B103" s="190">
        <f>B101/(PI()*B57)</f>
        <v>0.23874891754432276</v>
      </c>
      <c r="C103" s="318">
        <f t="shared" ref="C103:K103" si="45">C101/(PI()*C57)</f>
        <v>0.23874891754432276</v>
      </c>
      <c r="D103" s="190">
        <f t="shared" si="45"/>
        <v>0.23874891754432276</v>
      </c>
      <c r="F103" s="190">
        <f t="shared" si="45"/>
        <v>0.23874891754432276</v>
      </c>
      <c r="G103" s="190">
        <f t="shared" si="45"/>
        <v>0.23874891754432276</v>
      </c>
      <c r="H103" s="190">
        <f t="shared" si="45"/>
        <v>0.23874891754432276</v>
      </c>
      <c r="I103" s="190">
        <f t="shared" si="45"/>
        <v>0.23874891754432276</v>
      </c>
      <c r="J103" s="190">
        <f t="shared" si="45"/>
        <v>0.23874891754432276</v>
      </c>
      <c r="K103" s="190">
        <f t="shared" si="45"/>
        <v>0.23874891754432276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1643771.1991620688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109584746.61080459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166.19760893838935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6.7411948224931262</v>
      </c>
      <c r="C110" s="328">
        <f t="shared" ref="C110:K110" si="50">C122</f>
        <v>8.1455404172422738E-2</v>
      </c>
      <c r="D110" s="277">
        <f t="shared" si="50"/>
        <v>0.24436621251726823</v>
      </c>
      <c r="E110" s="277"/>
      <c r="F110" s="277">
        <f t="shared" si="50"/>
        <v>0.57018782920695921</v>
      </c>
      <c r="G110" s="277">
        <f t="shared" si="50"/>
        <v>0.81455404172422752</v>
      </c>
      <c r="H110" s="277">
        <f t="shared" si="50"/>
        <v>1.2218310625863409</v>
      </c>
      <c r="I110" s="277">
        <f t="shared" si="50"/>
        <v>1.629108083448455</v>
      </c>
      <c r="J110" s="277">
        <f t="shared" si="50"/>
        <v>2.4436621251726818</v>
      </c>
      <c r="K110" s="277">
        <f t="shared" si="50"/>
        <v>4.0727702086211375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328754.23983241373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657508.47966482746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986262.7194972412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1315016.9593296549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1643771.1991620688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7.9183351375473006</v>
      </c>
      <c r="C118" s="322">
        <f t="shared" ref="C118:K122" si="54">C$109*(SQRT(0.0576/(2*($B112^(1/5)))))</f>
        <v>9.5679060757818596E-2</v>
      </c>
      <c r="D118" s="185">
        <f t="shared" si="54"/>
        <v>0.28703718227345582</v>
      </c>
      <c r="E118" s="185"/>
      <c r="F118" s="185">
        <f t="shared" si="54"/>
        <v>0.66975342530473025</v>
      </c>
      <c r="G118" s="185">
        <f t="shared" si="54"/>
        <v>0.95679060757818601</v>
      </c>
      <c r="H118" s="185">
        <f t="shared" si="54"/>
        <v>1.4351859113672789</v>
      </c>
      <c r="I118" s="185">
        <f t="shared" si="54"/>
        <v>1.913581215156372</v>
      </c>
      <c r="J118" s="185">
        <f t="shared" si="54"/>
        <v>2.8703718227345578</v>
      </c>
      <c r="K118" s="185">
        <f t="shared" si="54"/>
        <v>4.7839530378909307</v>
      </c>
    </row>
    <row r="119" spans="1:13" ht="14.5" hidden="1" outlineLevel="2">
      <c r="A119">
        <v>2</v>
      </c>
      <c r="B119" s="185">
        <f t="shared" ref="B119:B122" si="55">B$109*(SQRT(0.0576/(2*($B113^(1/5)))))</f>
        <v>7.3880679213767753</v>
      </c>
      <c r="C119" s="322">
        <f t="shared" si="54"/>
        <v>8.9271720286299441E-2</v>
      </c>
      <c r="D119" s="185">
        <f t="shared" si="54"/>
        <v>0.26781516085889834</v>
      </c>
      <c r="E119" s="185"/>
      <c r="F119" s="185">
        <f t="shared" si="54"/>
        <v>0.62490204200409616</v>
      </c>
      <c r="G119" s="185">
        <f t="shared" si="54"/>
        <v>0.8927172028629945</v>
      </c>
      <c r="H119" s="185">
        <f t="shared" si="54"/>
        <v>1.3390758042944915</v>
      </c>
      <c r="I119" s="185">
        <f t="shared" si="54"/>
        <v>1.785434405725989</v>
      </c>
      <c r="J119" s="185">
        <f t="shared" si="54"/>
        <v>2.6781516085889829</v>
      </c>
      <c r="K119" s="185">
        <f t="shared" si="54"/>
        <v>4.4635860143149726</v>
      </c>
    </row>
    <row r="120" spans="1:13" ht="14.5" hidden="1" outlineLevel="2">
      <c r="A120">
        <v>3</v>
      </c>
      <c r="B120" s="185">
        <f t="shared" si="55"/>
        <v>7.0944993543398702</v>
      </c>
      <c r="C120" s="322">
        <f t="shared" si="54"/>
        <v>8.5724463915585872E-2</v>
      </c>
      <c r="D120" s="185">
        <f t="shared" si="54"/>
        <v>0.25717339174675763</v>
      </c>
      <c r="E120" s="185"/>
      <c r="F120" s="185">
        <f t="shared" si="54"/>
        <v>0.60007124740910123</v>
      </c>
      <c r="G120" s="185">
        <f t="shared" si="54"/>
        <v>0.8572446391558588</v>
      </c>
      <c r="H120" s="185">
        <f t="shared" si="54"/>
        <v>1.2858669587337881</v>
      </c>
      <c r="I120" s="185">
        <f t="shared" si="54"/>
        <v>1.7144892783117176</v>
      </c>
      <c r="J120" s="185">
        <f t="shared" si="54"/>
        <v>2.5717339174675762</v>
      </c>
      <c r="K120" s="185">
        <f t="shared" si="54"/>
        <v>4.2862231957792947</v>
      </c>
    </row>
    <row r="121" spans="1:13" ht="14.5" hidden="1" outlineLevel="2">
      <c r="A121">
        <v>4</v>
      </c>
      <c r="B121" s="185">
        <f t="shared" si="55"/>
        <v>6.8933111143592978</v>
      </c>
      <c r="C121" s="322">
        <f t="shared" si="54"/>
        <v>8.3293460238363093E-2</v>
      </c>
      <c r="D121" s="185">
        <f t="shared" si="54"/>
        <v>0.24988038071508928</v>
      </c>
      <c r="E121" s="185"/>
      <c r="F121" s="185">
        <f t="shared" si="54"/>
        <v>0.58305422166854171</v>
      </c>
      <c r="G121" s="185">
        <f t="shared" si="54"/>
        <v>0.83293460238363104</v>
      </c>
      <c r="H121" s="185">
        <f t="shared" si="54"/>
        <v>1.2494019035754462</v>
      </c>
      <c r="I121" s="185">
        <f t="shared" si="54"/>
        <v>1.6658692047672621</v>
      </c>
      <c r="J121" s="185">
        <f t="shared" si="54"/>
        <v>2.4988038071508925</v>
      </c>
      <c r="K121" s="185">
        <f t="shared" si="54"/>
        <v>4.164673011918155</v>
      </c>
    </row>
    <row r="122" spans="1:13" ht="14.5" hidden="1" outlineLevel="2">
      <c r="A122">
        <v>5</v>
      </c>
      <c r="B122" s="185">
        <f t="shared" si="55"/>
        <v>6.7411948224931262</v>
      </c>
      <c r="C122" s="322">
        <f t="shared" si="54"/>
        <v>8.1455404172422738E-2</v>
      </c>
      <c r="D122" s="185">
        <f t="shared" si="54"/>
        <v>0.24436621251726823</v>
      </c>
      <c r="E122" s="185"/>
      <c r="F122" s="185">
        <f t="shared" si="54"/>
        <v>0.57018782920695921</v>
      </c>
      <c r="G122" s="185">
        <f t="shared" si="54"/>
        <v>0.81455404172422752</v>
      </c>
      <c r="H122" s="185">
        <f t="shared" si="54"/>
        <v>1.2218310625863409</v>
      </c>
      <c r="I122" s="185">
        <f t="shared" si="54"/>
        <v>1.629108083448455</v>
      </c>
      <c r="J122" s="185">
        <f t="shared" si="54"/>
        <v>2.4436621251726818</v>
      </c>
      <c r="K122" s="185">
        <f t="shared" si="54"/>
        <v>4.0727702086211375</v>
      </c>
    </row>
    <row r="123" spans="1:13" s="186" customFormat="1" ht="14.5" hidden="1" outlineLevel="1" collapsed="1">
      <c r="A123" s="271" t="s">
        <v>492</v>
      </c>
      <c r="B123" s="277">
        <f>B129</f>
        <v>6.6648315483583875</v>
      </c>
      <c r="C123" s="328">
        <f t="shared" ref="C123:K123" si="56">C129</f>
        <v>8.1417411350857796E-2</v>
      </c>
      <c r="D123" s="277">
        <f t="shared" si="56"/>
        <v>0.24335039274824533</v>
      </c>
      <c r="E123" s="277"/>
      <c r="F123" s="277">
        <f t="shared" si="56"/>
        <v>0.55787550956958654</v>
      </c>
      <c r="G123" s="277">
        <f t="shared" si="56"/>
        <v>0.78060455649454119</v>
      </c>
      <c r="H123" s="277">
        <f t="shared" si="56"/>
        <v>1.1202932866525079</v>
      </c>
      <c r="I123" s="277">
        <f t="shared" si="56"/>
        <v>1.4201812307149726</v>
      </c>
      <c r="J123" s="277">
        <f t="shared" si="56"/>
        <v>1.9214529625666641</v>
      </c>
      <c r="K123" s="277">
        <f t="shared" si="56"/>
        <v>2.6803505086955641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7.8286373891924139</v>
      </c>
      <c r="C125" s="322">
        <f t="shared" ref="C125:K129" si="57">C118*SQRT((1+0.2*C$11^2)^(-0.467))</f>
        <v>9.5634433669907051E-2</v>
      </c>
      <c r="D125" s="185">
        <f t="shared" si="57"/>
        <v>0.28584398112999826</v>
      </c>
      <c r="E125" s="185"/>
      <c r="F125" s="185">
        <f t="shared" si="57"/>
        <v>0.65529114142531775</v>
      </c>
      <c r="G125" s="185">
        <f t="shared" si="57"/>
        <v>0.91691289911930951</v>
      </c>
      <c r="H125" s="185">
        <f t="shared" si="57"/>
        <v>1.315917716316372</v>
      </c>
      <c r="I125" s="185">
        <f t="shared" si="57"/>
        <v>1.6681717762158628</v>
      </c>
      <c r="J125" s="185">
        <f t="shared" si="57"/>
        <v>2.2569750480833979</v>
      </c>
      <c r="K125" s="185">
        <f t="shared" si="57"/>
        <v>3.1483904816294177</v>
      </c>
    </row>
    <row r="126" spans="1:13" ht="14.5" hidden="1" outlineLevel="2">
      <c r="A126">
        <v>2</v>
      </c>
      <c r="B126" s="185">
        <f t="shared" ref="B126:B128" si="58">B119*SQRT((1+0.2*B$11^2)^(-0.467))</f>
        <v>7.3043769628950992</v>
      </c>
      <c r="C126" s="322">
        <f t="shared" si="57"/>
        <v>8.9230081740961753E-2</v>
      </c>
      <c r="D126" s="185">
        <f t="shared" si="57"/>
        <v>0.26670186482651298</v>
      </c>
      <c r="E126" s="185"/>
      <c r="F126" s="185">
        <f t="shared" si="57"/>
        <v>0.61140825401163335</v>
      </c>
      <c r="G126" s="185">
        <f t="shared" si="57"/>
        <v>0.85550998524397626</v>
      </c>
      <c r="H126" s="185">
        <f t="shared" si="57"/>
        <v>1.2277946434709484</v>
      </c>
      <c r="I126" s="185">
        <f t="shared" si="57"/>
        <v>1.556459302759956</v>
      </c>
      <c r="J126" s="185">
        <f t="shared" si="57"/>
        <v>2.1058321809371825</v>
      </c>
      <c r="K126" s="185">
        <f t="shared" si="57"/>
        <v>2.9375521896007051</v>
      </c>
    </row>
    <row r="127" spans="1:13" ht="14.5" hidden="1" outlineLevel="2">
      <c r="A127">
        <v>3</v>
      </c>
      <c r="B127" s="185">
        <f t="shared" si="58"/>
        <v>7.0141338978726413</v>
      </c>
      <c r="C127" s="322">
        <f t="shared" si="57"/>
        <v>8.5684479898633467E-2</v>
      </c>
      <c r="D127" s="185">
        <f t="shared" si="57"/>
        <v>0.25610433308798514</v>
      </c>
      <c r="E127" s="185"/>
      <c r="F127" s="185">
        <f t="shared" si="57"/>
        <v>0.58711364181872283</v>
      </c>
      <c r="G127" s="185">
        <f t="shared" si="57"/>
        <v>0.82151586890306483</v>
      </c>
      <c r="H127" s="185">
        <f t="shared" si="57"/>
        <v>1.1790076103879898</v>
      </c>
      <c r="I127" s="185">
        <f t="shared" si="57"/>
        <v>1.4946126153681931</v>
      </c>
      <c r="J127" s="185">
        <f t="shared" si="57"/>
        <v>2.022155887979832</v>
      </c>
      <c r="K127" s="185">
        <f t="shared" si="57"/>
        <v>2.8208270868980092</v>
      </c>
    </row>
    <row r="128" spans="1:13" ht="14.5" hidden="1" outlineLevel="2">
      <c r="A128">
        <v>4</v>
      </c>
      <c r="B128" s="185">
        <f t="shared" si="58"/>
        <v>6.815224689002557</v>
      </c>
      <c r="C128" s="322">
        <f t="shared" si="57"/>
        <v>8.3254610101843429E-2</v>
      </c>
      <c r="D128" s="185">
        <f t="shared" si="57"/>
        <v>0.24884163878752671</v>
      </c>
      <c r="E128" s="185"/>
      <c r="F128" s="185">
        <f t="shared" si="57"/>
        <v>0.57046407229077067</v>
      </c>
      <c r="G128" s="185">
        <f t="shared" si="57"/>
        <v>0.79821904082179751</v>
      </c>
      <c r="H128" s="185">
        <f t="shared" si="57"/>
        <v>1.1455729091905671</v>
      </c>
      <c r="I128" s="185">
        <f t="shared" si="57"/>
        <v>1.4522278794594157</v>
      </c>
      <c r="J128" s="185">
        <f t="shared" si="57"/>
        <v>1.9648108994542994</v>
      </c>
      <c r="K128" s="185">
        <f t="shared" si="57"/>
        <v>2.7408331072586454</v>
      </c>
    </row>
    <row r="129" spans="1:13" ht="14.5" hidden="1" outlineLevel="2">
      <c r="A129">
        <v>5</v>
      </c>
      <c r="B129" s="185">
        <f>B122*SQRT((1+0.2*B$11^2)^(-0.467))</f>
        <v>6.6648315483583875</v>
      </c>
      <c r="C129" s="322">
        <f t="shared" si="57"/>
        <v>8.1417411350857796E-2</v>
      </c>
      <c r="D129" s="185">
        <f t="shared" si="57"/>
        <v>0.24335039274824533</v>
      </c>
      <c r="E129" s="185"/>
      <c r="F129" s="185">
        <f t="shared" si="57"/>
        <v>0.55787550956958654</v>
      </c>
      <c r="G129" s="185">
        <f t="shared" si="57"/>
        <v>0.78060455649454119</v>
      </c>
      <c r="H129" s="185">
        <f t="shared" si="57"/>
        <v>1.1202932866525079</v>
      </c>
      <c r="I129" s="185">
        <f t="shared" si="57"/>
        <v>1.4201812307149726</v>
      </c>
      <c r="J129" s="185">
        <f t="shared" si="57"/>
        <v>1.9214529625666641</v>
      </c>
      <c r="K129" s="185">
        <f t="shared" si="57"/>
        <v>2.6803505086955641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0.53008576108322059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18.61627086066509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18.034512396269314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17.452753931873524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16.870995467477741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16.289237003081954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15.707478538686171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15.125720074290388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14.543961609894604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13.962203145498819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13.380444681103034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0.2538582390090694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0.49185033808007217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0.7139762972130077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0.92023611640787673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1.1106297956646787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1.2851573349834138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1.4438187343640825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1.5866139938066839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1.7135431133112187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1.8246060928776864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159.98357770884064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11.34429005571779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1.0601715221664412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619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2.0247784593365763</v>
      </c>
      <c r="C190" s="318">
        <f t="shared" si="78"/>
        <v>1.7623434401545024</v>
      </c>
      <c r="D190" s="190">
        <f t="shared" si="78"/>
        <v>1.8381775067178228</v>
      </c>
      <c r="F190" s="190">
        <f t="shared" si="78"/>
        <v>2.4554045459764993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0.1398345</v>
      </c>
      <c r="C192" s="318">
        <f t="shared" si="79"/>
        <v>0.1398345</v>
      </c>
      <c r="D192" s="190">
        <f t="shared" si="79"/>
        <v>0.1398345</v>
      </c>
      <c r="F192" s="190">
        <f t="shared" si="79"/>
        <v>0.1398345</v>
      </c>
      <c r="G192" s="190">
        <f t="shared" si="79"/>
        <v>0.1398345</v>
      </c>
      <c r="H192" s="190">
        <f t="shared" si="79"/>
        <v>0.1398345</v>
      </c>
      <c r="I192" s="190">
        <f t="shared" si="79"/>
        <v>0.1398345</v>
      </c>
      <c r="J192" s="190">
        <f t="shared" si="79"/>
        <v>0.1398345</v>
      </c>
      <c r="K192" s="190">
        <f t="shared" si="79"/>
        <v>0.1398345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-8.5113674529406746E-5</v>
      </c>
      <c r="C194" s="318">
        <f t="shared" si="80"/>
        <v>-4.1093193173135636E-4</v>
      </c>
      <c r="D194" s="190">
        <f t="shared" si="80"/>
        <v>-1.369773174306542E-4</v>
      </c>
      <c r="F194" s="190">
        <f t="shared" ref="F194:K202" si="81">ATAN((-F$192*$A194)/F$3)</f>
        <v>-5.8704564912854843E-5</v>
      </c>
      <c r="G194" s="190">
        <f t="shared" si="81"/>
        <v>-4.1093195463073178E-5</v>
      </c>
      <c r="H194" s="190">
        <f t="shared" si="81"/>
        <v>-2.7395463650615708E-5</v>
      </c>
      <c r="I194" s="190">
        <f t="shared" si="81"/>
        <v>-2.0546597740210596E-5</v>
      </c>
      <c r="J194" s="190">
        <f t="shared" si="81"/>
        <v>-1.369773182787793E-5</v>
      </c>
      <c r="K194" s="190">
        <f t="shared" si="81"/>
        <v>-8.2186390970557265E-6</v>
      </c>
    </row>
    <row r="195" spans="1:11" ht="15" hidden="1" customHeight="1" outlineLevel="2">
      <c r="A195">
        <v>0.5</v>
      </c>
      <c r="B195" s="190">
        <f t="shared" si="80"/>
        <v>-4.2556834798334865E-4</v>
      </c>
      <c r="C195" s="318">
        <f t="shared" si="80"/>
        <v>-2.0546568829819356E-3</v>
      </c>
      <c r="D195" s="190">
        <f t="shared" si="80"/>
        <v>-6.8488648435025814E-4</v>
      </c>
      <c r="F195" s="190">
        <f t="shared" si="81"/>
        <v>-2.9352281647190679E-4</v>
      </c>
      <c r="G195" s="190">
        <f t="shared" si="81"/>
        <v>-2.0546597453968381E-4</v>
      </c>
      <c r="H195" s="190">
        <f t="shared" si="81"/>
        <v>-1.3697731743065418E-4</v>
      </c>
      <c r="I195" s="190">
        <f t="shared" si="81"/>
        <v>-1.0273298835409271E-4</v>
      </c>
      <c r="J195" s="190">
        <f t="shared" si="81"/>
        <v>-6.84886590365866E-5</v>
      </c>
      <c r="K195" s="190">
        <f t="shared" si="81"/>
        <v>-4.1093195463073171E-5</v>
      </c>
    </row>
    <row r="196" spans="1:11" ht="15" hidden="1" customHeight="1" outlineLevel="2">
      <c r="A196">
        <v>0.8</v>
      </c>
      <c r="B196" s="190">
        <f t="shared" si="80"/>
        <v>-6.8090929264779418E-4</v>
      </c>
      <c r="C196" s="318">
        <f t="shared" si="80"/>
        <v>-3.2874437960625624E-3</v>
      </c>
      <c r="D196" s="190">
        <f t="shared" si="80"/>
        <v>-1.0958181076727695E-3</v>
      </c>
      <c r="F196" s="190">
        <f t="shared" si="81"/>
        <v>-4.6963648531489851E-4</v>
      </c>
      <c r="G196" s="190">
        <f t="shared" si="81"/>
        <v>-3.2874555204672113E-4</v>
      </c>
      <c r="H196" s="190">
        <f t="shared" si="81"/>
        <v>-2.1916370575074352E-4</v>
      </c>
      <c r="I196" s="190">
        <f t="shared" si="81"/>
        <v>-1.6437278046445167E-4</v>
      </c>
      <c r="J196" s="190">
        <f t="shared" si="81"/>
        <v>-1.0958185419125067E-4</v>
      </c>
      <c r="K196" s="190">
        <f t="shared" si="81"/>
        <v>-6.5749112683182904E-5</v>
      </c>
    </row>
    <row r="197" spans="1:11" ht="15" hidden="1" customHeight="1" outlineLevel="2">
      <c r="A197">
        <v>1</v>
      </c>
      <c r="B197" s="190">
        <f t="shared" si="80"/>
        <v>-8.5113654181873187E-4</v>
      </c>
      <c r="C197" s="318">
        <f t="shared" si="80"/>
        <v>-4.1092964181700916E-3</v>
      </c>
      <c r="D197" s="190">
        <f t="shared" si="80"/>
        <v>-1.3697723261824023E-3</v>
      </c>
      <c r="F197" s="190">
        <f t="shared" si="81"/>
        <v>-5.8704558236652785E-4</v>
      </c>
      <c r="G197" s="190">
        <f t="shared" si="81"/>
        <v>-4.1093193173135631E-4</v>
      </c>
      <c r="H197" s="190">
        <f t="shared" si="81"/>
        <v>-2.7395462972115654E-4</v>
      </c>
      <c r="I197" s="190">
        <f t="shared" si="81"/>
        <v>-2.0546597453968381E-4</v>
      </c>
      <c r="J197" s="190">
        <f t="shared" si="81"/>
        <v>-1.3697731743065418E-4</v>
      </c>
      <c r="K197" s="190">
        <f t="shared" si="81"/>
        <v>-8.2186390787362243E-5</v>
      </c>
    </row>
    <row r="198" spans="1:11" ht="15" hidden="1" customHeight="1" outlineLevel="2">
      <c r="A198">
        <v>5</v>
      </c>
      <c r="B198" s="190">
        <f t="shared" si="80"/>
        <v>-4.2556580456845263E-3</v>
      </c>
      <c r="C198" s="318">
        <f t="shared" si="80"/>
        <v>-2.0543707139668278E-2</v>
      </c>
      <c r="D198" s="190">
        <f t="shared" si="80"/>
        <v>-6.8487588308780607E-3</v>
      </c>
      <c r="F198" s="190">
        <f t="shared" si="81"/>
        <v>-2.9352198195083373E-3</v>
      </c>
      <c r="G198" s="190">
        <f t="shared" si="81"/>
        <v>-2.0546568829819356E-3</v>
      </c>
      <c r="H198" s="190">
        <f t="shared" si="81"/>
        <v>-1.3697723261824025E-3</v>
      </c>
      <c r="I198" s="190">
        <f t="shared" si="81"/>
        <v>-1.0273295257383777E-3</v>
      </c>
      <c r="J198" s="190">
        <f t="shared" si="81"/>
        <v>-6.8488648435025825E-4</v>
      </c>
      <c r="K198" s="190">
        <f t="shared" si="81"/>
        <v>-4.1093193173135625E-4</v>
      </c>
    </row>
    <row r="199" spans="1:11" ht="15" hidden="1" customHeight="1" outlineLevel="2">
      <c r="A199">
        <v>10</v>
      </c>
      <c r="B199" s="190">
        <f t="shared" si="80"/>
        <v>-8.5111619516947401E-3</v>
      </c>
      <c r="C199" s="318">
        <f t="shared" si="80"/>
        <v>-4.1070088209111351E-2</v>
      </c>
      <c r="D199" s="190">
        <f t="shared" si="80"/>
        <v>-1.3696875233141191E-2</v>
      </c>
      <c r="F199" s="190">
        <f t="shared" si="81"/>
        <v>-5.8703890630250992E-3</v>
      </c>
      <c r="G199" s="190">
        <f t="shared" si="81"/>
        <v>-4.1092964181700916E-3</v>
      </c>
      <c r="H199" s="190">
        <f t="shared" si="81"/>
        <v>-2.7395395122415934E-3</v>
      </c>
      <c r="I199" s="190">
        <f t="shared" si="81"/>
        <v>-2.0546568829819356E-3</v>
      </c>
      <c r="J199" s="190">
        <f t="shared" si="81"/>
        <v>-1.3697723261824025E-3</v>
      </c>
      <c r="K199" s="190">
        <f t="shared" si="81"/>
        <v>-8.2186372467867497E-4</v>
      </c>
    </row>
    <row r="200" spans="1:11" ht="15" hidden="1" customHeight="1" outlineLevel="2">
      <c r="A200">
        <v>20</v>
      </c>
      <c r="B200" s="190">
        <f t="shared" si="80"/>
        <v>-1.7021090986946482E-2</v>
      </c>
      <c r="C200" s="318">
        <f t="shared" si="80"/>
        <v>-8.2002091841063954E-2</v>
      </c>
      <c r="D200" s="190">
        <f t="shared" si="80"/>
        <v>-2.7388613205817473E-2</v>
      </c>
      <c r="F200" s="190">
        <f t="shared" si="81"/>
        <v>-1.1740373549487683E-2</v>
      </c>
      <c r="G200" s="190">
        <f t="shared" si="81"/>
        <v>-8.2184540592626625E-3</v>
      </c>
      <c r="H200" s="190">
        <f t="shared" si="81"/>
        <v>-5.4790379041918689E-3</v>
      </c>
      <c r="I200" s="190">
        <f t="shared" si="81"/>
        <v>-4.1092964181700916E-3</v>
      </c>
      <c r="J200" s="190">
        <f t="shared" si="81"/>
        <v>-2.7395395122415934E-3</v>
      </c>
      <c r="K200" s="190">
        <f t="shared" si="81"/>
        <v>-1.6437263390867364E-3</v>
      </c>
    </row>
    <row r="201" spans="1:11" ht="15" hidden="1" customHeight="1" outlineLevel="2">
      <c r="A201">
        <v>50</v>
      </c>
      <c r="B201" s="190">
        <f t="shared" si="80"/>
        <v>-4.2531173907398828E-2</v>
      </c>
      <c r="C201" s="318">
        <f t="shared" si="80"/>
        <v>-0.20264574036446306</v>
      </c>
      <c r="D201" s="190">
        <f t="shared" si="80"/>
        <v>-6.8381873020706113E-2</v>
      </c>
      <c r="F201" s="190">
        <f t="shared" si="81"/>
        <v>-2.9343857295186182E-2</v>
      </c>
      <c r="G201" s="190">
        <f t="shared" si="81"/>
        <v>-2.0543707139668278E-2</v>
      </c>
      <c r="H201" s="190">
        <f t="shared" si="81"/>
        <v>-1.3696875233141191E-2</v>
      </c>
      <c r="I201" s="190">
        <f t="shared" si="81"/>
        <v>-1.0272937477488094E-2</v>
      </c>
      <c r="J201" s="190">
        <f t="shared" si="81"/>
        <v>-6.8487588308780607E-3</v>
      </c>
      <c r="K201" s="190">
        <f t="shared" si="81"/>
        <v>-4.1092964181700916E-3</v>
      </c>
    </row>
    <row r="202" spans="1:11" ht="15" hidden="1" customHeight="1" outlineLevel="2">
      <c r="A202">
        <v>100</v>
      </c>
      <c r="B202" s="190">
        <f t="shared" si="80"/>
        <v>-8.4909032766374792E-2</v>
      </c>
      <c r="C202" s="318">
        <f t="shared" si="80"/>
        <v>-0.38989480823958689</v>
      </c>
      <c r="D202" s="190">
        <f t="shared" si="80"/>
        <v>-0.13613014322474623</v>
      </c>
      <c r="F202" s="190">
        <f t="shared" si="81"/>
        <v>-5.8637267680205767E-2</v>
      </c>
      <c r="G202" s="190">
        <f t="shared" si="81"/>
        <v>-4.1070088209111351E-2</v>
      </c>
      <c r="H202" s="190">
        <f t="shared" si="81"/>
        <v>-2.7388613205817473E-2</v>
      </c>
      <c r="I202" s="190">
        <f t="shared" si="81"/>
        <v>-2.0543707139668278E-2</v>
      </c>
      <c r="J202" s="190">
        <f t="shared" si="81"/>
        <v>-1.3696875233141191E-2</v>
      </c>
      <c r="K202" s="190">
        <f t="shared" si="81"/>
        <v>-8.2184540592626625E-3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-4.8766543293851401E-3</v>
      </c>
      <c r="C204" s="318">
        <f t="shared" ref="C204:K212" si="82">DEGREES(C194)</f>
        <v>-2.3544665355364792E-2</v>
      </c>
      <c r="D204" s="190">
        <f t="shared" si="82"/>
        <v>-7.8482221778002521E-3</v>
      </c>
      <c r="F204" s="190">
        <f t="shared" si="82"/>
        <v>-3.3635238076583597E-3</v>
      </c>
      <c r="G204" s="190">
        <f t="shared" si="82"/>
        <v>-2.3544666667402354E-3</v>
      </c>
      <c r="H204" s="190">
        <f t="shared" si="82"/>
        <v>-1.5696444449843389E-3</v>
      </c>
      <c r="I204" s="190">
        <f t="shared" si="82"/>
        <v>-1.1772333338671019E-3</v>
      </c>
      <c r="J204" s="190">
        <f t="shared" si="82"/>
        <v>-7.8482222263942395E-4</v>
      </c>
      <c r="K204" s="190">
        <f t="shared" si="82"/>
        <v>-4.7089333360250289E-4</v>
      </c>
    </row>
    <row r="205" spans="1:11" ht="15" hidden="1" customHeight="1" outlineLevel="2">
      <c r="A205">
        <v>0.5</v>
      </c>
      <c r="B205" s="190">
        <f t="shared" ref="B205:B212" si="83">DEGREES(B195)</f>
        <v>-2.4383270233800637E-2</v>
      </c>
      <c r="C205" s="318">
        <f t="shared" si="82"/>
        <v>-0.11772316774236997</v>
      </c>
      <c r="D205" s="190">
        <f t="shared" si="82"/>
        <v>-3.9241104998822496E-2</v>
      </c>
      <c r="F205" s="190">
        <f t="shared" si="82"/>
        <v>-1.6817618574633299E-2</v>
      </c>
      <c r="G205" s="190">
        <f t="shared" si="82"/>
        <v>-1.177233317466631E-2</v>
      </c>
      <c r="H205" s="190">
        <f t="shared" si="82"/>
        <v>-7.8482221778002504E-3</v>
      </c>
      <c r="I205" s="190">
        <f t="shared" si="82"/>
        <v>-5.8861666494561494E-3</v>
      </c>
      <c r="J205" s="190">
        <f t="shared" si="82"/>
        <v>-3.9241111073069395E-3</v>
      </c>
      <c r="K205" s="190">
        <f t="shared" si="82"/>
        <v>-2.3544666667402354E-3</v>
      </c>
    </row>
    <row r="206" spans="1:11" ht="15" hidden="1" customHeight="1" outlineLevel="2">
      <c r="A206">
        <v>0.8</v>
      </c>
      <c r="B206" s="190">
        <f t="shared" si="83"/>
        <v>-3.901322869995686E-2</v>
      </c>
      <c r="C206" s="318">
        <f t="shared" si="82"/>
        <v>-0.18835665490085093</v>
      </c>
      <c r="D206" s="190">
        <f t="shared" si="82"/>
        <v>-6.2785752683662099E-2</v>
      </c>
      <c r="F206" s="190">
        <f t="shared" si="82"/>
        <v>-2.6908188513901348E-2</v>
      </c>
      <c r="G206" s="190">
        <f t="shared" si="82"/>
        <v>-1.8835732665975463E-2</v>
      </c>
      <c r="H206" s="190">
        <f t="shared" si="82"/>
        <v>-1.2557155361964653E-2</v>
      </c>
      <c r="I206" s="190">
        <f t="shared" si="82"/>
        <v>-9.4178665874435075E-3</v>
      </c>
      <c r="J206" s="190">
        <f t="shared" si="82"/>
        <v>-6.2785777563766345E-3</v>
      </c>
      <c r="K206" s="190">
        <f t="shared" si="82"/>
        <v>-3.767146663476452E-3</v>
      </c>
    </row>
    <row r="207" spans="1:11" ht="15" hidden="1" customHeight="1" outlineLevel="2">
      <c r="A207">
        <v>1</v>
      </c>
      <c r="B207" s="190">
        <f t="shared" si="83"/>
        <v>-4.8766531635573436E-2</v>
      </c>
      <c r="C207" s="318">
        <f t="shared" si="82"/>
        <v>-0.23544534152937249</v>
      </c>
      <c r="D207" s="190">
        <f t="shared" si="82"/>
        <v>-7.8482173184068804E-2</v>
      </c>
      <c r="F207" s="190">
        <f t="shared" si="82"/>
        <v>-3.3635234251401587E-2</v>
      </c>
      <c r="G207" s="190">
        <f t="shared" si="82"/>
        <v>-2.3544665355364789E-2</v>
      </c>
      <c r="H207" s="190">
        <f t="shared" si="82"/>
        <v>-1.5696444061091493E-2</v>
      </c>
      <c r="I207" s="190">
        <f t="shared" si="82"/>
        <v>-1.177233317466631E-2</v>
      </c>
      <c r="J207" s="190">
        <f t="shared" si="82"/>
        <v>-7.8482221778002504E-3</v>
      </c>
      <c r="K207" s="190">
        <f t="shared" si="82"/>
        <v>-4.7089333255287275E-3</v>
      </c>
    </row>
    <row r="208" spans="1:11" ht="15" hidden="1" customHeight="1" outlineLevel="2">
      <c r="A208">
        <v>5</v>
      </c>
      <c r="B208" s="190">
        <f t="shared" si="83"/>
        <v>-0.24383124506861545</v>
      </c>
      <c r="C208" s="318">
        <f t="shared" si="82"/>
        <v>-1.1770677146557689</v>
      </c>
      <c r="D208" s="190">
        <f t="shared" si="82"/>
        <v>-0.39240497591226481</v>
      </c>
      <c r="F208" s="190">
        <f t="shared" si="82"/>
        <v>-0.168175707600979</v>
      </c>
      <c r="G208" s="190">
        <f t="shared" si="82"/>
        <v>-0.11772316774236997</v>
      </c>
      <c r="H208" s="190">
        <f t="shared" si="82"/>
        <v>-7.8482173184068818E-2</v>
      </c>
      <c r="I208" s="190">
        <f t="shared" si="82"/>
        <v>-5.8861645993985523E-2</v>
      </c>
      <c r="J208" s="190">
        <f t="shared" si="82"/>
        <v>-3.9241104998822503E-2</v>
      </c>
      <c r="K208" s="190">
        <f t="shared" si="82"/>
        <v>-2.3544665355364786E-2</v>
      </c>
    </row>
    <row r="209" spans="1:11" ht="15" hidden="1" customHeight="1" outlineLevel="2">
      <c r="A209">
        <v>10</v>
      </c>
      <c r="B209" s="190">
        <f t="shared" si="83"/>
        <v>-0.48765365858443727</v>
      </c>
      <c r="C209" s="318">
        <f t="shared" si="82"/>
        <v>-2.3531427186120859</v>
      </c>
      <c r="D209" s="190">
        <f t="shared" si="82"/>
        <v>-0.7847731433762557</v>
      </c>
      <c r="F209" s="190">
        <f t="shared" si="82"/>
        <v>-0.336348517411096</v>
      </c>
      <c r="G209" s="190">
        <f t="shared" si="82"/>
        <v>-0.23544534152937249</v>
      </c>
      <c r="H209" s="190">
        <f t="shared" si="82"/>
        <v>-0.15696405186077142</v>
      </c>
      <c r="I209" s="190">
        <f t="shared" si="82"/>
        <v>-0.11772316774236997</v>
      </c>
      <c r="J209" s="190">
        <f t="shared" si="82"/>
        <v>-7.8482173184068818E-2</v>
      </c>
      <c r="K209" s="190">
        <f t="shared" si="82"/>
        <v>-4.7089322758989957E-2</v>
      </c>
    </row>
    <row r="210" spans="1:11" ht="15" hidden="1" customHeight="1" outlineLevel="2">
      <c r="A210">
        <v>20</v>
      </c>
      <c r="B210" s="190">
        <f t="shared" si="83"/>
        <v>-0.97523667626019839</v>
      </c>
      <c r="C210" s="318">
        <f t="shared" si="82"/>
        <v>-4.6983737737371269</v>
      </c>
      <c r="D210" s="190">
        <f t="shared" si="82"/>
        <v>-1.5692519434096128</v>
      </c>
      <c r="F210" s="190">
        <f t="shared" si="82"/>
        <v>-0.67267385429267001</v>
      </c>
      <c r="G210" s="190">
        <f t="shared" si="82"/>
        <v>-0.4708827317179099</v>
      </c>
      <c r="H210" s="190">
        <f t="shared" si="82"/>
        <v>-0.31392574770239801</v>
      </c>
      <c r="I210" s="190">
        <f t="shared" si="82"/>
        <v>-0.23544534152937249</v>
      </c>
      <c r="J210" s="190">
        <f t="shared" si="82"/>
        <v>-0.15696405186077142</v>
      </c>
      <c r="K210" s="190">
        <f t="shared" si="82"/>
        <v>-9.4178581904159633E-2</v>
      </c>
    </row>
    <row r="211" spans="1:11" ht="15" hidden="1" customHeight="1" outlineLevel="2">
      <c r="A211">
        <v>50</v>
      </c>
      <c r="B211" s="190">
        <f t="shared" si="83"/>
        <v>-2.436856762630883</v>
      </c>
      <c r="C211" s="318">
        <f t="shared" si="82"/>
        <v>-11.610745659187602</v>
      </c>
      <c r="D211" s="190">
        <f t="shared" si="82"/>
        <v>-3.9179927192859703</v>
      </c>
      <c r="F211" s="190">
        <f t="shared" si="82"/>
        <v>-1.6812791776483398</v>
      </c>
      <c r="G211" s="190">
        <f t="shared" si="82"/>
        <v>-1.1770677146557689</v>
      </c>
      <c r="H211" s="190">
        <f t="shared" si="82"/>
        <v>-0.7847731433762557</v>
      </c>
      <c r="I211" s="190">
        <f t="shared" si="82"/>
        <v>-0.58859596066183795</v>
      </c>
      <c r="J211" s="190">
        <f t="shared" si="82"/>
        <v>-0.39240497591226481</v>
      </c>
      <c r="K211" s="190">
        <f t="shared" si="82"/>
        <v>-0.23544534152937249</v>
      </c>
    </row>
    <row r="212" spans="1:11" ht="15" hidden="1" customHeight="1" outlineLevel="2">
      <c r="A212">
        <v>100</v>
      </c>
      <c r="B212" s="190">
        <f t="shared" si="83"/>
        <v>-4.8649292200512928</v>
      </c>
      <c r="C212" s="318">
        <f t="shared" si="82"/>
        <v>-22.339326966190882</v>
      </c>
      <c r="D212" s="190">
        <f t="shared" si="82"/>
        <v>-7.7996826712893776</v>
      </c>
      <c r="F212" s="190">
        <f t="shared" si="82"/>
        <v>-3.359667960254658</v>
      </c>
      <c r="G212" s="190">
        <f t="shared" si="82"/>
        <v>-2.3531427186120859</v>
      </c>
      <c r="H212" s="190">
        <f t="shared" si="82"/>
        <v>-1.5692519434096128</v>
      </c>
      <c r="I212" s="190">
        <f t="shared" si="82"/>
        <v>-1.1770677146557689</v>
      </c>
      <c r="J212" s="190">
        <f t="shared" si="82"/>
        <v>-0.7847731433762557</v>
      </c>
      <c r="K212" s="190">
        <f t="shared" si="82"/>
        <v>-0.4708827317179099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-3.4463938384777182E-2</v>
      </c>
      <c r="C215" s="318">
        <f>C$190*VLOOKUP(C$214,$A$194:C$202,C$193,FALSE)</f>
        <v>-2.9997008045118057E-2</v>
      </c>
      <c r="D215" s="190">
        <f>D$190*VLOOKUP(D$214,$A$194:D$202,D$193,FALSE)</f>
        <v>-3.1287786592002487E-2</v>
      </c>
      <c r="F215" s="190">
        <f>F$190*VLOOKUP(F$214,$A$194:F$202,F$193,FALSE)</f>
        <v>-4.1793664186828013E-2</v>
      </c>
      <c r="G215" s="190">
        <f>G$190*VLOOKUP(G$214,$A$194:G$202,G$193,FALSE)</f>
        <v>-0.48023007619092006</v>
      </c>
      <c r="H215" s="190">
        <f>H$190*VLOOKUP(H$214,$A$194:H$202,H$193,FALSE)</f>
        <v>-6.089650639683411E-2</v>
      </c>
      <c r="I215" s="190">
        <f>I$190*VLOOKUP(I$214,$A$194:I$202,I$193,FALSE)</f>
        <v>-3.9308525852858663E-2</v>
      </c>
      <c r="J215" s="190">
        <f>J$190*VLOOKUP(J$214,$A$194:J$202,J$193,FALSE)</f>
        <v>-2.4071457720126161E-2</v>
      </c>
      <c r="K215" s="190">
        <f>K$190*VLOOKUP(K$214,$A$194:K$202,K$193,FALSE)</f>
        <v>-1.3897662594501538E-2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-1.2103513412343072</v>
      </c>
      <c r="C217" s="318">
        <f t="shared" si="84"/>
        <v>-4.2285347220790068E-2</v>
      </c>
      <c r="D217" s="190">
        <f t="shared" si="84"/>
        <v>-0.39694406390150316</v>
      </c>
      <c r="F217" s="190">
        <f t="shared" si="84"/>
        <v>-2.8868119232571328</v>
      </c>
      <c r="G217" s="190">
        <f t="shared" si="84"/>
        <v>-67.695736478306515</v>
      </c>
      <c r="H217" s="190">
        <f t="shared" si="84"/>
        <v>-19.314650666869145</v>
      </c>
      <c r="I217" s="190">
        <f t="shared" si="84"/>
        <v>-22.164539369066134</v>
      </c>
      <c r="J217" s="190">
        <f t="shared" si="84"/>
        <v>-30.539144158898289</v>
      </c>
      <c r="K217" s="190">
        <f t="shared" si="84"/>
        <v>-48.977175280446453</v>
      </c>
    </row>
    <row r="218" spans="1:11" ht="15" hidden="1" customHeight="1" outlineLevel="2">
      <c r="A218">
        <v>2</v>
      </c>
      <c r="B218" s="190">
        <f t="shared" ref="B218:K218" si="85">B$33*(B88)*B$215</f>
        <v>-1.1725278618207355</v>
      </c>
      <c r="C218" s="318">
        <f t="shared" si="85"/>
        <v>-4.0963930120140393E-2</v>
      </c>
      <c r="D218" s="190">
        <f t="shared" si="85"/>
        <v>-0.38453956190458133</v>
      </c>
      <c r="F218" s="190">
        <f t="shared" si="85"/>
        <v>-2.7965990506553475</v>
      </c>
      <c r="G218" s="190">
        <f t="shared" si="85"/>
        <v>-65.580244713359448</v>
      </c>
      <c r="H218" s="190">
        <f t="shared" si="85"/>
        <v>-18.711067833529491</v>
      </c>
      <c r="I218" s="190">
        <f t="shared" si="85"/>
        <v>-21.471897513782817</v>
      </c>
      <c r="J218" s="190">
        <f t="shared" si="85"/>
        <v>-29.584795903932729</v>
      </c>
      <c r="K218" s="190">
        <f t="shared" si="85"/>
        <v>-47.446638552932512</v>
      </c>
    </row>
    <row r="219" spans="1:11" ht="15" hidden="1" customHeight="1" outlineLevel="2">
      <c r="A219">
        <v>3</v>
      </c>
      <c r="B219" s="190">
        <f t="shared" ref="B219:K219" si="86">B$33*(B89)*B$215</f>
        <v>-1.1347043824071632</v>
      </c>
      <c r="C219" s="318">
        <f t="shared" si="86"/>
        <v>-3.9642513019490691E-2</v>
      </c>
      <c r="D219" s="190">
        <f t="shared" si="86"/>
        <v>-0.37213505990765922</v>
      </c>
      <c r="F219" s="190">
        <f t="shared" si="86"/>
        <v>-2.7063861780535619</v>
      </c>
      <c r="G219" s="190">
        <f t="shared" si="86"/>
        <v>-63.464752948412368</v>
      </c>
      <c r="H219" s="190">
        <f t="shared" si="86"/>
        <v>-18.107485000189826</v>
      </c>
      <c r="I219" s="190">
        <f t="shared" si="86"/>
        <v>-20.779255658499501</v>
      </c>
      <c r="J219" s="190">
        <f t="shared" si="86"/>
        <v>-28.630447648967149</v>
      </c>
      <c r="K219" s="190">
        <f t="shared" si="86"/>
        <v>-45.916101825418551</v>
      </c>
    </row>
    <row r="220" spans="1:11" ht="15" hidden="1" customHeight="1" outlineLevel="2">
      <c r="A220">
        <v>4</v>
      </c>
      <c r="B220" s="190">
        <f t="shared" ref="B220:K220" si="87">B$33*(B90)*B$215</f>
        <v>-1.0968809029935911</v>
      </c>
      <c r="C220" s="318">
        <f t="shared" si="87"/>
        <v>-3.832109591884101E-2</v>
      </c>
      <c r="D220" s="190">
        <f t="shared" si="87"/>
        <v>-0.35973055791073733</v>
      </c>
      <c r="F220" s="190">
        <f t="shared" si="87"/>
        <v>-2.6161733054517771</v>
      </c>
      <c r="G220" s="190">
        <f t="shared" si="87"/>
        <v>-61.349261183465295</v>
      </c>
      <c r="H220" s="190">
        <f t="shared" si="87"/>
        <v>-17.503902166850168</v>
      </c>
      <c r="I220" s="190">
        <f t="shared" si="87"/>
        <v>-20.086613803216189</v>
      </c>
      <c r="J220" s="190">
        <f t="shared" si="87"/>
        <v>-27.676099394001582</v>
      </c>
      <c r="K220" s="190">
        <f t="shared" si="87"/>
        <v>-44.38556509790461</v>
      </c>
    </row>
    <row r="221" spans="1:11" ht="15" hidden="1" customHeight="1" outlineLevel="2">
      <c r="A221">
        <v>5</v>
      </c>
      <c r="B221" s="190">
        <f t="shared" ref="B221:K221" si="88">B$33*(B91)*B$215</f>
        <v>-1.059057423580019</v>
      </c>
      <c r="C221" s="318">
        <f t="shared" si="88"/>
        <v>-3.6999678818191314E-2</v>
      </c>
      <c r="D221" s="190">
        <f t="shared" si="88"/>
        <v>-0.34732605591381532</v>
      </c>
      <c r="F221" s="190">
        <f t="shared" si="88"/>
        <v>-2.5259604328499914</v>
      </c>
      <c r="G221" s="190">
        <f t="shared" si="88"/>
        <v>-59.2337694185182</v>
      </c>
      <c r="H221" s="190">
        <f t="shared" si="88"/>
        <v>-16.900319333510502</v>
      </c>
      <c r="I221" s="190">
        <f t="shared" si="88"/>
        <v>-19.393971947932865</v>
      </c>
      <c r="J221" s="190">
        <f t="shared" si="88"/>
        <v>-26.721751139036002</v>
      </c>
      <c r="K221" s="190">
        <f t="shared" si="88"/>
        <v>-42.855028370390649</v>
      </c>
    </row>
    <row r="222" spans="1:11" ht="15" hidden="1" customHeight="1" outlineLevel="2">
      <c r="A222">
        <v>6</v>
      </c>
      <c r="B222" s="190">
        <f t="shared" ref="B222:K222" si="89">B$33*(B92)*B$215</f>
        <v>-1.0212339441664466</v>
      </c>
      <c r="C222" s="318">
        <f t="shared" si="89"/>
        <v>-3.5678261717541626E-2</v>
      </c>
      <c r="D222" s="190">
        <f t="shared" si="89"/>
        <v>-0.33492155391689338</v>
      </c>
      <c r="F222" s="190">
        <f t="shared" si="89"/>
        <v>-2.4357475602482057</v>
      </c>
      <c r="G222" s="190">
        <f t="shared" si="89"/>
        <v>-57.118277653571127</v>
      </c>
      <c r="H222" s="190">
        <f t="shared" si="89"/>
        <v>-16.296736500170844</v>
      </c>
      <c r="I222" s="190">
        <f t="shared" si="89"/>
        <v>-18.701330092649549</v>
      </c>
      <c r="J222" s="190">
        <f t="shared" si="89"/>
        <v>-25.767402884070435</v>
      </c>
      <c r="K222" s="190">
        <f t="shared" si="89"/>
        <v>-41.324491642876694</v>
      </c>
    </row>
    <row r="223" spans="1:11" ht="15" hidden="1" customHeight="1" outlineLevel="2">
      <c r="A223">
        <v>7</v>
      </c>
      <c r="B223" s="190">
        <f t="shared" ref="B223:K223" si="90">B$33*(B93)*B$215</f>
        <v>-0.98341046475287475</v>
      </c>
      <c r="C223" s="318">
        <f t="shared" si="90"/>
        <v>-3.4356844616891938E-2</v>
      </c>
      <c r="D223" s="190">
        <f t="shared" si="90"/>
        <v>-0.32251705191997138</v>
      </c>
      <c r="F223" s="190">
        <f t="shared" si="90"/>
        <v>-2.3455346876464209</v>
      </c>
      <c r="G223" s="190">
        <f t="shared" si="90"/>
        <v>-55.002785888624054</v>
      </c>
      <c r="H223" s="190">
        <f t="shared" si="90"/>
        <v>-15.693153666831181</v>
      </c>
      <c r="I223" s="190">
        <f t="shared" si="90"/>
        <v>-18.008688237366236</v>
      </c>
      <c r="J223" s="190">
        <f t="shared" si="90"/>
        <v>-24.813054629104862</v>
      </c>
      <c r="K223" s="190">
        <f t="shared" si="90"/>
        <v>-39.793954915362747</v>
      </c>
    </row>
    <row r="224" spans="1:11" ht="15" hidden="1" customHeight="1" outlineLevel="2">
      <c r="A224">
        <v>8</v>
      </c>
      <c r="B224" s="190">
        <f t="shared" ref="B224:K224" si="91">B$33*(B94)*B$215</f>
        <v>-0.94558698533930263</v>
      </c>
      <c r="C224" s="318">
        <f t="shared" si="91"/>
        <v>-3.3035427516242243E-2</v>
      </c>
      <c r="D224" s="190">
        <f t="shared" si="91"/>
        <v>-0.31011254992304937</v>
      </c>
      <c r="F224" s="190">
        <f t="shared" si="91"/>
        <v>-2.2553218150446348</v>
      </c>
      <c r="G224" s="190">
        <f t="shared" si="91"/>
        <v>-52.887294123676973</v>
      </c>
      <c r="H224" s="190">
        <f t="shared" si="91"/>
        <v>-15.089570833491521</v>
      </c>
      <c r="I224" s="190">
        <f t="shared" si="91"/>
        <v>-17.316046382082916</v>
      </c>
      <c r="J224" s="190">
        <f t="shared" si="91"/>
        <v>-23.858706374139292</v>
      </c>
      <c r="K224" s="190">
        <f t="shared" si="91"/>
        <v>-38.263418187848792</v>
      </c>
    </row>
    <row r="225" spans="1:11" ht="15" hidden="1" customHeight="1" outlineLevel="2">
      <c r="A225">
        <v>9</v>
      </c>
      <c r="B225" s="190">
        <f t="shared" ref="B225:K225" si="92">B$33*(B95)*B$215</f>
        <v>-0.90776350592573052</v>
      </c>
      <c r="C225" s="318">
        <f t="shared" si="92"/>
        <v>-3.1714010415592554E-2</v>
      </c>
      <c r="D225" s="190">
        <f t="shared" si="92"/>
        <v>-0.29770804792612743</v>
      </c>
      <c r="F225" s="190">
        <f t="shared" si="92"/>
        <v>-2.16510894244285</v>
      </c>
      <c r="G225" s="190">
        <f t="shared" si="92"/>
        <v>-50.771802358729893</v>
      </c>
      <c r="H225" s="190">
        <f t="shared" si="92"/>
        <v>-14.485988000151861</v>
      </c>
      <c r="I225" s="190">
        <f t="shared" si="92"/>
        <v>-16.6234045267996</v>
      </c>
      <c r="J225" s="190">
        <f t="shared" si="92"/>
        <v>-22.904358119173722</v>
      </c>
      <c r="K225" s="190">
        <f t="shared" si="92"/>
        <v>-36.732881460334845</v>
      </c>
    </row>
    <row r="226" spans="1:11" ht="15" hidden="1" customHeight="1" outlineLevel="2">
      <c r="A226">
        <v>10</v>
      </c>
      <c r="B226" s="190">
        <f t="shared" ref="B226:K226" si="93">B$33*(B96)*B$215</f>
        <v>-0.8699400265121584</v>
      </c>
      <c r="C226" s="318">
        <f t="shared" si="93"/>
        <v>-3.0392593314942862E-2</v>
      </c>
      <c r="D226" s="190">
        <f t="shared" si="93"/>
        <v>-0.28530354592920543</v>
      </c>
      <c r="F226" s="190">
        <f t="shared" si="93"/>
        <v>-2.0748960698410643</v>
      </c>
      <c r="G226" s="190">
        <f t="shared" si="93"/>
        <v>-48.656310593782813</v>
      </c>
      <c r="H226" s="190">
        <f t="shared" si="93"/>
        <v>-13.882405166812198</v>
      </c>
      <c r="I226" s="190">
        <f t="shared" si="93"/>
        <v>-15.930762671516282</v>
      </c>
      <c r="J226" s="190">
        <f t="shared" si="93"/>
        <v>-21.950009864208148</v>
      </c>
      <c r="K226" s="190">
        <f t="shared" si="93"/>
        <v>-35.20234473282089</v>
      </c>
    </row>
    <row r="227" spans="1:11" ht="15" hidden="1" customHeight="1" outlineLevel="1" collapsed="1">
      <c r="A227" t="s">
        <v>514</v>
      </c>
      <c r="B227" s="190">
        <f>SUM(B217:B226)</f>
        <v>-10.401456838732329</v>
      </c>
      <c r="C227" s="318">
        <f t="shared" ref="C227:K227" si="94">SUM(C217:C226)</f>
        <v>-0.36338970267866472</v>
      </c>
      <c r="D227" s="190">
        <f t="shared" si="94"/>
        <v>-3.4112380491535435</v>
      </c>
      <c r="F227" s="190">
        <f t="shared" si="94"/>
        <v>-24.808539965490986</v>
      </c>
      <c r="G227" s="190">
        <f t="shared" si="94"/>
        <v>-581.76023536044659</v>
      </c>
      <c r="H227" s="190">
        <f t="shared" si="94"/>
        <v>-165.98527916840672</v>
      </c>
      <c r="I227" s="190">
        <f t="shared" si="94"/>
        <v>-190.47651020291207</v>
      </c>
      <c r="J227" s="190">
        <f t="shared" si="94"/>
        <v>-262.44577011553224</v>
      </c>
      <c r="K227" s="190">
        <f t="shared" si="94"/>
        <v>-420.89760006633674</v>
      </c>
    </row>
    <row r="228" spans="1:11" ht="15" hidden="1" customHeight="1" outlineLevel="1">
      <c r="A228" t="s">
        <v>515</v>
      </c>
      <c r="B228" s="190">
        <f>B227*B192</f>
        <v>-1.454482516315716</v>
      </c>
      <c r="C228" s="318">
        <f t="shared" ref="C228:K228" si="95">C227*C192</f>
        <v>-5.081441737921974E-2</v>
      </c>
      <c r="D228" s="190">
        <f t="shared" si="95"/>
        <v>-0.47700876698436118</v>
      </c>
      <c r="F228" s="190">
        <f t="shared" si="95"/>
        <v>-3.4690897818044495</v>
      </c>
      <c r="G228" s="190">
        <f t="shared" si="95"/>
        <v>-81.350151631510371</v>
      </c>
      <c r="H228" s="190">
        <f t="shared" si="95"/>
        <v>-23.210468519874571</v>
      </c>
      <c r="I228" s="190">
        <f t="shared" si="95"/>
        <v>-26.635187565969108</v>
      </c>
      <c r="J228" s="190">
        <f t="shared" si="95"/>
        <v>-36.698973041220391</v>
      </c>
      <c r="K228" s="190">
        <f t="shared" si="95"/>
        <v>-58.856005456476161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-3.8046691516311515E-2</v>
      </c>
      <c r="C231" s="318">
        <f t="shared" si="97"/>
        <v>-3.311539438014522E-2</v>
      </c>
      <c r="D231" s="190">
        <f t="shared" si="97"/>
        <v>-3.4540357848942417E-2</v>
      </c>
      <c r="F231" s="190">
        <f t="shared" si="97"/>
        <v>-4.6138390537365813E-2</v>
      </c>
      <c r="G231" s="190">
        <f t="shared" si="97"/>
        <v>-0.53015315201936219</v>
      </c>
      <c r="H231" s="190">
        <f t="shared" si="97"/>
        <v>-6.7227098871695534E-2</v>
      </c>
      <c r="I231" s="190">
        <f t="shared" si="97"/>
        <v>-4.3394905723986035E-2</v>
      </c>
      <c r="J231" s="190">
        <f t="shared" si="97"/>
        <v>-2.6573844114986703E-2</v>
      </c>
      <c r="K231" s="190">
        <f t="shared" si="97"/>
        <v>-1.5342416053190729E-2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-3.0123206580355056E-4</v>
      </c>
      <c r="C232" s="333">
        <f t="shared" si="98"/>
        <v>-1.2658574658093065E-3</v>
      </c>
      <c r="D232" s="288">
        <f t="shared" si="98"/>
        <v>-4.4010920674226398E-4</v>
      </c>
      <c r="E232" s="288"/>
      <c r="F232" s="288">
        <f t="shared" si="98"/>
        <v>-2.5195285073978954E-4</v>
      </c>
      <c r="G232" s="288">
        <f t="shared" si="98"/>
        <v>-2.0265448685352571E-3</v>
      </c>
      <c r="H232" s="288">
        <f t="shared" si="98"/>
        <v>-1.7131996886309968E-4</v>
      </c>
      <c r="I232" s="288">
        <f t="shared" si="98"/>
        <v>-8.2939923284944795E-5</v>
      </c>
      <c r="J232" s="288">
        <f t="shared" si="98"/>
        <v>-3.3860081892282653E-5</v>
      </c>
      <c r="K232" s="288">
        <f t="shared" si="98"/>
        <v>-1.1729476437175298E-5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0.35391735434012561</v>
      </c>
      <c r="C244" s="318">
        <f t="shared" ref="C244:K244" si="99">(C190*C192)/C230</f>
        <v>0.30804551722785595</v>
      </c>
      <c r="D244" s="190">
        <f t="shared" si="99"/>
        <v>0.32130079070391671</v>
      </c>
      <c r="F244" s="190">
        <f t="shared" si="99"/>
        <v>0.42918783373043845</v>
      </c>
      <c r="G244" s="190">
        <f t="shared" si="99"/>
        <v>4.9315825760389576</v>
      </c>
      <c r="H244" s="190">
        <f t="shared" si="99"/>
        <v>0.62535889519938859</v>
      </c>
      <c r="I244" s="190">
        <f t="shared" si="99"/>
        <v>0.40366743108498365</v>
      </c>
      <c r="J244" s="190">
        <f t="shared" si="99"/>
        <v>0.24719480798457569</v>
      </c>
      <c r="K244" s="190">
        <f t="shared" si="99"/>
        <v>0.14271798893217263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606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9.3223000000000003</v>
      </c>
    </row>
    <row r="261" spans="1:13" ht="15" customHeight="1">
      <c r="A261" t="s">
        <v>352</v>
      </c>
      <c r="B261" s="190">
        <f t="shared" ref="B261" si="101">B260/100</f>
        <v>9.3223E-2</v>
      </c>
    </row>
    <row r="262" spans="1:13" ht="15" customHeight="1">
      <c r="A262" s="307" t="s">
        <v>570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565</v>
      </c>
      <c r="B264" s="190">
        <f>B262/B260</f>
        <v>3.2180899563412462</v>
      </c>
    </row>
    <row r="265" spans="1:13" ht="15" customHeight="1">
      <c r="A265" s="307" t="s">
        <v>566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567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568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569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597</v>
      </c>
      <c r="B273" s="190">
        <f t="shared" ref="B273" si="102">CrossSecAreaRocket</f>
        <v>6.8255245173111968E-3</v>
      </c>
    </row>
    <row r="275" spans="1:2" ht="15" customHeight="1">
      <c r="A275" s="264" t="s">
        <v>371</v>
      </c>
    </row>
    <row r="276" spans="1:2" ht="15" customHeight="1">
      <c r="A276" t="s">
        <v>607</v>
      </c>
      <c r="B276" s="185">
        <f>(B20*B3*B271)/B23</f>
        <v>1643771199.1620688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166.19760893838935</v>
      </c>
    </row>
    <row r="280" spans="1:2" ht="15" customHeight="1">
      <c r="A280" s="271" t="s">
        <v>493</v>
      </c>
      <c r="B280" s="277">
        <f>B292</f>
        <v>3.3786007844278205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328754239.83241379</v>
      </c>
    </row>
    <row r="283" spans="1:2" ht="15" hidden="1" customHeight="1" outlineLevel="1">
      <c r="A283">
        <v>2</v>
      </c>
      <c r="B283" s="185">
        <f>(B$20*B$3*($A283*B$281))/B$23</f>
        <v>657508479.66482759</v>
      </c>
    </row>
    <row r="284" spans="1:2" ht="15" hidden="1" customHeight="1" outlineLevel="1">
      <c r="A284">
        <v>3</v>
      </c>
      <c r="B284" s="185">
        <f>(B$20*B$3*($A284*B$281))/B$23</f>
        <v>986262719.49724126</v>
      </c>
    </row>
    <row r="285" spans="1:2" ht="15" hidden="1" customHeight="1" outlineLevel="1">
      <c r="A285">
        <v>4</v>
      </c>
      <c r="B285" s="185">
        <f>(B$20*B$3*($A285*B$281))/B$23</f>
        <v>1315016959.3296552</v>
      </c>
    </row>
    <row r="286" spans="1:2" ht="15" hidden="1" customHeight="1" outlineLevel="1">
      <c r="A286">
        <v>5</v>
      </c>
      <c r="B286" s="185">
        <f>(B$20*B$3*($A286*B$281))/B$23</f>
        <v>1643771199.1620688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3.9685684825209582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3.7028053233652196</v>
      </c>
    </row>
    <row r="290" spans="1:2" ht="15" hidden="1" customHeight="1" outlineLevel="1">
      <c r="A290">
        <v>3</v>
      </c>
      <c r="B290" s="185">
        <f t="shared" si="103"/>
        <v>3.555672505372069</v>
      </c>
    </row>
    <row r="291" spans="1:2" ht="15" hidden="1" customHeight="1" outlineLevel="1">
      <c r="A291">
        <v>4</v>
      </c>
      <c r="B291" s="185">
        <f t="shared" si="103"/>
        <v>3.4548395279378643</v>
      </c>
    </row>
    <row r="292" spans="1:2" ht="15" hidden="1" customHeight="1" outlineLevel="1">
      <c r="A292">
        <v>5</v>
      </c>
      <c r="B292" s="185">
        <f t="shared" si="103"/>
        <v>3.3786007844278205</v>
      </c>
    </row>
    <row r="293" spans="1:2" ht="15" customHeight="1" collapsed="1">
      <c r="A293" s="271" t="s">
        <v>492</v>
      </c>
      <c r="B293" s="277">
        <f>B299</f>
        <v>3.3403284863135099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3.9236131161603773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3.6608604834041736</v>
      </c>
    </row>
    <row r="297" spans="1:2" ht="15" hidden="1" customHeight="1" outlineLevel="1">
      <c r="A297">
        <v>3</v>
      </c>
      <c r="B297" s="185">
        <f t="shared" si="104"/>
        <v>3.5153943645660655</v>
      </c>
    </row>
    <row r="298" spans="1:2" ht="15" hidden="1" customHeight="1" outlineLevel="1">
      <c r="A298">
        <v>4</v>
      </c>
      <c r="B298" s="185">
        <f t="shared" si="104"/>
        <v>3.4157036084294767</v>
      </c>
    </row>
    <row r="299" spans="1:2" ht="15" hidden="1" customHeight="1" outlineLevel="1">
      <c r="A299">
        <v>5</v>
      </c>
      <c r="B299" s="185">
        <f t="shared" si="104"/>
        <v>3.3403284863135099</v>
      </c>
    </row>
    <row r="300" spans="1:2" ht="15" customHeight="1" collapsed="1"/>
    <row r="301" spans="1:2" ht="15" customHeight="1">
      <c r="A301" s="266" t="s">
        <v>670</v>
      </c>
      <c r="B301" s="190">
        <f>B8*B7*B302</f>
        <v>91.716190071327318</v>
      </c>
    </row>
    <row r="302" spans="1:2" ht="15" customHeight="1">
      <c r="A302" s="307" t="s">
        <v>576</v>
      </c>
      <c r="B302" s="310">
        <f>B304*B303+(4/PI())*(B265/B260)*B306*B310</f>
        <v>0.75890828749251504</v>
      </c>
    </row>
    <row r="303" spans="1:2" ht="15" customHeight="1">
      <c r="A303" t="s">
        <v>584</v>
      </c>
      <c r="B303" s="190">
        <f>SIN(RADIANS(B13))*COS(RADIANS(B13))</f>
        <v>0.24999999999999997</v>
      </c>
    </row>
    <row r="304" spans="1:2" ht="15" customHeight="1">
      <c r="A304" t="s">
        <v>579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575</v>
      </c>
      <c r="B305" s="190">
        <f>0.5 *(4*(B264^2)-1)</f>
        <v>20.212205934208807</v>
      </c>
    </row>
    <row r="306" spans="1:2" ht="15" customHeight="1">
      <c r="A306" t="s">
        <v>577</v>
      </c>
      <c r="B306" s="190">
        <f>IF(B10&lt;0.5,VLOOKUP(B13,$A$433:$B$439,2,TRUE),RADIANS(B13)*VLOOKUP(B10,A441:B453,2,TRUE))</f>
        <v>1.780235837034216E-2</v>
      </c>
    </row>
    <row r="307" spans="1:2" ht="15" customHeight="1">
      <c r="A307" t="s">
        <v>580</v>
      </c>
      <c r="B307" s="190">
        <f>0.5*(B308*B309-B305)</f>
        <v>0.66987436886497953</v>
      </c>
    </row>
    <row r="308" spans="1:2" ht="15" customHeight="1">
      <c r="A308" t="s">
        <v>581</v>
      </c>
      <c r="B308" s="190">
        <f>((B305+1)^2)/(SQRT(2*B305+1))</f>
        <v>69.910674763556827</v>
      </c>
    </row>
    <row r="309" spans="1:2" ht="15" customHeight="1">
      <c r="A309" t="s">
        <v>582</v>
      </c>
      <c r="B309" s="190">
        <f>ASIN((SQRT(2*B305+1))/(B305+1))</f>
        <v>0.30827845310932989</v>
      </c>
    </row>
    <row r="310" spans="1:2" ht="15" customHeight="1">
      <c r="A310" t="s">
        <v>583</v>
      </c>
      <c r="B310" s="190">
        <f>B309*(B262/B271)+(B267+B265)/B271</f>
        <v>0.86165569062186598</v>
      </c>
    </row>
    <row r="312" spans="1:2" ht="15" customHeight="1">
      <c r="A312" s="266" t="s">
        <v>596</v>
      </c>
      <c r="B312" s="190">
        <f>B313-B315</f>
        <v>-72.489777715987557</v>
      </c>
    </row>
    <row r="313" spans="1:2" ht="15" customHeight="1">
      <c r="A313" t="s">
        <v>595</v>
      </c>
      <c r="B313" s="190">
        <f>B314*B262</f>
        <v>13.98</v>
      </c>
    </row>
    <row r="314" spans="1:2" ht="15" customHeight="1">
      <c r="A314" t="s">
        <v>591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587</v>
      </c>
      <c r="B315" s="190">
        <f>(B271/2)*B318</f>
        <v>86.469777715987561</v>
      </c>
    </row>
    <row r="316" spans="1:2" ht="15" customHeight="1">
      <c r="A316" t="s">
        <v>586</v>
      </c>
      <c r="B316" s="190">
        <f>(1/B307)*(B308*B309-B317)</f>
        <v>1.2475851952342416</v>
      </c>
    </row>
    <row r="317" spans="1:2" ht="15" customHeight="1">
      <c r="A317" t="s">
        <v>582</v>
      </c>
      <c r="B317" s="190">
        <f>(2/(2*B305+1))*(B305^2+B305+1/3)</f>
        <v>20.716229326675936</v>
      </c>
    </row>
    <row r="318" spans="1:2" ht="15" customHeight="1">
      <c r="A318" t="s">
        <v>585</v>
      </c>
      <c r="B318" s="190">
        <f>(1/B310)*(B319+B320+B321+B322-B323)</f>
        <v>1.1529303695465007</v>
      </c>
    </row>
    <row r="319" spans="1:2" ht="15" customHeight="1">
      <c r="A319" t="s">
        <v>581</v>
      </c>
      <c r="B319" s="190">
        <f>B307*B316*((B262/B271)^2)</f>
        <v>3.3429013810513199E-2</v>
      </c>
    </row>
    <row r="320" spans="1:2" ht="15" customHeight="1">
      <c r="A320" t="s">
        <v>582</v>
      </c>
      <c r="B320" s="190">
        <f>(B265/B271)^2</f>
        <v>0.64000000000000012</v>
      </c>
    </row>
    <row r="321" spans="1:2" ht="15" customHeight="1">
      <c r="A321" t="s">
        <v>588</v>
      </c>
      <c r="B321" s="190">
        <f>2*(B265*B262)/B271^2</f>
        <v>0.32</v>
      </c>
    </row>
    <row r="322" spans="1:2" ht="15" customHeight="1">
      <c r="A322" t="s">
        <v>589</v>
      </c>
      <c r="B322" s="190">
        <f>2*(B267/B271)</f>
        <v>0</v>
      </c>
    </row>
    <row r="323" spans="1:2" ht="15" customHeight="1">
      <c r="A323" t="s">
        <v>590</v>
      </c>
      <c r="B323" s="190">
        <f>(B267/B271)^2</f>
        <v>0</v>
      </c>
    </row>
    <row r="325" spans="1:2" ht="15" customHeight="1">
      <c r="A325" s="308" t="s">
        <v>572</v>
      </c>
    </row>
    <row r="326" spans="1:2" ht="15" customHeight="1">
      <c r="A326" s="265" t="s">
        <v>578</v>
      </c>
    </row>
    <row r="327" spans="1:2" ht="15" hidden="1" customHeight="1" outlineLevel="1">
      <c r="A327" t="s">
        <v>574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573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573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573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592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593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594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598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599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601</v>
      </c>
      <c r="B508" s="315">
        <f>(B496-B493)/(RADIANS(A496-A493))</f>
        <v>2.9120776693435939</v>
      </c>
    </row>
    <row r="509" spans="1:2" ht="15" hidden="1" customHeight="1" outlineLevel="1">
      <c r="A509" s="311" t="s">
        <v>604</v>
      </c>
      <c r="B509" s="310">
        <f>(B499-B496)/(RADIANS(A499-A496))</f>
        <v>2.3210118921092744</v>
      </c>
    </row>
    <row r="510" spans="1:2" ht="15" hidden="1" customHeight="1" outlineLevel="1">
      <c r="A510" t="s">
        <v>600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0.32313072226548201</v>
      </c>
    </row>
    <row r="513" spans="1:2" ht="15" hidden="1" customHeight="1" outlineLevel="1">
      <c r="A513">
        <v>10</v>
      </c>
      <c r="B513" s="190">
        <f t="shared" ref="B513:B517" si="106">B$289*RADIANS(A513)</f>
        <v>0.64626144453096401</v>
      </c>
    </row>
    <row r="514" spans="1:2" ht="15" hidden="1" customHeight="1" outlineLevel="1">
      <c r="A514">
        <v>15</v>
      </c>
      <c r="B514" s="190">
        <f t="shared" si="106"/>
        <v>0.96939216679644591</v>
      </c>
    </row>
    <row r="515" spans="1:2" ht="15" hidden="1" customHeight="1" outlineLevel="1">
      <c r="A515">
        <v>20</v>
      </c>
      <c r="B515" s="190">
        <f t="shared" si="106"/>
        <v>1.292522889061928</v>
      </c>
    </row>
    <row r="516" spans="1:2" ht="15" hidden="1" customHeight="1" outlineLevel="1">
      <c r="A516">
        <v>25</v>
      </c>
      <c r="B516" s="190">
        <f t="shared" si="106"/>
        <v>1.61565361132741</v>
      </c>
    </row>
    <row r="517" spans="1:2" ht="15" hidden="1" customHeight="1" outlineLevel="1">
      <c r="A517">
        <v>30</v>
      </c>
      <c r="B517" s="190">
        <f t="shared" si="106"/>
        <v>1.9387843335928918</v>
      </c>
    </row>
    <row r="518" spans="1:2" ht="15" hidden="1" customHeight="1" outlineLevel="1">
      <c r="A518" t="s">
        <v>602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0.31029096170689185</v>
      </c>
    </row>
    <row r="521" spans="1:2" ht="15" hidden="1" customHeight="1" outlineLevel="1">
      <c r="A521">
        <v>10</v>
      </c>
      <c r="B521" s="190">
        <f t="shared" si="107"/>
        <v>0.62058192341378371</v>
      </c>
    </row>
    <row r="522" spans="1:2" ht="15" hidden="1" customHeight="1" outlineLevel="1">
      <c r="A522">
        <v>15</v>
      </c>
      <c r="B522" s="190">
        <f t="shared" si="107"/>
        <v>0.93087288512067545</v>
      </c>
    </row>
    <row r="523" spans="1:2" ht="15" hidden="1" customHeight="1" outlineLevel="1">
      <c r="A523" s="312" t="s">
        <v>603</v>
      </c>
      <c r="B523" s="313"/>
    </row>
    <row r="524" spans="1:2" ht="15" hidden="1" customHeight="1" outlineLevel="1">
      <c r="A524" s="312">
        <v>15</v>
      </c>
      <c r="B524" s="313">
        <f>B$291*RADIANS(A524)</f>
        <v>0.90447487335843524</v>
      </c>
    </row>
    <row r="525" spans="1:2" ht="15" hidden="1" customHeight="1" outlineLevel="1">
      <c r="A525" s="312">
        <v>20</v>
      </c>
      <c r="B525" s="313">
        <f t="shared" ref="B525:B527" si="108">B$291*RADIANS(A525)</f>
        <v>1.205966497811247</v>
      </c>
    </row>
    <row r="526" spans="1:2" ht="15" hidden="1" customHeight="1" outlineLevel="1">
      <c r="A526" s="312">
        <v>25</v>
      </c>
      <c r="B526" s="313">
        <f t="shared" si="108"/>
        <v>1.5074581222640588</v>
      </c>
    </row>
    <row r="527" spans="1:2" ht="15" hidden="1" customHeight="1" outlineLevel="1">
      <c r="A527" s="312">
        <v>30</v>
      </c>
      <c r="B527" s="313">
        <f t="shared" si="108"/>
        <v>1.8089497467168705</v>
      </c>
    </row>
    <row r="528" spans="1:2" ht="15" customHeight="1" collapsed="1"/>
    <row r="529" spans="1:26" ht="15" customHeight="1">
      <c r="A529" t="s">
        <v>605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616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613</v>
      </c>
      <c r="B542" s="190">
        <v>15</v>
      </c>
      <c r="N542" t="s">
        <v>252</v>
      </c>
      <c r="R542" t="s">
        <v>623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622</v>
      </c>
      <c r="S543" s="344" t="s">
        <v>624</v>
      </c>
      <c r="T543" s="344" t="s">
        <v>625</v>
      </c>
      <c r="U543" s="344" t="s">
        <v>626</v>
      </c>
      <c r="W543" s="30" t="s">
        <v>630</v>
      </c>
      <c r="X543" s="344" t="s">
        <v>667</v>
      </c>
      <c r="Z543" t="s">
        <v>628</v>
      </c>
    </row>
    <row r="544" spans="1:26" ht="15" customHeight="1">
      <c r="A544" s="265" t="s">
        <v>612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631</v>
      </c>
      <c r="S544" s="344" t="s">
        <v>632</v>
      </c>
      <c r="T544" s="344" t="s">
        <v>633</v>
      </c>
      <c r="U544" s="344" t="s">
        <v>634</v>
      </c>
      <c r="W544" s="30" t="s">
        <v>640</v>
      </c>
      <c r="X544" s="344" t="s">
        <v>668</v>
      </c>
      <c r="Z544" t="s">
        <v>627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635</v>
      </c>
      <c r="S545" s="344" t="s">
        <v>636</v>
      </c>
      <c r="T545" s="344" t="s">
        <v>637</v>
      </c>
      <c r="U545" s="344" t="s">
        <v>638</v>
      </c>
      <c r="W545" s="30" t="s">
        <v>641</v>
      </c>
      <c r="X545" s="344" t="s">
        <v>669</v>
      </c>
      <c r="Z545" s="342" t="s">
        <v>629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639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614</v>
      </c>
      <c r="N547" s="340"/>
      <c r="O547" s="340"/>
      <c r="P547" s="340"/>
    </row>
    <row r="548" spans="1:26" ht="15" customHeight="1">
      <c r="A548" t="s">
        <v>618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617</v>
      </c>
      <c r="R549" s="340"/>
      <c r="S549" s="340"/>
      <c r="T549" s="340"/>
      <c r="U549" s="340"/>
      <c r="W549" s="340"/>
    </row>
    <row r="550" spans="1:26" ht="15" customHeight="1">
      <c r="A550" t="s">
        <v>615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620</v>
      </c>
    </row>
    <row r="553" spans="1:26" ht="15" customHeight="1">
      <c r="A553" t="s">
        <v>354</v>
      </c>
    </row>
    <row r="574" spans="28:28" ht="15" customHeight="1">
      <c r="AB574" t="s">
        <v>628</v>
      </c>
    </row>
    <row r="575" spans="28:28" ht="15" customHeight="1">
      <c r="AB575" s="343" t="s">
        <v>654</v>
      </c>
    </row>
    <row r="576" spans="28:28" ht="15" customHeight="1">
      <c r="AB576" t="s">
        <v>655</v>
      </c>
    </row>
    <row r="577" spans="14:28" ht="15" customHeight="1">
      <c r="AB577" t="s">
        <v>627</v>
      </c>
    </row>
    <row r="578" spans="14:28" ht="15" customHeight="1">
      <c r="AB578" s="342" t="s">
        <v>629</v>
      </c>
    </row>
    <row r="579" spans="14:28" ht="15" customHeight="1">
      <c r="N579" t="s">
        <v>642</v>
      </c>
    </row>
    <row r="581" spans="14:28" ht="15" customHeight="1">
      <c r="N581" s="340" t="s">
        <v>643</v>
      </c>
      <c r="O581" s="340" t="s">
        <v>646</v>
      </c>
      <c r="P581" s="340" t="s">
        <v>649</v>
      </c>
      <c r="Q581" s="340" t="s">
        <v>656</v>
      </c>
      <c r="R581" s="340" t="s">
        <v>657</v>
      </c>
      <c r="T581" s="340" t="s">
        <v>662</v>
      </c>
      <c r="U581" s="340">
        <v>0</v>
      </c>
    </row>
    <row r="582" spans="14:28" ht="15" customHeight="1">
      <c r="N582" s="340" t="s">
        <v>644</v>
      </c>
      <c r="O582" s="340" t="s">
        <v>647</v>
      </c>
      <c r="P582" s="340" t="s">
        <v>650</v>
      </c>
      <c r="Q582" s="340" t="s">
        <v>658</v>
      </c>
      <c r="R582" s="340" t="s">
        <v>660</v>
      </c>
      <c r="T582" s="340" t="s">
        <v>663</v>
      </c>
      <c r="U582" s="340" t="s">
        <v>665</v>
      </c>
    </row>
    <row r="583" spans="14:28" ht="15" customHeight="1">
      <c r="N583" s="340" t="s">
        <v>645</v>
      </c>
      <c r="O583" s="340" t="s">
        <v>648</v>
      </c>
      <c r="P583" s="340" t="s">
        <v>651</v>
      </c>
      <c r="Q583" s="340" t="s">
        <v>659</v>
      </c>
      <c r="R583" s="340" t="s">
        <v>661</v>
      </c>
      <c r="T583" s="340" t="s">
        <v>664</v>
      </c>
      <c r="U583" s="340" t="s">
        <v>666</v>
      </c>
    </row>
    <row r="584" spans="14:28" ht="15" customHeight="1">
      <c r="N584" s="340">
        <v>0</v>
      </c>
      <c r="O584" s="340">
        <v>1</v>
      </c>
      <c r="P584" s="340" t="s">
        <v>652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653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K249"/>
  <sheetViews>
    <sheetView zoomScale="85" zoomScaleNormal="85" workbookViewId="0">
      <pane ySplit="10" topLeftCell="A42" activePane="bottomLeft" state="frozen"/>
      <selection pane="bottomLeft" activeCell="C2" sqref="C2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170.13132427627781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164.33423997921707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44.033226891213531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0.5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0.5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340.26264855255562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15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101454.47367228723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1.2267912832407053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>(15-0.0065*C13)+273.15</f>
        <v>288.14999999999998</v>
      </c>
      <c r="D17" s="190">
        <f t="shared" ref="D17:I17" si="23">(15.04-0.0065*D13)+273.15</f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15.149999999999977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1.8358985846865154E-5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1.4965044256238809E-5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17.885701157950635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3.134753835415697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0.31216437423400095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5.4711775667524339E-2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17754.532892650266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6.8255245173111968E-3</v>
      </c>
      <c r="C30" s="190">
        <f t="shared" si="48"/>
        <v>6.8255245173111968E-3</v>
      </c>
      <c r="D30" s="190">
        <f t="shared" si="48"/>
        <v>6.8255245173111968E-3</v>
      </c>
      <c r="E30" s="190">
        <f t="shared" si="48"/>
        <v>6.8255245173111968E-3</v>
      </c>
      <c r="F30" s="190">
        <f t="shared" si="48"/>
        <v>6.8255245173111968E-3</v>
      </c>
      <c r="G30" s="190">
        <f t="shared" si="48"/>
        <v>6.8255245173111968E-3</v>
      </c>
      <c r="H30" s="190">
        <f t="shared" si="48"/>
        <v>6.8255245173111968E-3</v>
      </c>
      <c r="I30" s="190">
        <f t="shared" si="48"/>
        <v>6.8255245173111968E-3</v>
      </c>
      <c r="J30" s="190">
        <f t="shared" si="48"/>
        <v>6.8255245173111968E-3</v>
      </c>
      <c r="K30" s="190">
        <f t="shared" si="48"/>
        <v>6.8255245173111968E-3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9.3223000000000003</v>
      </c>
      <c r="C33" s="190">
        <f t="shared" si="49"/>
        <v>9.3223000000000003</v>
      </c>
      <c r="D33" s="190">
        <f t="shared" si="49"/>
        <v>9.3223000000000003</v>
      </c>
      <c r="E33" s="190">
        <f t="shared" si="49"/>
        <v>9.3223000000000003</v>
      </c>
      <c r="F33" s="190">
        <f t="shared" si="49"/>
        <v>9.3223000000000003</v>
      </c>
      <c r="G33" s="190">
        <f t="shared" si="49"/>
        <v>9.3223000000000003</v>
      </c>
      <c r="H33" s="190">
        <f t="shared" si="49"/>
        <v>9.3223000000000003</v>
      </c>
      <c r="I33" s="190">
        <f t="shared" si="49"/>
        <v>9.3223000000000003</v>
      </c>
      <c r="J33" s="190">
        <f t="shared" si="49"/>
        <v>9.3223000000000003</v>
      </c>
      <c r="K33" s="190">
        <f t="shared" si="49"/>
        <v>9.3223000000000003</v>
      </c>
    </row>
    <row r="34" spans="1:11" ht="14.5" outlineLevel="1">
      <c r="A34" t="s">
        <v>352</v>
      </c>
      <c r="B34" s="190">
        <f t="shared" ref="B34" si="50">B33/100</f>
        <v>9.3223E-2</v>
      </c>
      <c r="C34" s="190">
        <f t="shared" ref="C34:I34" si="51">C33/100</f>
        <v>9.3223E-2</v>
      </c>
      <c r="D34" s="190">
        <f t="shared" si="51"/>
        <v>9.3223E-2</v>
      </c>
      <c r="E34" s="190">
        <f t="shared" si="51"/>
        <v>9.3223E-2</v>
      </c>
      <c r="F34" s="190">
        <f t="shared" si="51"/>
        <v>9.3223E-2</v>
      </c>
      <c r="G34" s="190">
        <f t="shared" si="51"/>
        <v>9.3223E-2</v>
      </c>
      <c r="H34" s="190">
        <f t="shared" si="51"/>
        <v>9.3223E-2</v>
      </c>
      <c r="I34" s="190">
        <f t="shared" si="51"/>
        <v>9.3223E-2</v>
      </c>
      <c r="J34" s="190">
        <f t="shared" ref="J34:K34" si="52">J33/100</f>
        <v>9.3223E-2</v>
      </c>
      <c r="K34" s="190">
        <f t="shared" si="52"/>
        <v>9.3223E-2</v>
      </c>
    </row>
    <row r="35" spans="1:11" ht="14.5" outlineLevel="1">
      <c r="A35" t="s">
        <v>353</v>
      </c>
      <c r="B35" s="260">
        <f t="shared" ref="B35" si="53">((B39-B37)/(-B47))*(B47+B33/2)+B39</f>
        <v>16.553716666666666</v>
      </c>
      <c r="C35" s="260">
        <f t="shared" ref="C35:I35" si="54">((C39-C37)/(-C47))*(C47+C33/2)+C39</f>
        <v>16.553716666666666</v>
      </c>
      <c r="D35" s="260">
        <f t="shared" si="54"/>
        <v>16.553716666666666</v>
      </c>
      <c r="E35" s="260">
        <f t="shared" si="54"/>
        <v>16.553716666666666</v>
      </c>
      <c r="F35" s="260">
        <f t="shared" si="54"/>
        <v>16.553716666666666</v>
      </c>
      <c r="G35" s="260">
        <f t="shared" si="54"/>
        <v>16.553716666666666</v>
      </c>
      <c r="H35" s="260">
        <f t="shared" si="54"/>
        <v>16.553716666666666</v>
      </c>
      <c r="I35" s="260">
        <f t="shared" si="54"/>
        <v>16.553716666666666</v>
      </c>
      <c r="J35" s="260">
        <f t="shared" ref="J35:K35" si="55">((J39-J37)/(-J47))*(J47+J33/2)+J39</f>
        <v>16.553716666666666</v>
      </c>
      <c r="K35" s="260">
        <f t="shared" si="55"/>
        <v>16.553716666666666</v>
      </c>
    </row>
    <row r="36" spans="1:11" ht="14.5" outlineLevel="1">
      <c r="A36" t="s">
        <v>354</v>
      </c>
      <c r="B36" s="190">
        <f t="shared" ref="B36" si="56">B35/100</f>
        <v>0.16553716666666665</v>
      </c>
      <c r="C36" s="190">
        <f t="shared" ref="C36:I36" si="57">C35/100</f>
        <v>0.16553716666666665</v>
      </c>
      <c r="D36" s="190">
        <f t="shared" si="57"/>
        <v>0.16553716666666665</v>
      </c>
      <c r="E36" s="190">
        <f t="shared" si="57"/>
        <v>0.16553716666666665</v>
      </c>
      <c r="F36" s="190">
        <f t="shared" si="57"/>
        <v>0.16553716666666665</v>
      </c>
      <c r="G36" s="190">
        <f t="shared" si="57"/>
        <v>0.16553716666666665</v>
      </c>
      <c r="H36" s="190">
        <f t="shared" si="57"/>
        <v>0.16553716666666665</v>
      </c>
      <c r="I36" s="190">
        <f t="shared" si="57"/>
        <v>0.16553716666666665</v>
      </c>
      <c r="J36" s="190">
        <f t="shared" ref="J36:K36" si="58">J35/100</f>
        <v>0.16553716666666665</v>
      </c>
      <c r="K36" s="190">
        <f t="shared" si="58"/>
        <v>0.16553716666666665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19.661149999999999</v>
      </c>
      <c r="C45" s="190">
        <f t="shared" ref="C45:I45" si="72">C47+C33/2</f>
        <v>19.661149999999999</v>
      </c>
      <c r="D45" s="190">
        <f t="shared" si="72"/>
        <v>19.661149999999999</v>
      </c>
      <c r="E45" s="190">
        <f t="shared" si="72"/>
        <v>19.661149999999999</v>
      </c>
      <c r="F45" s="190">
        <f t="shared" si="72"/>
        <v>19.661149999999999</v>
      </c>
      <c r="G45" s="190">
        <f t="shared" si="72"/>
        <v>19.661149999999999</v>
      </c>
      <c r="H45" s="190">
        <f t="shared" si="72"/>
        <v>19.661149999999999</v>
      </c>
      <c r="I45" s="190">
        <f t="shared" si="72"/>
        <v>19.661149999999999</v>
      </c>
      <c r="J45" s="190">
        <f t="shared" ref="J45:K45" si="73">J47+J33/2</f>
        <v>19.661149999999999</v>
      </c>
      <c r="K45" s="190">
        <f t="shared" si="73"/>
        <v>19.661149999999999</v>
      </c>
    </row>
    <row r="46" spans="1:11" ht="14.5" outlineLevel="1">
      <c r="A46" t="s">
        <v>352</v>
      </c>
      <c r="B46" s="190">
        <f t="shared" ref="B46" si="74">B45/100</f>
        <v>0.19661149999999999</v>
      </c>
      <c r="C46" s="190">
        <f t="shared" ref="C46:I46" si="75">C45/100</f>
        <v>0.19661149999999999</v>
      </c>
      <c r="D46" s="190">
        <f t="shared" si="75"/>
        <v>0.19661149999999999</v>
      </c>
      <c r="E46" s="190">
        <f t="shared" si="75"/>
        <v>0.19661149999999999</v>
      </c>
      <c r="F46" s="190">
        <f t="shared" si="75"/>
        <v>0.19661149999999999</v>
      </c>
      <c r="G46" s="190">
        <f t="shared" si="75"/>
        <v>0.19661149999999999</v>
      </c>
      <c r="H46" s="190">
        <f t="shared" si="75"/>
        <v>0.19661149999999999</v>
      </c>
      <c r="I46" s="190">
        <f t="shared" si="75"/>
        <v>0.19661149999999999</v>
      </c>
      <c r="J46" s="190">
        <f t="shared" ref="J46:K46" si="76">J45/100</f>
        <v>0.19661149999999999</v>
      </c>
      <c r="K46" s="190">
        <f t="shared" si="76"/>
        <v>0.19661149999999999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2.6103830322041666E-2</v>
      </c>
      <c r="C49" s="190">
        <f t="shared" ref="C49:I49" si="80">(C40+C36)*C46/2</f>
        <v>2.6103830322041666E-2</v>
      </c>
      <c r="D49" s="190">
        <f t="shared" si="80"/>
        <v>2.6103830322041666E-2</v>
      </c>
      <c r="E49" s="190">
        <f t="shared" si="80"/>
        <v>2.6103830322041666E-2</v>
      </c>
      <c r="F49" s="190">
        <f t="shared" si="80"/>
        <v>2.6103830322041666E-2</v>
      </c>
      <c r="G49" s="190">
        <f t="shared" si="80"/>
        <v>2.6103830322041666E-2</v>
      </c>
      <c r="H49" s="190">
        <f t="shared" si="80"/>
        <v>2.6103830322041666E-2</v>
      </c>
      <c r="I49" s="190">
        <f t="shared" si="80"/>
        <v>2.6103830322041666E-2</v>
      </c>
      <c r="J49" s="190">
        <f t="shared" ref="J49:K49" si="81">(J40+J36)*J46/2</f>
        <v>2.6103830322041666E-2</v>
      </c>
      <c r="K49" s="190">
        <f t="shared" si="81"/>
        <v>2.6103830322041666E-2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2.9617172235148503</v>
      </c>
      <c r="C51" s="260">
        <f t="shared" ref="C51:I51" si="85">((C46+C46)^2)/(C49+C49)</f>
        <v>2.9617172235148503</v>
      </c>
      <c r="D51" s="260">
        <f t="shared" si="85"/>
        <v>2.9617172235148503</v>
      </c>
      <c r="E51" s="260">
        <f t="shared" si="85"/>
        <v>2.9617172235148503</v>
      </c>
      <c r="F51" s="260">
        <f t="shared" si="85"/>
        <v>2.9617172235148503</v>
      </c>
      <c r="G51" s="260">
        <f t="shared" si="85"/>
        <v>2.9617172235148503</v>
      </c>
      <c r="H51" s="260">
        <f t="shared" si="85"/>
        <v>2.9617172235148503</v>
      </c>
      <c r="I51" s="260">
        <f t="shared" si="85"/>
        <v>2.9617172235148503</v>
      </c>
      <c r="J51" s="260">
        <f t="shared" ref="J51:K51" si="86">((J46+J46)^2)/(J49+J49)</f>
        <v>2.9617172235148503</v>
      </c>
      <c r="K51" s="260">
        <f t="shared" si="86"/>
        <v>2.9617172235148503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1.7566744477736074</v>
      </c>
      <c r="C93" s="287">
        <f t="shared" ref="C93:I93" si="176">IF(C7&lt;1,(C95/(C96+C97))/SQRT(1-C7^2),(C95/(C96+C97))/SQRT(1-0.99^2))</f>
        <v>2.0247784593365763</v>
      </c>
      <c r="D93" s="287">
        <f t="shared" si="176"/>
        <v>1.8381775067178228</v>
      </c>
      <c r="E93" s="287">
        <f t="shared" si="176"/>
        <v>2.0247784593365763</v>
      </c>
      <c r="F93" s="287">
        <f t="shared" si="176"/>
        <v>2.4554045459764993</v>
      </c>
      <c r="G93" s="287">
        <f t="shared" si="176"/>
        <v>12.430299860638085</v>
      </c>
      <c r="H93" s="287">
        <f t="shared" si="176"/>
        <v>12.430299860638085</v>
      </c>
      <c r="I93" s="287">
        <f t="shared" si="176"/>
        <v>12.430299860638085</v>
      </c>
      <c r="J93" s="287">
        <f t="shared" ref="J93:K93" si="177">IF(J7&lt;1,(J95/(J96+J97))/SQRT(1-J7^2),(J95/(J96+J97))/SQRT(1-0.99^2))</f>
        <v>12.430299860638085</v>
      </c>
      <c r="K93" s="287">
        <f t="shared" si="177"/>
        <v>12.430299860638085</v>
      </c>
    </row>
    <row r="94" spans="1:11" s="166" customFormat="1" ht="14.5">
      <c r="A94" s="166" t="s">
        <v>509</v>
      </c>
      <c r="B94" s="287">
        <f>IF(B6&lt;1,B93,IF(B6&gt;1,(4)/SQRT(B6^2-1),(4)/SQRT((1.01)^2-1)))</f>
        <v>1.7566744477736074</v>
      </c>
      <c r="C94" s="287">
        <f t="shared" ref="C94:I94" si="178">IF(C6&lt;1,C93,IF(C6&gt;1,(4)/SQRT(C6^2-1),(4)/SQRT((1.01)^2-1)))</f>
        <v>2.0247784593365763</v>
      </c>
      <c r="D94" s="287">
        <f t="shared" si="178"/>
        <v>1.8381775067178228</v>
      </c>
      <c r="E94" s="287">
        <f t="shared" si="178"/>
        <v>2.0247784593365763</v>
      </c>
      <c r="F94" s="287">
        <f t="shared" si="178"/>
        <v>2.4554045459764993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1.0281055615201125</v>
      </c>
      <c r="C96" s="190">
        <f t="shared" ref="C96:I96" si="183">SQRT(1+((C95/(PI()*C51))^2))</f>
        <v>1.0281055615201125</v>
      </c>
      <c r="D96" s="190">
        <f t="shared" si="183"/>
        <v>1.0281055615201125</v>
      </c>
      <c r="E96" s="190">
        <f t="shared" si="183"/>
        <v>1.0281055615201125</v>
      </c>
      <c r="F96" s="190">
        <f t="shared" si="183"/>
        <v>1.0281055615201125</v>
      </c>
      <c r="G96" s="190">
        <f t="shared" si="183"/>
        <v>1.0281055615201125</v>
      </c>
      <c r="H96" s="190">
        <f t="shared" si="183"/>
        <v>1.0281055615201125</v>
      </c>
      <c r="I96" s="190">
        <f t="shared" si="183"/>
        <v>1.0281055615201125</v>
      </c>
      <c r="J96" s="190">
        <f t="shared" ref="J96" si="184">SQRT(1+((J95/(PI()*J51))^2))</f>
        <v>1.0281055615201125</v>
      </c>
      <c r="K96" s="190">
        <f t="shared" ref="K96" si="185">SQRT(1+((K95/(PI()*K51))^2))</f>
        <v>1.0281055615201125</v>
      </c>
    </row>
    <row r="97" spans="1:11" ht="14.5" hidden="1" outlineLevel="1">
      <c r="A97" t="s">
        <v>375</v>
      </c>
      <c r="B97" s="190">
        <f>B95/(PI()*B51)</f>
        <v>0.23874891754432276</v>
      </c>
      <c r="C97" s="190">
        <f t="shared" ref="C97:I97" si="186">C95/(PI()*C51)</f>
        <v>0.23874891754432276</v>
      </c>
      <c r="D97" s="190">
        <f t="shared" si="186"/>
        <v>0.23874891754432276</v>
      </c>
      <c r="E97" s="190">
        <f t="shared" si="186"/>
        <v>0.23874891754432276</v>
      </c>
      <c r="F97" s="190">
        <f t="shared" si="186"/>
        <v>0.23874891754432276</v>
      </c>
      <c r="G97" s="190">
        <f t="shared" si="186"/>
        <v>0.23874891754432276</v>
      </c>
      <c r="H97" s="190">
        <f t="shared" si="186"/>
        <v>0.23874891754432276</v>
      </c>
      <c r="I97" s="190">
        <f t="shared" si="186"/>
        <v>0.23874891754432276</v>
      </c>
      <c r="J97" s="190">
        <f t="shared" ref="J97:K97" si="187">J95/(PI()*J51)</f>
        <v>0.23874891754432276</v>
      </c>
      <c r="K97" s="190">
        <f t="shared" si="187"/>
        <v>0.23874891754432276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1647180.9621682952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109812064.14455302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9.699251758237148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0.4863312926196956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329436.19243365899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658872.38486731797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988308.57730097708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1317744.7697346359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1647180.9621682952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0.57125394892757686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0.53299878089511166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0.51181980825910522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0.49730544702403739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0.4863312926196956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0.48082220249598301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0.56478286730908489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0.52696104825413126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0.50602198793869735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0.49167204327592406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0.48082220249598301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0.45989629498953927</v>
      </c>
      <c r="C128" s="275">
        <f t="shared" ref="C128:I128" si="227">IF(C6&lt;1,C93*RADIANS(C9),C94*RADIANS(C9))</f>
        <v>0.53008576108322059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0.23257817240928244</v>
      </c>
      <c r="C130" s="190">
        <f t="shared" ref="C130:I130" si="229">C$29*(C81)*C$128</f>
        <v>18.667289417013397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0.22531010452149242</v>
      </c>
      <c r="C131" s="190">
        <f t="shared" ref="C131:I131" si="232">C$29*(C82)*C$128</f>
        <v>18.083936622731734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0.21804203663370231</v>
      </c>
      <c r="C132" s="190">
        <f t="shared" ref="C132:I132" si="235">C$29*(C83)*C$128</f>
        <v>17.500583828450061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0.21077396874591228</v>
      </c>
      <c r="C133" s="190">
        <f t="shared" ref="C133:I133" si="238">C$29*(C84)*C$128</f>
        <v>16.917231034168399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0.20350590085812215</v>
      </c>
      <c r="C134" s="190">
        <f t="shared" ref="C134:I134" si="241">C$29*(C85)*C$128</f>
        <v>16.333878239886726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0.19623783297033209</v>
      </c>
      <c r="C135" s="190">
        <f t="shared" ref="C135:I135" si="244">C$29*(C86)*C$128</f>
        <v>15.750525445605058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0.18896976508254204</v>
      </c>
      <c r="C136" s="190">
        <f t="shared" ref="C136:I136" si="247">C$29*(C87)*C$128</f>
        <v>15.167172651323389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0.1817016971947519</v>
      </c>
      <c r="C137" s="190">
        <f t="shared" ref="C137:I137" si="250">C$29*(C88)*C$128</f>
        <v>14.583819857041719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0.17443362930696185</v>
      </c>
      <c r="C138" s="190">
        <f t="shared" ref="C138:I138" si="253">C$29*(C89)*C$128</f>
        <v>14.00046706276005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0.16716556141917177</v>
      </c>
      <c r="C139" s="190">
        <f t="shared" ref="C139:I139" si="256">C$29*(C90)*C$128</f>
        <v>13.417114268478382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3.1715205328538515E-3</v>
      </c>
      <c r="C141" s="190">
        <f t="shared" ref="C141:I141" si="258">C130*$A141*(C$48/11)</f>
        <v>0.25455394659563724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6.1448210324043387E-3</v>
      </c>
      <c r="C142" s="190">
        <f t="shared" ref="C142:I142" si="261">C131*$A142*(C$48/11)</f>
        <v>0.49319827152904727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8.9199014986514561E-3</v>
      </c>
      <c r="C143" s="190">
        <f t="shared" ref="C143:I143" si="263">C132*$A143*(C$48/11)</f>
        <v>0.71593297480022977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1.1496761931595215E-2</v>
      </c>
      <c r="C144" s="190">
        <f t="shared" ref="C144:I144" si="265">C133*$A144*(C$48/11)</f>
        <v>0.9227580564091854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1.38754023312356E-2</v>
      </c>
      <c r="C145" s="190">
        <f t="shared" ref="C145:I145" si="267">C134*$A145*(C$48/11)</f>
        <v>1.1136735163559131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1.6055822697572626E-2</v>
      </c>
      <c r="C146" s="190">
        <f t="shared" ref="C146:I146" si="269">C135*$A146*(C$48/11)</f>
        <v>1.2886793546404138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1.8038023030606285E-2</v>
      </c>
      <c r="C147" s="190">
        <f t="shared" ref="C147:I147" si="271">C136*$A147*(C$48/11)</f>
        <v>1.4477755712626872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1.9822003330336572E-2</v>
      </c>
      <c r="C148" s="190">
        <f t="shared" ref="C148:I148" si="273">C137*$A148*(C$48/11)</f>
        <v>1.5909621662227329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2.14077635967635E-2</v>
      </c>
      <c r="C149" s="190">
        <f t="shared" ref="C149:I149" si="275">C138*$A149*(C$48/11)</f>
        <v>1.7182391395205516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2.2795303829887061E-2</v>
      </c>
      <c r="C150" s="190">
        <f t="shared" ref="C150:I150" si="277">C139*$A150*(C$48/11)</f>
        <v>1.8296064911561432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1.9987186691422711</v>
      </c>
      <c r="C151" s="190">
        <f t="shared" ref="C151:I151" si="279">SUM(C130:C139)</f>
        <v>160.42201842745891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0.1417273238119065</v>
      </c>
      <c r="C152" s="190">
        <f t="shared" ref="C152:I152" si="281">SUM(C141:C150)</f>
        <v>11.375379488492541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0.91979258997907853</v>
      </c>
      <c r="C153" s="190">
        <f t="shared" ref="C153:I153" si="284">(2*C151)/(C29*C91)</f>
        <v>1.0601715221664412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>
        <f t="shared" ref="C154:I154" si="286">(C152/C151)*100</f>
        <v>7.0909090909090908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1.7566744477736074</v>
      </c>
      <c r="C185" s="190">
        <f t="shared" ref="C185:I185" si="302">IF(C6&lt;1,C93,C94)</f>
        <v>2.0247784593365763</v>
      </c>
      <c r="D185" s="190">
        <f t="shared" si="302"/>
        <v>1.8381775067178228</v>
      </c>
      <c r="E185" s="190">
        <f t="shared" si="302"/>
        <v>2.0247784593365763</v>
      </c>
      <c r="F185" s="190">
        <f t="shared" si="302"/>
        <v>2.4554045459764993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0.1398345</v>
      </c>
      <c r="C187" s="190">
        <f t="shared" ref="C187:I187" si="304">C34*C186</f>
        <v>0.1398345</v>
      </c>
      <c r="D187" s="190">
        <f t="shared" si="304"/>
        <v>0.1398345</v>
      </c>
      <c r="E187" s="190">
        <f t="shared" si="304"/>
        <v>0.1398345</v>
      </c>
      <c r="F187" s="190">
        <f t="shared" si="304"/>
        <v>0.1398345</v>
      </c>
      <c r="G187" s="190">
        <f t="shared" si="304"/>
        <v>0.1398345</v>
      </c>
      <c r="H187" s="190">
        <f t="shared" si="304"/>
        <v>0.1398345</v>
      </c>
      <c r="I187" s="190">
        <f t="shared" si="304"/>
        <v>0.1398345</v>
      </c>
      <c r="J187" s="190">
        <f t="shared" ref="J187" si="305">J34*J186</f>
        <v>0.1398345</v>
      </c>
      <c r="K187" s="190">
        <f t="shared" ref="K187" si="306">K34*K186</f>
        <v>0.1398345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-7.0928050384978574E-4</v>
      </c>
      <c r="C189" s="190">
        <f t="shared" ref="C189:K189" si="308">ATAN((-C$187*$A189)/C$3)</f>
        <v>-8.5091518164559534E-5</v>
      </c>
      <c r="D189" s="190">
        <f t="shared" si="308"/>
        <v>-1.369773174306542E-4</v>
      </c>
      <c r="E189" s="190">
        <f t="shared" si="308"/>
        <v>-8.2186390787362257E-5</v>
      </c>
      <c r="F189" s="190">
        <f t="shared" si="308"/>
        <v>-5.8704564912854843E-5</v>
      </c>
      <c r="G189" s="190">
        <f t="shared" si="308"/>
        <v>-4.1093195463073178E-5</v>
      </c>
      <c r="H189" s="190">
        <f t="shared" si="308"/>
        <v>-2.7395463650615708E-5</v>
      </c>
      <c r="I189" s="190">
        <f t="shared" si="308"/>
        <v>-2.0546597740210596E-5</v>
      </c>
      <c r="J189" s="190">
        <f t="shared" si="308"/>
        <v>-1.369773182787793E-5</v>
      </c>
      <c r="K189" s="190">
        <f t="shared" si="308"/>
        <v>-8.2186390970557265E-6</v>
      </c>
    </row>
    <row r="190" spans="1:11" ht="15" hidden="1" customHeight="1" outlineLevel="1">
      <c r="A190">
        <v>0.5</v>
      </c>
      <c r="B190" s="190">
        <f t="shared" si="307"/>
        <v>-3.5463882463934318E-3</v>
      </c>
      <c r="C190" s="190">
        <f t="shared" ref="C190:K197" si="309">ATAN((-C$187*$A190)/C$3)</f>
        <v>-4.2545756617836853E-4</v>
      </c>
      <c r="D190" s="190">
        <f t="shared" si="309"/>
        <v>-6.8488648435025814E-4</v>
      </c>
      <c r="E190" s="190">
        <f t="shared" si="309"/>
        <v>-4.1093193173135631E-4</v>
      </c>
      <c r="F190" s="190">
        <f t="shared" si="309"/>
        <v>-2.9352281647190679E-4</v>
      </c>
      <c r="G190" s="190">
        <f t="shared" si="309"/>
        <v>-2.0546597453968381E-4</v>
      </c>
      <c r="H190" s="190">
        <f t="shared" si="309"/>
        <v>-1.3697731743065418E-4</v>
      </c>
      <c r="I190" s="190">
        <f t="shared" si="309"/>
        <v>-1.0273298835409271E-4</v>
      </c>
      <c r="J190" s="190">
        <f t="shared" si="309"/>
        <v>-6.84886590365866E-5</v>
      </c>
      <c r="K190" s="190">
        <f t="shared" si="309"/>
        <v>-4.1093195463073171E-5</v>
      </c>
    </row>
    <row r="191" spans="1:11" ht="15" hidden="1" customHeight="1" outlineLevel="1">
      <c r="A191">
        <v>0.8</v>
      </c>
      <c r="B191" s="190">
        <f t="shared" si="307"/>
        <v>-5.6741840855108697E-3</v>
      </c>
      <c r="C191" s="190">
        <f t="shared" si="309"/>
        <v>-6.8073204180989157E-4</v>
      </c>
      <c r="D191" s="190">
        <f t="shared" si="309"/>
        <v>-1.0958181076727695E-3</v>
      </c>
      <c r="E191" s="190">
        <f t="shared" si="309"/>
        <v>-6.5749103303600206E-4</v>
      </c>
      <c r="F191" s="190">
        <f t="shared" si="309"/>
        <v>-4.6963648531489851E-4</v>
      </c>
      <c r="G191" s="190">
        <f t="shared" si="309"/>
        <v>-3.2874555204672113E-4</v>
      </c>
      <c r="H191" s="190">
        <f t="shared" si="309"/>
        <v>-2.1916370575074352E-4</v>
      </c>
      <c r="I191" s="190">
        <f t="shared" si="309"/>
        <v>-1.6437278046445167E-4</v>
      </c>
      <c r="J191" s="190">
        <f t="shared" si="309"/>
        <v>-1.0958185419125067E-4</v>
      </c>
      <c r="K191" s="190">
        <f t="shared" si="309"/>
        <v>-6.5749112683182904E-5</v>
      </c>
    </row>
    <row r="192" spans="1:11" ht="15" hidden="1" customHeight="1" outlineLevel="1">
      <c r="A192">
        <v>1</v>
      </c>
      <c r="B192" s="190">
        <f t="shared" si="307"/>
        <v>-7.0926872901056238E-3</v>
      </c>
      <c r="C192" s="190">
        <f t="shared" si="309"/>
        <v>-8.5091497832912141E-4</v>
      </c>
      <c r="D192" s="190">
        <f t="shared" si="309"/>
        <v>-1.3697723261824023E-3</v>
      </c>
      <c r="E192" s="190">
        <f t="shared" si="309"/>
        <v>-8.2186372467867507E-4</v>
      </c>
      <c r="F192" s="190">
        <f t="shared" si="309"/>
        <v>-5.8704558236652785E-4</v>
      </c>
      <c r="G192" s="190">
        <f t="shared" si="309"/>
        <v>-4.1093193173135631E-4</v>
      </c>
      <c r="H192" s="190">
        <f t="shared" si="309"/>
        <v>-2.7395462972115654E-4</v>
      </c>
      <c r="I192" s="190">
        <f t="shared" si="309"/>
        <v>-2.0546597453968381E-4</v>
      </c>
      <c r="J192" s="190">
        <f t="shared" si="309"/>
        <v>-1.3697731743065418E-4</v>
      </c>
      <c r="K192" s="190">
        <f t="shared" si="309"/>
        <v>-8.2186390787362243E-5</v>
      </c>
    </row>
    <row r="193" spans="1:11" ht="15" hidden="1" customHeight="1" outlineLevel="1">
      <c r="A193">
        <v>5</v>
      </c>
      <c r="B193" s="190">
        <f t="shared" si="307"/>
        <v>-3.5449174674420478E-2</v>
      </c>
      <c r="C193" s="190">
        <f t="shared" si="309"/>
        <v>-4.25455024749208E-3</v>
      </c>
      <c r="D193" s="190">
        <f t="shared" si="309"/>
        <v>-6.8487588308780607E-3</v>
      </c>
      <c r="E193" s="190">
        <f t="shared" si="309"/>
        <v>-4.1092964181700916E-3</v>
      </c>
      <c r="F193" s="190">
        <f t="shared" si="309"/>
        <v>-2.9352198195083373E-3</v>
      </c>
      <c r="G193" s="190">
        <f t="shared" si="309"/>
        <v>-2.0546568829819356E-3</v>
      </c>
      <c r="H193" s="190">
        <f t="shared" si="309"/>
        <v>-1.3697723261824025E-3</v>
      </c>
      <c r="I193" s="190">
        <f t="shared" si="309"/>
        <v>-1.0273295257383777E-3</v>
      </c>
      <c r="J193" s="190">
        <f t="shared" si="309"/>
        <v>-6.8488648435025825E-4</v>
      </c>
      <c r="K193" s="190">
        <f t="shared" si="309"/>
        <v>-4.1093193173135625E-4</v>
      </c>
    </row>
    <row r="194" spans="1:11" ht="15" hidden="1" customHeight="1" outlineLevel="1">
      <c r="A194">
        <v>10</v>
      </c>
      <c r="B194" s="190">
        <f t="shared" si="307"/>
        <v>-7.0809478619619601E-2</v>
      </c>
      <c r="C194" s="190">
        <f t="shared" si="309"/>
        <v>-8.5089464756487598E-3</v>
      </c>
      <c r="D194" s="190">
        <f t="shared" si="309"/>
        <v>-1.3696875233141191E-2</v>
      </c>
      <c r="E194" s="190">
        <f t="shared" si="309"/>
        <v>-8.2184540592626625E-3</v>
      </c>
      <c r="F194" s="190">
        <f t="shared" si="309"/>
        <v>-5.8703890630250992E-3</v>
      </c>
      <c r="G194" s="190">
        <f t="shared" si="309"/>
        <v>-4.1092964181700916E-3</v>
      </c>
      <c r="H194" s="190">
        <f t="shared" si="309"/>
        <v>-2.7395395122415934E-3</v>
      </c>
      <c r="I194" s="190">
        <f t="shared" si="309"/>
        <v>-2.0546568829819356E-3</v>
      </c>
      <c r="J194" s="190">
        <f t="shared" si="309"/>
        <v>-1.3697723261824025E-3</v>
      </c>
      <c r="K194" s="190">
        <f t="shared" si="309"/>
        <v>-8.2186372467867497E-4</v>
      </c>
    </row>
    <row r="195" spans="1:11" ht="15" hidden="1" customHeight="1" outlineLevel="1">
      <c r="A195">
        <v>20</v>
      </c>
      <c r="B195" s="190">
        <f t="shared" si="307"/>
        <v>-0.14091591948721777</v>
      </c>
      <c r="C195" s="190">
        <f t="shared" si="309"/>
        <v>-1.7016660997304433E-2</v>
      </c>
      <c r="D195" s="190">
        <f t="shared" si="309"/>
        <v>-2.7388613205817473E-2</v>
      </c>
      <c r="E195" s="190">
        <f t="shared" si="309"/>
        <v>-1.6435798070600104E-2</v>
      </c>
      <c r="F195" s="190">
        <f t="shared" si="309"/>
        <v>-1.1740373549487683E-2</v>
      </c>
      <c r="G195" s="190">
        <f t="shared" si="309"/>
        <v>-8.2184540592626625E-3</v>
      </c>
      <c r="H195" s="190">
        <f t="shared" si="309"/>
        <v>-5.4790379041918689E-3</v>
      </c>
      <c r="I195" s="190">
        <f t="shared" si="309"/>
        <v>-4.1092964181700916E-3</v>
      </c>
      <c r="J195" s="190">
        <f t="shared" si="309"/>
        <v>-2.7395395122415934E-3</v>
      </c>
      <c r="K195" s="190">
        <f t="shared" si="309"/>
        <v>-1.6437263390867364E-3</v>
      </c>
    </row>
    <row r="196" spans="1:11" ht="15" hidden="1" customHeight="1" outlineLevel="1">
      <c r="A196">
        <v>50</v>
      </c>
      <c r="B196" s="190">
        <f t="shared" si="307"/>
        <v>-0.34080273106658932</v>
      </c>
      <c r="C196" s="190">
        <f t="shared" si="309"/>
        <v>-4.2520115746944011E-2</v>
      </c>
      <c r="D196" s="190">
        <f t="shared" si="309"/>
        <v>-6.8381873020706113E-2</v>
      </c>
      <c r="E196" s="190">
        <f t="shared" si="309"/>
        <v>-4.1070088209111351E-2</v>
      </c>
      <c r="F196" s="190">
        <f t="shared" si="309"/>
        <v>-2.9343857295186182E-2</v>
      </c>
      <c r="G196" s="190">
        <f t="shared" si="309"/>
        <v>-2.0543707139668278E-2</v>
      </c>
      <c r="H196" s="190">
        <f t="shared" si="309"/>
        <v>-1.3696875233141191E-2</v>
      </c>
      <c r="I196" s="190">
        <f t="shared" si="309"/>
        <v>-1.0272937477488094E-2</v>
      </c>
      <c r="J196" s="190">
        <f t="shared" si="309"/>
        <v>-6.8487588308780607E-3</v>
      </c>
      <c r="K196" s="190">
        <f t="shared" si="309"/>
        <v>-4.1092964181700916E-3</v>
      </c>
    </row>
    <row r="197" spans="1:11" ht="15" hidden="1" customHeight="1" outlineLevel="1">
      <c r="A197">
        <v>100</v>
      </c>
      <c r="B197" s="190">
        <f t="shared" si="307"/>
        <v>-0.61692745180681696</v>
      </c>
      <c r="C197" s="190">
        <f t="shared" si="309"/>
        <v>-8.4887035713962902E-2</v>
      </c>
      <c r="D197" s="190">
        <f t="shared" si="309"/>
        <v>-0.13613014322474623</v>
      </c>
      <c r="E197" s="190">
        <f t="shared" si="309"/>
        <v>-8.2002091841063954E-2</v>
      </c>
      <c r="F197" s="190">
        <f t="shared" si="309"/>
        <v>-5.8637267680205767E-2</v>
      </c>
      <c r="G197" s="190">
        <f t="shared" si="309"/>
        <v>-4.1070088209111351E-2</v>
      </c>
      <c r="H197" s="190">
        <f t="shared" si="309"/>
        <v>-2.7388613205817473E-2</v>
      </c>
      <c r="I197" s="190">
        <f t="shared" si="309"/>
        <v>-2.0543707139668278E-2</v>
      </c>
      <c r="J197" s="190">
        <f t="shared" si="309"/>
        <v>-1.3696875233141191E-2</v>
      </c>
      <c r="K197" s="190">
        <f t="shared" si="309"/>
        <v>-8.2184540592626625E-3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-4.0638779361505263E-2</v>
      </c>
      <c r="C199" s="190">
        <f t="shared" ref="C199:I199" si="310">DEGREES(C189)</f>
        <v>-4.8753848631900428E-3</v>
      </c>
      <c r="D199" s="190">
        <f t="shared" si="310"/>
        <v>-7.8482221778002521E-3</v>
      </c>
      <c r="E199" s="190">
        <f t="shared" si="310"/>
        <v>-4.7089333255287283E-3</v>
      </c>
      <c r="F199" s="190">
        <f t="shared" si="310"/>
        <v>-3.3635238076583597E-3</v>
      </c>
      <c r="G199" s="190">
        <f t="shared" si="310"/>
        <v>-2.3544666667402354E-3</v>
      </c>
      <c r="H199" s="190">
        <f t="shared" si="310"/>
        <v>-1.5696444449843389E-3</v>
      </c>
      <c r="I199" s="190">
        <f t="shared" si="310"/>
        <v>-1.1772333338671019E-3</v>
      </c>
      <c r="J199" s="190">
        <f t="shared" ref="J199:K199" si="311">DEGREES(J189)</f>
        <v>-7.8482222263942395E-4</v>
      </c>
      <c r="K199" s="190">
        <f t="shared" si="311"/>
        <v>-4.7089333360250289E-4</v>
      </c>
    </row>
    <row r="200" spans="1:11" ht="15" hidden="1" customHeight="1" outlineLevel="1">
      <c r="A200">
        <v>0.5</v>
      </c>
      <c r="B200" s="190">
        <f t="shared" ref="B200" si="312">DEGREES(B190)</f>
        <v>-0.20319307903314474</v>
      </c>
      <c r="C200" s="190">
        <f t="shared" ref="C200:I200" si="313">DEGREES(C190)</f>
        <v>-2.4376922903928434E-2</v>
      </c>
      <c r="D200" s="190">
        <f t="shared" si="313"/>
        <v>-3.9241104998822496E-2</v>
      </c>
      <c r="E200" s="190">
        <f t="shared" si="313"/>
        <v>-2.3544665355364789E-2</v>
      </c>
      <c r="F200" s="190">
        <f t="shared" si="313"/>
        <v>-1.6817618574633299E-2</v>
      </c>
      <c r="G200" s="190">
        <f t="shared" si="313"/>
        <v>-1.177233317466631E-2</v>
      </c>
      <c r="H200" s="190">
        <f t="shared" si="313"/>
        <v>-7.8482221778002504E-3</v>
      </c>
      <c r="I200" s="190">
        <f t="shared" si="313"/>
        <v>-5.8861666494561494E-3</v>
      </c>
      <c r="J200" s="190">
        <f t="shared" ref="J200:K200" si="314">DEGREES(J190)</f>
        <v>-3.9241111073069395E-3</v>
      </c>
      <c r="K200" s="190">
        <f t="shared" si="314"/>
        <v>-2.3544666667402354E-3</v>
      </c>
    </row>
    <row r="201" spans="1:11" ht="15" hidden="1" customHeight="1" outlineLevel="1">
      <c r="A201">
        <v>0.8</v>
      </c>
      <c r="B201" s="190">
        <f t="shared" ref="B201" si="315">DEGREES(B191)</f>
        <v>-0.32510680028007144</v>
      </c>
      <c r="C201" s="190">
        <f t="shared" ref="C201:I201" si="316">DEGREES(C191)</f>
        <v>-3.9003072975029883E-2</v>
      </c>
      <c r="D201" s="190">
        <f t="shared" si="316"/>
        <v>-6.2785752683662099E-2</v>
      </c>
      <c r="E201" s="190">
        <f t="shared" si="316"/>
        <v>-3.7671461260659497E-2</v>
      </c>
      <c r="F201" s="190">
        <f t="shared" si="316"/>
        <v>-2.6908188513901348E-2</v>
      </c>
      <c r="G201" s="190">
        <f t="shared" si="316"/>
        <v>-1.8835732665975463E-2</v>
      </c>
      <c r="H201" s="190">
        <f t="shared" si="316"/>
        <v>-1.2557155361964653E-2</v>
      </c>
      <c r="I201" s="190">
        <f t="shared" si="316"/>
        <v>-9.4178665874435075E-3</v>
      </c>
      <c r="J201" s="190">
        <f t="shared" ref="J201:K201" si="317">DEGREES(J191)</f>
        <v>-6.2785777563766345E-3</v>
      </c>
      <c r="K201" s="190">
        <f t="shared" si="317"/>
        <v>-3.767146663476452E-3</v>
      </c>
    </row>
    <row r="202" spans="1:11" ht="15" hidden="1" customHeight="1" outlineLevel="1">
      <c r="A202">
        <v>1</v>
      </c>
      <c r="B202" s="190">
        <f t="shared" ref="B202" si="318">DEGREES(B192)</f>
        <v>-0.4063810471291332</v>
      </c>
      <c r="C202" s="190">
        <f t="shared" ref="C202:I202" si="319">DEGREES(C192)</f>
        <v>-4.8753836982724563E-2</v>
      </c>
      <c r="D202" s="190">
        <f t="shared" si="319"/>
        <v>-7.8482173184068804E-2</v>
      </c>
      <c r="E202" s="190">
        <f t="shared" si="319"/>
        <v>-4.7089322758989964E-2</v>
      </c>
      <c r="F202" s="190">
        <f t="shared" si="319"/>
        <v>-3.3635234251401587E-2</v>
      </c>
      <c r="G202" s="190">
        <f t="shared" si="319"/>
        <v>-2.3544665355364789E-2</v>
      </c>
      <c r="H202" s="190">
        <f t="shared" si="319"/>
        <v>-1.5696444061091493E-2</v>
      </c>
      <c r="I202" s="190">
        <f t="shared" si="319"/>
        <v>-1.177233317466631E-2</v>
      </c>
      <c r="J202" s="190">
        <f t="shared" ref="J202:K202" si="320">DEGREES(J192)</f>
        <v>-7.8482221778002504E-3</v>
      </c>
      <c r="K202" s="190">
        <f t="shared" si="320"/>
        <v>-4.7089333255287275E-3</v>
      </c>
    </row>
    <row r="203" spans="1:11" ht="15" hidden="1" customHeight="1" outlineLevel="1">
      <c r="A203">
        <v>5</v>
      </c>
      <c r="B203" s="190">
        <f t="shared" ref="B203" si="321">DEGREES(B193)</f>
        <v>-2.0310880960663376</v>
      </c>
      <c r="C203" s="190">
        <f t="shared" ref="C203:I203" si="322">DEGREES(C193)</f>
        <v>-0.24376777290763604</v>
      </c>
      <c r="D203" s="190">
        <f t="shared" si="322"/>
        <v>-0.39240497591226481</v>
      </c>
      <c r="E203" s="190">
        <f t="shared" si="322"/>
        <v>-0.23544534152937249</v>
      </c>
      <c r="F203" s="190">
        <f t="shared" si="322"/>
        <v>-0.168175707600979</v>
      </c>
      <c r="G203" s="190">
        <f t="shared" si="322"/>
        <v>-0.11772316774236997</v>
      </c>
      <c r="H203" s="190">
        <f t="shared" si="322"/>
        <v>-7.8482173184068818E-2</v>
      </c>
      <c r="I203" s="190">
        <f t="shared" si="322"/>
        <v>-5.8861645993985523E-2</v>
      </c>
      <c r="J203" s="190">
        <f t="shared" ref="J203:K203" si="323">DEGREES(J193)</f>
        <v>-3.9241104998822503E-2</v>
      </c>
      <c r="K203" s="190">
        <f t="shared" si="323"/>
        <v>-2.3544665355364786E-2</v>
      </c>
    </row>
    <row r="204" spans="1:11" ht="15" hidden="1" customHeight="1" outlineLevel="1">
      <c r="A204">
        <v>10</v>
      </c>
      <c r="B204" s="190">
        <f t="shared" ref="B204" si="324">DEGREES(B194)</f>
        <v>-4.0570842744260416</v>
      </c>
      <c r="C204" s="190">
        <f t="shared" ref="C204:I204" si="325">DEGREES(C194)</f>
        <v>-0.48752672115739026</v>
      </c>
      <c r="D204" s="190">
        <f t="shared" si="325"/>
        <v>-0.7847731433762557</v>
      </c>
      <c r="E204" s="190">
        <f t="shared" si="325"/>
        <v>-0.4708827317179099</v>
      </c>
      <c r="F204" s="190">
        <f t="shared" si="325"/>
        <v>-0.336348517411096</v>
      </c>
      <c r="G204" s="190">
        <f t="shared" si="325"/>
        <v>-0.23544534152937249</v>
      </c>
      <c r="H204" s="190">
        <f t="shared" si="325"/>
        <v>-0.15696405186077142</v>
      </c>
      <c r="I204" s="190">
        <f t="shared" si="325"/>
        <v>-0.11772316774236997</v>
      </c>
      <c r="J204" s="190">
        <f t="shared" ref="J204:K204" si="326">DEGREES(J194)</f>
        <v>-7.8482173184068818E-2</v>
      </c>
      <c r="K204" s="190">
        <f t="shared" si="326"/>
        <v>-4.7089322758989957E-2</v>
      </c>
    </row>
    <row r="205" spans="1:11" ht="15" hidden="1" customHeight="1" outlineLevel="1">
      <c r="A205">
        <v>20</v>
      </c>
      <c r="B205" s="190">
        <f t="shared" ref="B205" si="327">DEGREES(B195)</f>
        <v>-8.0738874528228894</v>
      </c>
      <c r="C205" s="190">
        <f t="shared" ref="C205:I205" si="328">DEGREES(C195)</f>
        <v>-0.97498285655042238</v>
      </c>
      <c r="D205" s="190">
        <f t="shared" si="328"/>
        <v>-1.5692519434096128</v>
      </c>
      <c r="E205" s="190">
        <f t="shared" si="328"/>
        <v>-0.94170186237464737</v>
      </c>
      <c r="F205" s="190">
        <f t="shared" si="328"/>
        <v>-0.67267385429267001</v>
      </c>
      <c r="G205" s="190">
        <f t="shared" si="328"/>
        <v>-0.4708827317179099</v>
      </c>
      <c r="H205" s="190">
        <f t="shared" si="328"/>
        <v>-0.31392574770239801</v>
      </c>
      <c r="I205" s="190">
        <f t="shared" si="328"/>
        <v>-0.23544534152937249</v>
      </c>
      <c r="J205" s="190">
        <f t="shared" ref="J205:K205" si="329">DEGREES(J195)</f>
        <v>-0.15696405186077142</v>
      </c>
      <c r="K205" s="190">
        <f t="shared" si="329"/>
        <v>-9.4178581904159633E-2</v>
      </c>
    </row>
    <row r="206" spans="1:11" ht="15" hidden="1" customHeight="1" outlineLevel="1">
      <c r="A206">
        <v>50</v>
      </c>
      <c r="B206" s="190">
        <f t="shared" ref="B206" si="330">DEGREES(B196)</f>
        <v>-19.526558136647594</v>
      </c>
      <c r="C206" s="190">
        <f t="shared" ref="C206:I206" si="331">DEGREES(C196)</f>
        <v>-2.4362231767076437</v>
      </c>
      <c r="D206" s="190">
        <f t="shared" si="331"/>
        <v>-3.9179927192859703</v>
      </c>
      <c r="E206" s="190">
        <f t="shared" si="331"/>
        <v>-2.3531427186120859</v>
      </c>
      <c r="F206" s="190">
        <f t="shared" si="331"/>
        <v>-1.6812791776483398</v>
      </c>
      <c r="G206" s="190">
        <f t="shared" si="331"/>
        <v>-1.1770677146557689</v>
      </c>
      <c r="H206" s="190">
        <f t="shared" si="331"/>
        <v>-0.7847731433762557</v>
      </c>
      <c r="I206" s="190">
        <f t="shared" si="331"/>
        <v>-0.58859596066183795</v>
      </c>
      <c r="J206" s="190">
        <f t="shared" ref="J206:K206" si="332">DEGREES(J196)</f>
        <v>-0.39240497591226481</v>
      </c>
      <c r="K206" s="190">
        <f t="shared" si="332"/>
        <v>-0.23544534152937249</v>
      </c>
    </row>
    <row r="207" spans="1:11" ht="15" hidden="1" customHeight="1" outlineLevel="1">
      <c r="A207">
        <v>100</v>
      </c>
      <c r="B207" s="190">
        <f t="shared" ref="B207" si="333">DEGREES(B197)</f>
        <v>-35.347339254291107</v>
      </c>
      <c r="C207" s="190">
        <f t="shared" ref="C207:I207" si="334">DEGREES(C197)</f>
        <v>-4.8636688817863627</v>
      </c>
      <c r="D207" s="190">
        <f t="shared" si="334"/>
        <v>-7.7996826712893776</v>
      </c>
      <c r="E207" s="190">
        <f t="shared" si="334"/>
        <v>-4.6983737737371269</v>
      </c>
      <c r="F207" s="190">
        <f t="shared" si="334"/>
        <v>-3.359667960254658</v>
      </c>
      <c r="G207" s="190">
        <f t="shared" si="334"/>
        <v>-2.3531427186120859</v>
      </c>
      <c r="H207" s="190">
        <f t="shared" si="334"/>
        <v>-1.5692519434096128</v>
      </c>
      <c r="I207" s="190">
        <f t="shared" si="334"/>
        <v>-1.1770677146557689</v>
      </c>
      <c r="J207" s="190">
        <f t="shared" ref="J207:K207" si="335">DEGREES(J197)</f>
        <v>-0.7847731433762557</v>
      </c>
      <c r="K207" s="190">
        <f t="shared" si="335"/>
        <v>-0.4708827317179099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-0.24754339504771838</v>
      </c>
      <c r="C210" s="190">
        <f>C$185*VLOOKUP(C$209,$A$189:C$197,C$188,FALSE)</f>
        <v>-0.28532351835532582</v>
      </c>
      <c r="D210" s="190">
        <f>D$185*VLOOKUP(D$209,$A$189:D$197,D$188,FALSE)</f>
        <v>-0.25902847353986341</v>
      </c>
      <c r="E210" s="190">
        <f>E$185*VLOOKUP(E$209,$A$189:E$197,E$188,FALSE)</f>
        <v>-0.28532351835532582</v>
      </c>
      <c r="F210" s="190">
        <f>F$185*VLOOKUP(F$209,$A$189:F$197,F$188,FALSE)</f>
        <v>-0.34600558930937286</v>
      </c>
      <c r="G210" s="190">
        <f>G$185*VLOOKUP(G$209,$A$189:G$197,G$188,FALSE)</f>
        <v>-3.9757770405996902</v>
      </c>
      <c r="H210" s="190">
        <f>H$185*VLOOKUP(H$209,$A$189:H$197,H$188,FALSE)</f>
        <v>-0.50415612013648992</v>
      </c>
      <c r="I210" s="190">
        <f>I$185*VLOOKUP(I$209,$A$189:I$197,I$188,FALSE)</f>
        <v>-0.32543137619619528</v>
      </c>
      <c r="J210" s="190">
        <f>J$185*VLOOKUP(J$209,$A$189:J$197,J$188,FALSE)</f>
        <v>-0.19928520449309847</v>
      </c>
      <c r="K210" s="190">
        <f>K$185*VLOOKUP(K$209,$A$189:K$197,K$188,FALSE)</f>
        <v>-0.11505736645960005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-0.12518733253438563</v>
      </c>
      <c r="C212" s="190">
        <f t="shared" ref="C212:I212" si="337">C$29*(C81)*C$210</f>
        <v>-10.047839586815867</v>
      </c>
      <c r="D212" s="190">
        <f t="shared" si="337"/>
        <v>-3.286260427875658</v>
      </c>
      <c r="E212" s="190">
        <f t="shared" si="337"/>
        <v>-10.055172857377665</v>
      </c>
      <c r="F212" s="190">
        <f t="shared" si="337"/>
        <v>-23.899628811362128</v>
      </c>
      <c r="G212" s="190">
        <f t="shared" si="337"/>
        <v>-560.44626977910798</v>
      </c>
      <c r="H212" s="190">
        <f t="shared" si="337"/>
        <v>-159.90407197656012</v>
      </c>
      <c r="I212" s="190">
        <f t="shared" si="337"/>
        <v>-183.49801711287989</v>
      </c>
      <c r="J212" s="190">
        <f t="shared" ref="J212:K212" si="338">J$29*(J81)*J$210</f>
        <v>-252.83053729071636</v>
      </c>
      <c r="K212" s="190">
        <f t="shared" si="338"/>
        <v>-405.47716323375795</v>
      </c>
    </row>
    <row r="213" spans="1:11" ht="15" hidden="1" customHeight="1" outlineLevel="1">
      <c r="A213">
        <v>2</v>
      </c>
      <c r="B213" s="190">
        <f t="shared" si="336"/>
        <v>-0.1212752283926861</v>
      </c>
      <c r="C213" s="190">
        <f t="shared" ref="C213:I213" si="339">C$29*(C82)*C$210</f>
        <v>-9.7338445997278757</v>
      </c>
      <c r="D213" s="190">
        <f t="shared" si="339"/>
        <v>-3.1835647895045445</v>
      </c>
      <c r="E213" s="190">
        <f t="shared" si="339"/>
        <v>-9.7409487055846142</v>
      </c>
      <c r="F213" s="190">
        <f t="shared" si="339"/>
        <v>-23.152765411007064</v>
      </c>
      <c r="G213" s="190">
        <f t="shared" si="339"/>
        <v>-542.93232384851092</v>
      </c>
      <c r="H213" s="190">
        <f t="shared" si="339"/>
        <v>-154.90706972729268</v>
      </c>
      <c r="I213" s="190">
        <f t="shared" si="339"/>
        <v>-177.76370407810245</v>
      </c>
      <c r="J213" s="190">
        <f t="shared" ref="J213:K213" si="340">J$29*(J82)*J$210</f>
        <v>-244.92958300038154</v>
      </c>
      <c r="K213" s="190">
        <f t="shared" si="340"/>
        <v>-392.80600188270307</v>
      </c>
    </row>
    <row r="214" spans="1:11" ht="15" hidden="1" customHeight="1" outlineLevel="1">
      <c r="A214">
        <v>3</v>
      </c>
      <c r="B214" s="190">
        <f t="shared" si="336"/>
        <v>-0.11736312425098654</v>
      </c>
      <c r="C214" s="190">
        <f t="shared" ref="C214:I214" si="341">C$29*(C83)*C$210</f>
        <v>-9.4198496126398776</v>
      </c>
      <c r="D214" s="190">
        <f t="shared" si="341"/>
        <v>-3.0808691511334296</v>
      </c>
      <c r="E214" s="190">
        <f t="shared" si="341"/>
        <v>-9.426724553791562</v>
      </c>
      <c r="F214" s="190">
        <f t="shared" si="341"/>
        <v>-22.405902010651996</v>
      </c>
      <c r="G214" s="190">
        <f t="shared" si="341"/>
        <v>-525.41837791791386</v>
      </c>
      <c r="H214" s="190">
        <f t="shared" si="341"/>
        <v>-149.91006747802513</v>
      </c>
      <c r="I214" s="190">
        <f t="shared" si="341"/>
        <v>-172.02939104332495</v>
      </c>
      <c r="J214" s="190">
        <f t="shared" ref="J214:K214" si="342">J$29*(J83)*J$210</f>
        <v>-237.0286287100466</v>
      </c>
      <c r="K214" s="190">
        <f t="shared" si="342"/>
        <v>-380.13484053164808</v>
      </c>
    </row>
    <row r="215" spans="1:11" ht="15" hidden="1" customHeight="1" outlineLevel="1">
      <c r="A215">
        <v>4</v>
      </c>
      <c r="B215" s="190">
        <f t="shared" si="336"/>
        <v>-0.11345102010928701</v>
      </c>
      <c r="C215" s="190">
        <f t="shared" ref="C215:I215" si="343">C$29*(C84)*C$210</f>
        <v>-9.1058546255518831</v>
      </c>
      <c r="D215" s="190">
        <f t="shared" si="343"/>
        <v>-2.9781735127623157</v>
      </c>
      <c r="E215" s="190">
        <f t="shared" si="343"/>
        <v>-9.1125004019985116</v>
      </c>
      <c r="F215" s="190">
        <f t="shared" si="343"/>
        <v>-21.659038610296932</v>
      </c>
      <c r="G215" s="190">
        <f t="shared" si="343"/>
        <v>-507.90443198731674</v>
      </c>
      <c r="H215" s="190">
        <f t="shared" si="343"/>
        <v>-144.91306522875766</v>
      </c>
      <c r="I215" s="190">
        <f t="shared" si="343"/>
        <v>-166.29507800854745</v>
      </c>
      <c r="J215" s="190">
        <f t="shared" ref="J215:K215" si="344">J$29*(J84)*J$210</f>
        <v>-229.12767441971175</v>
      </c>
      <c r="K215" s="190">
        <f t="shared" si="344"/>
        <v>-367.4636791805932</v>
      </c>
    </row>
    <row r="216" spans="1:11" ht="15" hidden="1" customHeight="1" outlineLevel="1">
      <c r="A216">
        <v>5</v>
      </c>
      <c r="B216" s="190">
        <f t="shared" si="336"/>
        <v>-0.10953891596758744</v>
      </c>
      <c r="C216" s="190">
        <f t="shared" ref="C216:I216" si="345">C$29*(C85)*C$210</f>
        <v>-8.791859638463885</v>
      </c>
      <c r="D216" s="190">
        <f t="shared" si="345"/>
        <v>-2.8754778743912008</v>
      </c>
      <c r="E216" s="190">
        <f t="shared" si="345"/>
        <v>-8.7982762502054559</v>
      </c>
      <c r="F216" s="190">
        <f t="shared" si="345"/>
        <v>-20.912175209941861</v>
      </c>
      <c r="G216" s="190">
        <f t="shared" si="345"/>
        <v>-490.39048605671951</v>
      </c>
      <c r="H216" s="190">
        <f t="shared" si="345"/>
        <v>-139.91606297949011</v>
      </c>
      <c r="I216" s="190">
        <f t="shared" si="345"/>
        <v>-160.56076497376992</v>
      </c>
      <c r="J216" s="190">
        <f t="shared" ref="J216:K216" si="346">J$29*(J85)*J$210</f>
        <v>-221.22672012937682</v>
      </c>
      <c r="K216" s="190">
        <f t="shared" si="346"/>
        <v>-354.79251782953821</v>
      </c>
    </row>
    <row r="217" spans="1:11" ht="15" hidden="1" customHeight="1" outlineLevel="1">
      <c r="A217">
        <v>6</v>
      </c>
      <c r="B217" s="190">
        <f t="shared" si="336"/>
        <v>-0.10562681182588789</v>
      </c>
      <c r="C217" s="190">
        <f t="shared" ref="C217:I217" si="347">C$29*(C86)*C$210</f>
        <v>-8.4778646513758904</v>
      </c>
      <c r="D217" s="190">
        <f t="shared" si="347"/>
        <v>-2.7727822360200869</v>
      </c>
      <c r="E217" s="190">
        <f t="shared" si="347"/>
        <v>-8.4840520984124055</v>
      </c>
      <c r="F217" s="190">
        <f t="shared" si="347"/>
        <v>-20.165311809586797</v>
      </c>
      <c r="G217" s="190">
        <f t="shared" si="347"/>
        <v>-472.87654012612239</v>
      </c>
      <c r="H217" s="190">
        <f t="shared" si="347"/>
        <v>-134.91906073022261</v>
      </c>
      <c r="I217" s="190">
        <f t="shared" si="347"/>
        <v>-154.82645193899242</v>
      </c>
      <c r="J217" s="190">
        <f t="shared" ref="J217:K217" si="348">J$29*(J86)*J$210</f>
        <v>-213.32576583904194</v>
      </c>
      <c r="K217" s="190">
        <f t="shared" si="348"/>
        <v>-342.12135647848328</v>
      </c>
    </row>
    <row r="218" spans="1:11" ht="15" hidden="1" customHeight="1" outlineLevel="1">
      <c r="A218">
        <v>7</v>
      </c>
      <c r="B218" s="190">
        <f t="shared" si="336"/>
        <v>-0.10171470768418835</v>
      </c>
      <c r="C218" s="190">
        <f t="shared" ref="C218:I218" si="349">C$29*(C87)*C$210</f>
        <v>-8.1638696642878941</v>
      </c>
      <c r="D218" s="190">
        <f t="shared" si="349"/>
        <v>-2.6700865976489725</v>
      </c>
      <c r="E218" s="190">
        <f t="shared" si="349"/>
        <v>-8.1698279466193533</v>
      </c>
      <c r="F218" s="190">
        <f t="shared" si="349"/>
        <v>-19.418448409231733</v>
      </c>
      <c r="G218" s="190">
        <f t="shared" si="349"/>
        <v>-455.36259419552533</v>
      </c>
      <c r="H218" s="190">
        <f t="shared" si="349"/>
        <v>-129.92205848095512</v>
      </c>
      <c r="I218" s="190">
        <f t="shared" si="349"/>
        <v>-149.09213890421495</v>
      </c>
      <c r="J218" s="190">
        <f t="shared" ref="J218:K218" si="350">J$29*(J87)*J$210</f>
        <v>-205.42481154870705</v>
      </c>
      <c r="K218" s="190">
        <f t="shared" si="350"/>
        <v>-329.45019512742834</v>
      </c>
    </row>
    <row r="219" spans="1:11" ht="15" hidden="1" customHeight="1" outlineLevel="1">
      <c r="A219">
        <v>8</v>
      </c>
      <c r="B219" s="190">
        <f t="shared" si="336"/>
        <v>-9.7802603542488778E-2</v>
      </c>
      <c r="C219" s="190">
        <f t="shared" ref="C219:I219" si="351">C$29*(C88)*C$210</f>
        <v>-7.8498746771998977</v>
      </c>
      <c r="D219" s="190">
        <f t="shared" si="351"/>
        <v>-2.5673909592778581</v>
      </c>
      <c r="E219" s="190">
        <f t="shared" si="351"/>
        <v>-7.8556037948263011</v>
      </c>
      <c r="F219" s="190">
        <f t="shared" si="351"/>
        <v>-18.671585008876662</v>
      </c>
      <c r="G219" s="190">
        <f t="shared" si="351"/>
        <v>-437.84864826492816</v>
      </c>
      <c r="H219" s="190">
        <f t="shared" si="351"/>
        <v>-124.92505623168761</v>
      </c>
      <c r="I219" s="190">
        <f t="shared" si="351"/>
        <v>-143.35782586943745</v>
      </c>
      <c r="J219" s="190">
        <f t="shared" ref="J219:K219" si="352">J$29*(J88)*J$210</f>
        <v>-197.52385725837217</v>
      </c>
      <c r="K219" s="190">
        <f t="shared" si="352"/>
        <v>-316.77903377637341</v>
      </c>
    </row>
    <row r="220" spans="1:11" ht="15" hidden="1" customHeight="1" outlineLevel="1">
      <c r="A220">
        <v>9</v>
      </c>
      <c r="B220" s="190">
        <f t="shared" si="336"/>
        <v>-9.3890499400789237E-2</v>
      </c>
      <c r="C220" s="190">
        <f t="shared" ref="C220:I220" si="353">C$29*(C89)*C$210</f>
        <v>-7.5358796901119014</v>
      </c>
      <c r="D220" s="190">
        <f t="shared" si="353"/>
        <v>-2.4646953209067437</v>
      </c>
      <c r="E220" s="190">
        <f t="shared" si="353"/>
        <v>-7.5413796430332489</v>
      </c>
      <c r="F220" s="190">
        <f t="shared" si="353"/>
        <v>-17.924721608521597</v>
      </c>
      <c r="G220" s="190">
        <f t="shared" si="353"/>
        <v>-420.33470233433104</v>
      </c>
      <c r="H220" s="190">
        <f t="shared" si="353"/>
        <v>-119.92805398242011</v>
      </c>
      <c r="I220" s="190">
        <f t="shared" si="353"/>
        <v>-137.62351283465995</v>
      </c>
      <c r="J220" s="190">
        <f t="shared" ref="J220:K220" si="354">J$29*(J89)*J$210</f>
        <v>-189.62290296803729</v>
      </c>
      <c r="K220" s="190">
        <f t="shared" si="354"/>
        <v>-304.10787242531848</v>
      </c>
    </row>
    <row r="221" spans="1:11" ht="15" hidden="1" customHeight="1" outlineLevel="1">
      <c r="A221">
        <v>10</v>
      </c>
      <c r="B221" s="190">
        <f t="shared" si="336"/>
        <v>-8.9978395259089683E-2</v>
      </c>
      <c r="C221" s="190">
        <f t="shared" ref="C221:I221" si="355">C$29*(C90)*C$210</f>
        <v>-7.2218847030239059</v>
      </c>
      <c r="D221" s="190">
        <f t="shared" si="355"/>
        <v>-2.3619996825356293</v>
      </c>
      <c r="E221" s="190">
        <f t="shared" si="355"/>
        <v>-7.2271554912401967</v>
      </c>
      <c r="F221" s="190">
        <f t="shared" si="355"/>
        <v>-17.17785820816653</v>
      </c>
      <c r="G221" s="190">
        <f t="shared" si="355"/>
        <v>-402.82075640373387</v>
      </c>
      <c r="H221" s="190">
        <f t="shared" si="355"/>
        <v>-114.9310517331526</v>
      </c>
      <c r="I221" s="190">
        <f t="shared" si="355"/>
        <v>-131.88919979988245</v>
      </c>
      <c r="J221" s="190">
        <f t="shared" ref="J221:K221" si="356">J$29*(J90)*J$210</f>
        <v>-181.72194867770239</v>
      </c>
      <c r="K221" s="190">
        <f t="shared" si="356"/>
        <v>-291.43671107426354</v>
      </c>
    </row>
    <row r="222" spans="1:11" ht="15" customHeight="1" collapsed="1">
      <c r="A222" t="s">
        <v>514</v>
      </c>
      <c r="B222" s="190">
        <f>SUM(B212:B221)</f>
        <v>-1.0758286389673768</v>
      </c>
      <c r="C222" s="190">
        <f t="shared" ref="C222:I222" si="357">SUM(C212:C221)</f>
        <v>-86.348621449198873</v>
      </c>
      <c r="D222" s="190">
        <f t="shared" si="357"/>
        <v>-28.24130055205644</v>
      </c>
      <c r="E222" s="190">
        <f t="shared" si="357"/>
        <v>-86.411641743089305</v>
      </c>
      <c r="F222" s="190">
        <f t="shared" si="357"/>
        <v>-205.38743509764328</v>
      </c>
      <c r="G222" s="190">
        <f t="shared" si="357"/>
        <v>-4816.3351309142099</v>
      </c>
      <c r="H222" s="190">
        <f t="shared" si="357"/>
        <v>-1374.1756185485638</v>
      </c>
      <c r="I222" s="190">
        <f t="shared" si="357"/>
        <v>-1576.9360845638116</v>
      </c>
      <c r="J222" s="190">
        <f t="shared" ref="J222" si="358">SUM(J212:J221)</f>
        <v>-2172.7624298420942</v>
      </c>
      <c r="K222" s="190">
        <f t="shared" ref="K222" si="359">SUM(K212:K221)</f>
        <v>-3484.569371540108</v>
      </c>
    </row>
    <row r="223" spans="1:11" ht="15" customHeight="1">
      <c r="A223" t="s">
        <v>515</v>
      </c>
      <c r="B223" s="190">
        <f>B222*B187</f>
        <v>-0.15043795981568364</v>
      </c>
      <c r="C223" s="190">
        <f t="shared" ref="C223:I223" si="360">C222*C187</f>
        <v>-12.074516306037999</v>
      </c>
      <c r="D223" s="190">
        <f t="shared" si="360"/>
        <v>-3.9491081420465362</v>
      </c>
      <c r="E223" s="190">
        <f t="shared" si="360"/>
        <v>-12.083328717324022</v>
      </c>
      <c r="F223" s="190">
        <f t="shared" si="360"/>
        <v>-28.720249293161398</v>
      </c>
      <c r="G223" s="190">
        <f t="shared" si="360"/>
        <v>-673.48981486382309</v>
      </c>
      <c r="H223" s="190">
        <f t="shared" si="360"/>
        <v>-192.15716053192915</v>
      </c>
      <c r="I223" s="190">
        <f t="shared" si="360"/>
        <v>-220.51006891693831</v>
      </c>
      <c r="J223" s="190">
        <f t="shared" ref="J223" si="361">J222*J187</f>
        <v>-303.82714799575433</v>
      </c>
      <c r="K223" s="190">
        <f t="shared" ref="K223" si="362">K222*K187</f>
        <v>-487.26301578462522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-0.27327715953789622</v>
      </c>
      <c r="C226" s="190">
        <f t="shared" ref="C226:I226" si="365">C223/(C29*C91*C224)</f>
        <v>-0.31498477521677226</v>
      </c>
      <c r="D226" s="190">
        <f t="shared" si="365"/>
        <v>-0.28595618749902657</v>
      </c>
      <c r="E226" s="190">
        <f t="shared" si="365"/>
        <v>-0.31498477521677221</v>
      </c>
      <c r="F226" s="190">
        <f t="shared" si="365"/>
        <v>-0.38197514667064347</v>
      </c>
      <c r="G226" s="190">
        <f t="shared" si="365"/>
        <v>-4.3890852203979271</v>
      </c>
      <c r="H226" s="190">
        <f t="shared" si="365"/>
        <v>-0.556566465641258</v>
      </c>
      <c r="I226" s="190">
        <f t="shared" si="365"/>
        <v>-0.35926210874768577</v>
      </c>
      <c r="J226" s="190">
        <f t="shared" ref="J226:K226" si="366">J223/(J29*J91*J224)</f>
        <v>-0.22000221258702779</v>
      </c>
      <c r="K226" s="190">
        <f t="shared" si="366"/>
        <v>-0.12701833665943379</v>
      </c>
    </row>
    <row r="227" spans="1:11" ht="15" customHeight="1">
      <c r="A227" s="290" t="s">
        <v>522</v>
      </c>
      <c r="B227" s="288">
        <f>(-B185*B187^2)/(B225*B3)</f>
        <v>-2.1778788950427446E-3</v>
      </c>
      <c r="C227" s="288">
        <f t="shared" ref="C227:I227" si="367">(-C185*C187^2)/(C225*C3)</f>
        <v>-3.0115365058269744E-4</v>
      </c>
      <c r="D227" s="288">
        <f t="shared" si="367"/>
        <v>-4.4010920674226398E-4</v>
      </c>
      <c r="E227" s="288">
        <f t="shared" si="367"/>
        <v>-2.9087190055717723E-4</v>
      </c>
      <c r="F227" s="288">
        <f t="shared" si="367"/>
        <v>-2.5195285073978954E-4</v>
      </c>
      <c r="G227" s="288">
        <f t="shared" si="367"/>
        <v>-2.0265448685352571E-3</v>
      </c>
      <c r="H227" s="288">
        <f t="shared" si="367"/>
        <v>-1.7131996886309968E-4</v>
      </c>
      <c r="I227" s="288">
        <f t="shared" si="367"/>
        <v>-8.2939923284944795E-5</v>
      </c>
      <c r="J227" s="288">
        <f t="shared" ref="J227:K227" si="368">(-J185*J187^2)/(J225*J3)</f>
        <v>-3.3860081892282653E-5</v>
      </c>
      <c r="K227" s="288">
        <f t="shared" si="368"/>
        <v>-1.1729476437175298E-5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0.30705461633399811</v>
      </c>
      <c r="C239" s="190">
        <f t="shared" ref="C239:I239" si="369">(C185*C187)/C225</f>
        <v>0.35391735434012561</v>
      </c>
      <c r="D239" s="190">
        <f t="shared" si="369"/>
        <v>0.32130079070391671</v>
      </c>
      <c r="E239" s="190">
        <f t="shared" si="369"/>
        <v>0.35391735434012561</v>
      </c>
      <c r="F239" s="190">
        <f t="shared" si="369"/>
        <v>0.42918783373043845</v>
      </c>
      <c r="G239" s="190">
        <f t="shared" si="369"/>
        <v>4.9315825760389576</v>
      </c>
      <c r="H239" s="190">
        <f t="shared" si="369"/>
        <v>0.62535889519938859</v>
      </c>
      <c r="I239" s="190">
        <f t="shared" si="369"/>
        <v>0.40366743108498365</v>
      </c>
      <c r="J239" s="190">
        <f t="shared" ref="J239:K239" si="370">(J185*J187)/J225</f>
        <v>0.24719480798457569</v>
      </c>
      <c r="K239" s="190">
        <f t="shared" si="370"/>
        <v>0.14271798893217263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1"/>
  <sheetViews>
    <sheetView zoomScale="85" zoomScaleNormal="85" workbookViewId="0">
      <pane ySplit="3" topLeftCell="A4" activePane="bottomLeft" state="frozen"/>
      <selection pane="bottomLeft" activeCell="T23" sqref="T23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45312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6.8255245173111968E-3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  <c r="N27" t="s">
        <v>1043</v>
      </c>
      <c r="O27">
        <f>E3*CrossSecAreaRocket</f>
        <v>121.14007748859983</v>
      </c>
      <c r="P27" t="s">
        <v>1044</v>
      </c>
    </row>
    <row r="28" spans="1:16" ht="15" thickBot="1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  <c r="N29" s="191" t="s">
        <v>1042</v>
      </c>
      <c r="O29" s="193"/>
    </row>
    <row r="30" spans="1:16">
      <c r="A30" s="279">
        <v>5</v>
      </c>
      <c r="N30" s="197">
        <v>88.504999999999995</v>
      </c>
      <c r="O30" s="393">
        <f>N30/O27</f>
        <v>0.73060049023271401</v>
      </c>
    </row>
    <row r="31" spans="1:16">
      <c r="A31" s="279">
        <v>10</v>
      </c>
      <c r="N31" s="197" t="s">
        <v>1045</v>
      </c>
      <c r="O31" s="393"/>
    </row>
    <row r="32" spans="1:16">
      <c r="A32" s="279">
        <v>15</v>
      </c>
      <c r="N32" s="197">
        <v>117.5063</v>
      </c>
      <c r="O32" s="393">
        <f>N32/O27</f>
        <v>0.97000350698189208</v>
      </c>
    </row>
    <row r="33" spans="1:15">
      <c r="A33" s="279">
        <v>20</v>
      </c>
      <c r="N33" s="197" t="s">
        <v>1046</v>
      </c>
      <c r="O33" s="198"/>
    </row>
    <row r="34" spans="1:15" ht="15" thickBot="1">
      <c r="A34" s="279">
        <v>25</v>
      </c>
      <c r="N34" s="194">
        <v>0.4219</v>
      </c>
      <c r="O34" s="394">
        <f>N34/O27</f>
        <v>3.48274500682653E-3</v>
      </c>
    </row>
    <row r="35" spans="1:15">
      <c r="A35" s="279">
        <v>30</v>
      </c>
    </row>
    <row r="36" spans="1:15">
      <c r="A36" s="279" t="s">
        <v>531</v>
      </c>
    </row>
    <row r="37" spans="1:15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5">
      <c r="A38" s="279">
        <v>5</v>
      </c>
    </row>
    <row r="39" spans="1:15">
      <c r="A39" s="279">
        <v>10</v>
      </c>
    </row>
    <row r="40" spans="1:15">
      <c r="A40" s="279">
        <v>15</v>
      </c>
    </row>
    <row r="41" spans="1:15">
      <c r="A41" s="279">
        <v>20</v>
      </c>
    </row>
    <row r="42" spans="1:15">
      <c r="A42" s="279">
        <v>25</v>
      </c>
    </row>
    <row r="43" spans="1:15">
      <c r="A43" s="279">
        <v>30</v>
      </c>
    </row>
    <row r="44" spans="1:15">
      <c r="A44" s="279" t="s">
        <v>530</v>
      </c>
    </row>
    <row r="45" spans="1:15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5">
      <c r="A46" s="279">
        <v>5</v>
      </c>
    </row>
    <row r="47" spans="1:15">
      <c r="A47" s="279">
        <v>10</v>
      </c>
    </row>
    <row r="48" spans="1:15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4.4972482950220497E-4</v>
      </c>
      <c r="C55" s="346">
        <f t="shared" si="2"/>
        <v>6.5543131262626123E-3</v>
      </c>
      <c r="D55" s="346">
        <f t="shared" si="2"/>
        <v>5.9718058860071107E-3</v>
      </c>
      <c r="E55" s="346">
        <f t="shared" si="2"/>
        <v>4.6908657463379669E-3</v>
      </c>
      <c r="F55" s="346">
        <f t="shared" si="2"/>
        <v>3.4905033132121531E-3</v>
      </c>
      <c r="G55" s="346">
        <f t="shared" si="2"/>
        <v>0</v>
      </c>
      <c r="H55" s="346">
        <f t="shared" si="2"/>
        <v>1.0840593197767968E-5</v>
      </c>
      <c r="I55" s="346">
        <f t="shared" si="2"/>
        <v>3.3302223116610935E-3</v>
      </c>
    </row>
    <row r="56" spans="1:12">
      <c r="A56" s="279">
        <v>5</v>
      </c>
      <c r="B56" s="346">
        <f t="shared" ref="B56:I56" si="3">B6/(B$3*$O$24)</f>
        <v>0.11154528824189294</v>
      </c>
      <c r="C56" s="346">
        <f t="shared" si="3"/>
        <v>0.10887311221376073</v>
      </c>
      <c r="D56" s="346">
        <f t="shared" si="3"/>
        <v>0.1054019834653486</v>
      </c>
      <c r="E56" s="346">
        <f t="shared" si="3"/>
        <v>0.10127540987543579</v>
      </c>
      <c r="F56" s="346">
        <f t="shared" si="3"/>
        <v>0.12315686056959201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0.24571503346814058</v>
      </c>
      <c r="C57" s="346">
        <f t="shared" si="4"/>
        <v>0.24437897113600537</v>
      </c>
      <c r="D57" s="346">
        <f t="shared" si="4"/>
        <v>0.22476000289193288</v>
      </c>
      <c r="E57" s="346">
        <f t="shared" si="4"/>
        <v>0.21667919109982556</v>
      </c>
      <c r="F57" s="346">
        <f t="shared" si="4"/>
        <v>0.2711938321141189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0.4535601278028607</v>
      </c>
      <c r="C58" s="346">
        <f t="shared" si="5"/>
        <v>0.44421329105608415</v>
      </c>
      <c r="D58" s="346">
        <f t="shared" si="5"/>
        <v>0.41003729756301754</v>
      </c>
      <c r="E58" s="346">
        <f t="shared" si="5"/>
        <v>0.39559385294688981</v>
      </c>
      <c r="F58" s="346">
        <f t="shared" si="5"/>
        <v>0.50232528946105803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0.74033388475508122</v>
      </c>
      <c r="C59" s="346">
        <f t="shared" si="6"/>
        <v>0.73991842219545534</v>
      </c>
      <c r="D59" s="346">
        <f t="shared" si="6"/>
        <v>0.67132269533991784</v>
      </c>
      <c r="E59" s="346">
        <f t="shared" si="6"/>
        <v>0.64904203158858953</v>
      </c>
      <c r="F59" s="346">
        <f t="shared" si="6"/>
        <v>0.83768945348142321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1.0734393643591253</v>
      </c>
      <c r="C60" s="346">
        <f t="shared" si="7"/>
        <v>1.0568344114857287</v>
      </c>
      <c r="D60" s="346">
        <f t="shared" si="7"/>
        <v>0.96051121305191334</v>
      </c>
      <c r="E60" s="346">
        <f t="shared" si="7"/>
        <v>0.93994285260974442</v>
      </c>
      <c r="F60" s="346">
        <f t="shared" si="7"/>
        <v>1.2370872633202543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671</v>
      </c>
      <c r="B62" s="295">
        <f>(B70-B64)/(RADIANS(A70))</f>
        <v>-25.923991884660239</v>
      </c>
      <c r="C62" s="295">
        <f t="shared" ref="C62:E62" si="9">(C70-C64)/(RADIANS(B70))</f>
        <v>61.870832186722097</v>
      </c>
      <c r="D62" s="295">
        <f t="shared" si="9"/>
        <v>57.464222923080264</v>
      </c>
      <c r="E62" s="295">
        <f t="shared" si="9"/>
        <v>61.830246618482832</v>
      </c>
      <c r="F62" s="295">
        <f>(F70-F64)/(RADIANS(E70))</f>
        <v>82.703172945356016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672</v>
      </c>
      <c r="B63" s="295">
        <f>MEDIAN(B64:B70)</f>
        <v>1.537472027961903</v>
      </c>
      <c r="C63" s="295">
        <f t="shared" ref="C63:F63" si="10">MEDIAN(C64:C70)</f>
        <v>1.5527827631079538</v>
      </c>
      <c r="D63" s="295">
        <f t="shared" si="10"/>
        <v>1.3677421528367539</v>
      </c>
      <c r="E63" s="295">
        <f t="shared" si="10"/>
        <v>1.3224299208017252</v>
      </c>
      <c r="F63" s="295">
        <f t="shared" si="10"/>
        <v>1.696378736279931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1.2730613812315992</v>
      </c>
      <c r="C64" s="292">
        <f t="shared" si="11"/>
        <v>1.1724870705121322</v>
      </c>
      <c r="D64" s="292">
        <f t="shared" si="11"/>
        <v>1.1393859063065144</v>
      </c>
      <c r="E64" s="292">
        <f t="shared" si="11"/>
        <v>1.1067773489584718</v>
      </c>
      <c r="F64" s="292">
        <f t="shared" si="11"/>
        <v>1.3712754440990558</v>
      </c>
      <c r="G64" s="292">
        <f t="shared" si="11"/>
        <v>0</v>
      </c>
      <c r="H64" s="292">
        <f t="shared" si="11"/>
        <v>-1.242240475300667E-4</v>
      </c>
      <c r="I64" s="292">
        <f t="shared" si="11"/>
        <v>-3.8161536659696266E-2</v>
      </c>
      <c r="J64" s="292"/>
      <c r="K64" s="292"/>
      <c r="L64" s="292"/>
    </row>
    <row r="65" spans="1:12">
      <c r="A65" s="349">
        <v>5</v>
      </c>
      <c r="B65" s="292">
        <f t="shared" si="11"/>
        <v>1.537472027961903</v>
      </c>
      <c r="C65" s="292">
        <f t="shared" si="11"/>
        <v>1.5527827631079538</v>
      </c>
      <c r="D65" s="292">
        <f t="shared" si="11"/>
        <v>1.3677421528367539</v>
      </c>
      <c r="E65" s="292">
        <f t="shared" si="11"/>
        <v>1.3224299208017252</v>
      </c>
      <c r="F65" s="292">
        <f t="shared" si="11"/>
        <v>1.696378736279931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2.3817293395755841</v>
      </c>
      <c r="C66" s="292">
        <f t="shared" si="12"/>
        <v>2.2899326266575177</v>
      </c>
      <c r="D66" s="292">
        <f t="shared" si="12"/>
        <v>2.1231214048509699</v>
      </c>
      <c r="E66" s="292">
        <f t="shared" si="12"/>
        <v>2.050211003369415</v>
      </c>
      <c r="F66" s="292">
        <f t="shared" si="12"/>
        <v>2.648571403737523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3.2861851896945371</v>
      </c>
      <c r="C67" s="292">
        <f t="shared" si="13"/>
        <v>3.3885311989297011</v>
      </c>
      <c r="D67" s="292">
        <f t="shared" si="13"/>
        <v>2.994110108202658</v>
      </c>
      <c r="E67" s="292">
        <f t="shared" si="13"/>
        <v>2.9043021922894257</v>
      </c>
      <c r="F67" s="292">
        <f t="shared" si="13"/>
        <v>3.8429902396600037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3.8171076227985705</v>
      </c>
      <c r="C68" s="292">
        <f t="shared" si="14"/>
        <v>3.6315897293091717</v>
      </c>
      <c r="D68" s="292">
        <f t="shared" si="14"/>
        <v>3.3138563097083193</v>
      </c>
      <c r="E68" s="292">
        <f t="shared" si="14"/>
        <v>3.3334778602805426</v>
      </c>
      <c r="F68" s="292">
        <f t="shared" si="14"/>
        <v>4.5767617701067298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-12.300709028196737</v>
      </c>
      <c r="C69" s="292">
        <f t="shared" ref="C69:I69" si="15">(C61-C60)/(RADIANS($A61-$A60))</f>
        <v>-12.110430284464885</v>
      </c>
      <c r="D69" s="292">
        <f t="shared" si="15"/>
        <v>-11.006647736573134</v>
      </c>
      <c r="E69" s="292">
        <f t="shared" si="15"/>
        <v>-10.770951687605111</v>
      </c>
      <c r="F69" s="292">
        <f t="shared" si="15"/>
        <v>-14.175975815527941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-12.300709028196737</v>
      </c>
      <c r="C70" s="292">
        <f t="shared" ref="C70:I70" si="16">IF($A70=30,C69,0)</f>
        <v>-12.110430284464885</v>
      </c>
      <c r="D70" s="292">
        <f t="shared" si="16"/>
        <v>-11.006647736573134</v>
      </c>
      <c r="E70" s="292">
        <f t="shared" si="16"/>
        <v>-10.770951687605111</v>
      </c>
      <c r="F70" s="292">
        <f t="shared" si="16"/>
        <v>-14.175975815527941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675</v>
      </c>
    </row>
    <row r="72" spans="1:12">
      <c r="A72" s="279">
        <v>0</v>
      </c>
      <c r="B72" s="280">
        <f t="shared" ref="B72:I72" si="17">B13/(B$3*$O$24)</f>
        <v>1.7339625784115801E-3</v>
      </c>
      <c r="C72" s="280">
        <f t="shared" si="17"/>
        <v>1.5683028601156284E-3</v>
      </c>
      <c r="D72" s="280">
        <f t="shared" si="17"/>
        <v>1.087682425708644E-4</v>
      </c>
      <c r="E72" s="280">
        <f t="shared" si="17"/>
        <v>7.226984975986902E-5</v>
      </c>
      <c r="F72" s="280">
        <f t="shared" si="17"/>
        <v>1.7222118548723391E-5</v>
      </c>
      <c r="G72" s="280">
        <f t="shared" si="17"/>
        <v>0</v>
      </c>
      <c r="H72" s="280">
        <f t="shared" si="17"/>
        <v>7.4726904486683199E-5</v>
      </c>
      <c r="I72" s="280">
        <f t="shared" si="17"/>
        <v>1.5952223208189821E-3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673</v>
      </c>
      <c r="B79" s="295">
        <f>(B87-B81)/(RADIANS(A87))</f>
        <v>3.7948422420615149E-2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674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-1.9869747515321123E-2</v>
      </c>
      <c r="C81" s="292">
        <f t="shared" si="18"/>
        <v>-1.7971426976584288E-2</v>
      </c>
      <c r="D81" s="292">
        <f t="shared" si="18"/>
        <v>-1.2463922488731402E-3</v>
      </c>
      <c r="E81" s="292">
        <f t="shared" si="18"/>
        <v>-8.2815147545700814E-4</v>
      </c>
      <c r="F81" s="292">
        <f t="shared" si="18"/>
        <v>-1.9735094142316414E-4</v>
      </c>
      <c r="G81" s="292">
        <f t="shared" si="18"/>
        <v>0</v>
      </c>
      <c r="H81" s="292">
        <f t="shared" si="18"/>
        <v>-8.5630724863283258E-4</v>
      </c>
      <c r="I81" s="292">
        <f t="shared" si="18"/>
        <v>-1.8279901273598374E-2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0.16992212316030433</v>
      </c>
      <c r="C89" s="280">
        <f t="shared" si="30"/>
        <v>0.16814796492033704</v>
      </c>
      <c r="D89" s="280">
        <f t="shared" si="30"/>
        <v>0.15838983319514832</v>
      </c>
      <c r="E89" s="280">
        <f t="shared" si="30"/>
        <v>0.1424306832032837</v>
      </c>
      <c r="F89" s="280">
        <f t="shared" si="30"/>
        <v>0.23106642047729289</v>
      </c>
      <c r="G89" s="280">
        <f t="shared" si="30"/>
        <v>0</v>
      </c>
      <c r="H89" s="280">
        <f t="shared" si="30"/>
        <v>0.38882367401847384</v>
      </c>
      <c r="I89" s="280">
        <f t="shared" si="30"/>
        <v>0.52601734738215689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673</v>
      </c>
      <c r="B96" s="295">
        <f>(B104-B98)/(RADIANS(A104))</f>
        <v>3.7188094994541649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674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-1.9471641005975233</v>
      </c>
      <c r="C98" s="292">
        <f t="shared" si="31"/>
        <v>-1.9268337447298265</v>
      </c>
      <c r="D98" s="292">
        <f t="shared" si="31"/>
        <v>-1.8150137919726212</v>
      </c>
      <c r="E98" s="292">
        <f t="shared" si="31"/>
        <v>-1.6321354041426042</v>
      </c>
      <c r="F98" s="292">
        <f t="shared" si="31"/>
        <v>-2.6478261361088289</v>
      </c>
      <c r="G98" s="292">
        <f t="shared" si="31"/>
        <v>0</v>
      </c>
      <c r="H98" s="292">
        <f t="shared" si="31"/>
        <v>-4.4555910992058143</v>
      </c>
      <c r="I98" s="292">
        <f t="shared" si="31"/>
        <v>-6.0277147911328983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51" t="s">
        <v>539</v>
      </c>
      <c r="B1" s="451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676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51" t="s">
        <v>540</v>
      </c>
      <c r="B6" s="451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52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52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52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R123"/>
  <sheetViews>
    <sheetView topLeftCell="A35" zoomScale="70" zoomScaleNormal="70" workbookViewId="0">
      <selection activeCell="Q21" sqref="Q21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53"/>
      <c r="C5" s="453"/>
      <c r="D5" s="453"/>
      <c r="E5" s="453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571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68E7BC2-F321-40DF-9B42-F1013A1B7A85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17</vt:i4>
      </vt:variant>
    </vt:vector>
  </HeadingPairs>
  <TitlesOfParts>
    <vt:vector size="32" baseType="lpstr">
      <vt:lpstr>Manual rev.1</vt:lpstr>
      <vt:lpstr>Statistics</vt:lpstr>
      <vt:lpstr>Geometry</vt:lpstr>
      <vt:lpstr>Forces balance</vt:lpstr>
      <vt:lpstr>SimpleCompositesV1</vt:lpstr>
      <vt:lpstr>RocketAeroDesign 3.0 </vt:lpstr>
      <vt:lpstr>FinAeroDesign 2.0</vt:lpstr>
      <vt:lpstr>CFD forebody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Sbending</vt:lpstr>
      <vt:lpstr>ScuComp</vt:lpstr>
      <vt:lpstr>ScyComp</vt:lpstr>
      <vt:lpstr>SsyComp</vt:lpstr>
      <vt:lpstr>StyComp</vt:lpstr>
      <vt:lpstr>tubeZ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2025-09-27T19:29:41Z</cp:lastPrinted>
  <dcterms:created xsi:type="dcterms:W3CDTF">2024-07-02T19:27:32Z</dcterms:created>
  <dcterms:modified xsi:type="dcterms:W3CDTF">2025-10-03T06:44:32Z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