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D8172D6B-6BCD-4C21-B5E0-C6D8E27D45FC}" xr6:coauthVersionLast="47" xr6:coauthVersionMax="47" xr10:uidLastSave="{00000000-0000-0000-0000-000000000000}"/>
  <bookViews>
    <workbookView xWindow="28680" yWindow="1770" windowWidth="29040" windowHeight="1572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0" i="25" l="1"/>
  <c r="D234" i="25" s="1"/>
  <c r="D231" i="25" l="1"/>
  <c r="D235" i="25" s="1"/>
  <c r="C304" i="25"/>
  <c r="C306" i="25" l="1"/>
  <c r="Q223" i="25" l="1"/>
  <c r="Q224" i="25" s="1"/>
  <c r="P223" i="25"/>
  <c r="P224" i="25" s="1"/>
  <c r="S213" i="25"/>
  <c r="S215" i="25" s="1"/>
  <c r="R221" i="25" s="1"/>
  <c r="N218" i="25"/>
  <c r="N221" i="25" s="1"/>
  <c r="S220" i="25" s="1"/>
  <c r="N216" i="25"/>
  <c r="N217" i="25" s="1"/>
  <c r="N220" i="25" s="1"/>
  <c r="C301" i="25"/>
  <c r="C302" i="25"/>
  <c r="C303" i="25"/>
  <c r="C305" i="25"/>
  <c r="C296" i="25"/>
  <c r="C297" i="25"/>
  <c r="C298" i="25"/>
  <c r="C299" i="25"/>
  <c r="C300" i="25"/>
  <c r="C295" i="25"/>
  <c r="I94" i="25"/>
  <c r="I85" i="25"/>
  <c r="I90" i="25" s="1"/>
  <c r="F202" i="25"/>
  <c r="G192" i="25"/>
  <c r="F192" i="25"/>
  <c r="D191" i="25"/>
  <c r="H22" i="25"/>
  <c r="H31" i="25"/>
  <c r="H29" i="25"/>
  <c r="H165" i="25"/>
  <c r="H164" i="25" s="1"/>
  <c r="G172" i="25" s="1"/>
  <c r="S221" i="25" l="1"/>
  <c r="Q228" i="25"/>
  <c r="C308" i="25"/>
  <c r="I93" i="25"/>
  <c r="I95" i="25" s="1"/>
  <c r="D92" i="25" s="1"/>
  <c r="H163" i="25"/>
  <c r="B161" i="25" s="1"/>
  <c r="C14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07" i="25" l="1"/>
  <c r="D108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50" i="25"/>
  <c r="B52" i="25"/>
  <c r="D89" i="25"/>
  <c r="D93" i="25" s="1"/>
  <c r="D94" i="25" s="1"/>
  <c r="D88" i="25"/>
  <c r="D84" i="25"/>
  <c r="F26" i="25"/>
  <c r="J28" i="25"/>
  <c r="D53" i="25"/>
  <c r="D50" i="25"/>
  <c r="E50" i="25" s="1"/>
  <c r="D90" i="25" l="1"/>
  <c r="D40" i="25"/>
  <c r="D37" i="25"/>
  <c r="B108" i="25"/>
  <c r="B107" i="25" s="1"/>
  <c r="C124" i="25" s="1"/>
  <c r="B132" i="25"/>
  <c r="I108" i="25"/>
  <c r="D122" i="25" s="1"/>
  <c r="B125" i="25" s="1"/>
  <c r="B53" i="25"/>
  <c r="J29" i="25"/>
  <c r="C55" i="25"/>
  <c r="C46" i="25"/>
  <c r="C45" i="25"/>
  <c r="D45" i="25" s="1"/>
  <c r="D39" i="25" s="1"/>
  <c r="D38" i="25" s="1"/>
  <c r="E55" i="25" s="1"/>
  <c r="C44" i="25"/>
  <c r="L137" i="25"/>
  <c r="M137" i="25" s="1"/>
  <c r="M138" i="25" s="1"/>
  <c r="L126" i="25"/>
  <c r="L124" i="25"/>
  <c r="L128" i="25"/>
  <c r="M128" i="25"/>
  <c r="I87" i="25"/>
  <c r="I89" i="25"/>
  <c r="D28" i="25"/>
  <c r="B44" i="25" s="1"/>
  <c r="H34" i="25"/>
  <c r="H38" i="25" s="1"/>
  <c r="H39" i="25" s="1"/>
  <c r="D34" i="25"/>
  <c r="D178" i="25" l="1"/>
  <c r="D181" i="25" s="1"/>
  <c r="D182" i="25" s="1"/>
  <c r="D183" i="25" s="1"/>
  <c r="D185" i="25" s="1"/>
  <c r="I190" i="25"/>
  <c r="I191" i="25"/>
  <c r="I188" i="25"/>
  <c r="I189" i="25"/>
  <c r="D203" i="25"/>
  <c r="D206" i="25" s="1"/>
  <c r="D208" i="25" s="1"/>
  <c r="D189" i="25"/>
  <c r="D192" i="25" s="1"/>
  <c r="D194" i="25" s="1"/>
  <c r="D196" i="25"/>
  <c r="D199" i="25" s="1"/>
  <c r="D201" i="25" s="1"/>
  <c r="D116" i="25"/>
  <c r="D119" i="25" s="1"/>
  <c r="D175" i="25" s="1"/>
  <c r="D179" i="25"/>
  <c r="D180" i="25" s="1"/>
  <c r="D124" i="25"/>
  <c r="D111" i="25"/>
  <c r="D172" i="25" s="1"/>
  <c r="D168" i="25"/>
  <c r="D169" i="25"/>
  <c r="D125" i="25"/>
  <c r="C125" i="25"/>
  <c r="D112" i="25"/>
  <c r="F112" i="25"/>
  <c r="B126" i="25"/>
  <c r="C53" i="25"/>
  <c r="D30" i="25"/>
  <c r="B45" i="25" s="1"/>
  <c r="B61" i="25"/>
  <c r="B60" i="25"/>
  <c r="D44" i="25"/>
  <c r="D36" i="25" s="1"/>
  <c r="D35" i="25"/>
  <c r="N37" i="16"/>
  <c r="D132" i="25" l="1"/>
  <c r="D113" i="25"/>
  <c r="D114" i="25" s="1"/>
  <c r="D115" i="25" s="1"/>
  <c r="D118" i="25" s="1"/>
  <c r="F113" i="25"/>
  <c r="I192" i="25"/>
  <c r="I193" i="25" s="1"/>
  <c r="G179" i="25" s="1"/>
  <c r="C132" i="25"/>
  <c r="C126" i="25"/>
  <c r="D126" i="25"/>
  <c r="B127" i="25"/>
  <c r="B59" i="25"/>
  <c r="D55" i="25"/>
  <c r="C24" i="16"/>
  <c r="C28" i="16" s="1"/>
  <c r="N41" i="16"/>
  <c r="L41" i="16" s="1"/>
  <c r="L36" i="16"/>
  <c r="N36" i="16" s="1"/>
  <c r="G269" i="25"/>
  <c r="I269" i="25"/>
  <c r="G270" i="25"/>
  <c r="I270" i="25"/>
  <c r="G271" i="25"/>
  <c r="I271" i="25"/>
  <c r="G272" i="25"/>
  <c r="I272" i="25"/>
  <c r="G273" i="25"/>
  <c r="I273" i="25"/>
  <c r="G274" i="25"/>
  <c r="I274" i="25"/>
  <c r="G275" i="25"/>
  <c r="I275" i="25"/>
  <c r="G276" i="25"/>
  <c r="I276" i="25"/>
  <c r="G277" i="25"/>
  <c r="I277" i="25"/>
  <c r="I268" i="25"/>
  <c r="G268" i="25"/>
  <c r="D271" i="25"/>
  <c r="H271" i="25" s="1"/>
  <c r="D272" i="25"/>
  <c r="H272" i="25" s="1"/>
  <c r="D273" i="25"/>
  <c r="H273" i="25" s="1"/>
  <c r="D274" i="25"/>
  <c r="H274" i="25" s="1"/>
  <c r="D275" i="25"/>
  <c r="H275" i="25" s="1"/>
  <c r="D276" i="25"/>
  <c r="H276" i="25" s="1"/>
  <c r="D277" i="25"/>
  <c r="H277" i="25" s="1"/>
  <c r="D269" i="25"/>
  <c r="H269" i="25" s="1"/>
  <c r="D270" i="25"/>
  <c r="H270" i="25" s="1"/>
  <c r="D268" i="25"/>
  <c r="H26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117" i="25" l="1"/>
  <c r="D170" i="25"/>
  <c r="D171" i="25" s="1"/>
  <c r="D173" i="25" s="1"/>
  <c r="D174" i="25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128" i="25" l="1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J55" i="24" l="1"/>
  <c r="J57" i="24" s="1"/>
  <c r="C24" i="24"/>
  <c r="C129" i="25"/>
  <c r="D129" i="25"/>
  <c r="B13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30" i="25" l="1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31" i="25" l="1"/>
  <c r="D131" i="25"/>
  <c r="B13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136" i="24" l="1"/>
  <c r="D147" i="24" s="1"/>
  <c r="C133" i="25"/>
  <c r="D133" i="25"/>
  <c r="B13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G108" i="17" l="1"/>
  <c r="I109" i="17"/>
  <c r="K100" i="17"/>
  <c r="C138" i="25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9" i="25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1" i="25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G144" i="24" l="1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5" i="17" l="1"/>
  <c r="F213" i="17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66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<sst xmlns="http://schemas.openxmlformats.org/spreadsheetml/2006/main" count="1566" uniqueCount="994">
  <si>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</si>
  <si>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</si>
  <si>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</si>
  <si>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</si>
  <si>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</si>
  <si>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</si>
  <si>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</si>
  <si>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</si>
  <si>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</si>
  <si>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</si>
  <si>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</si>
  <si>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</si>
  <si>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</si>
  <si>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</si>
  <si>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</si>
  <si>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</si>
  <si>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</si>
  <si>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</si>
  <si>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</si>
  <si>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</si>
  <si>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</si>
  <si>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</si>
  <si>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</si>
  <si>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</si>
  <si>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</si>
  <si>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</si>
  <si>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</si>
  <si>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</si>
  <si>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</si>
  <si>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</si>
  <si>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</si>
  <si>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</si>
  <si>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</si>
  <si>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</si>
  <si>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</si>
  <si>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</si>
  <si>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</si>
  <si>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</si>
  <si>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</si>
  <si>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</si>
  <si>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</si>
  <si>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</si>
  <si>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</si>
  <si>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</si>
  <si>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</si>
  <si>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</si>
  <si>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</si>
  <si>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</si>
  <si>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</si>
  <si>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</si>
  <si>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</si>
  <si>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</si>
  <si>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</si>
  <si>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</si>
  <si>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</si>
  <si>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</si>
  <si>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</si>
  <si>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</si>
  <si>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</si>
  <si>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</si>
  <si>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</si>
  <si>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</si>
  <si>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</si>
  <si>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</si>
  <si>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</si>
  <si>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</si>
  <si>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</si>
  <si>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</si>
  <si>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</si>
  <si>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</si>
  <si>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</si>
  <si>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</si>
  <si>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</si>
  <si>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</si>
  <si>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</si>
  <si>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</si>
  <si>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</si>
  <si>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</si>
  <si>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</si>
  <si>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</si>
  <si>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</si>
  <si>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</si>
  <si>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</si>
  <si>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</si>
  <si>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</si>
  <si>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</si>
  <si>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</si>
  <si>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</si>
  <si>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</si>
  <si>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</si>
  <si>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</si>
  <si>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</si>
  <si>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</si>
  <si>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</si>
  <si>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</si>
  <si>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</si>
  <si>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</si>
  <si>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</si>
  <si>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</si>
  <si>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</si>
  <si>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</si>
  <si>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</si>
  <si>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</si>
  <si>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</si>
  <si>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</si>
  <si>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</si>
  <si>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</si>
  <si>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</si>
  <si>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</si>
  <si>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</si>
  <si>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</si>
  <si>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</si>
  <si>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</si>
  <si>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</si>
  <si>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</si>
  <si>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</si>
  <si>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</si>
  <si>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</si>
  <si>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</si>
  <si>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</si>
  <si>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</si>
  <si>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</si>
  <si>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</si>
  <si>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</si>
  <si>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</si>
  <si>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</si>
  <si>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</si>
  <si>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</si>
  <si>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</si>
  <si>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</si>
  <si>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</si>
  <si>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</si>
  <si>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</si>
  <si>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</si>
  <si>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</si>
  <si>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</si>
  <si>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</si>
  <si>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</si>
  <si>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</si>
  <si>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</si>
  <si>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</si>
  <si>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</si>
  <si>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</si>
  <si>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</si>
  <si>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</si>
  <si>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</si>
  <si>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</si>
  <si>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</si>
  <si>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</si>
  <si>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</si>
  <si>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</si>
  <si>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</si>
  <si>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</si>
  <si>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</si>
  <si>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</si>
  <si>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</si>
  <si>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</si>
  <si>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</si>
  <si>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</si>
  <si>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</si>
  <si>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</si>
  <si>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</si>
  <si>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</si>
  <si>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</si>
  <si>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</si>
  <si>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</si>
  <si>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</si>
  <si>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</si>
  <si>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</si>
  <si>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</si>
  <si>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</si>
  <si>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</si>
  <si>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</si>
  <si>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</si>
  <si>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</si>
  <si>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</si>
  <si>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</si>
  <si>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</si>
  <si>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</si>
  <si>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</si>
  <si>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</si>
  <si>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</si>
  <si>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</si>
  <si>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</si>
  <si>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</si>
  <si>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</si>
  <si>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</si>
  <si>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</si>
  <si>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</si>
  <si>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</si>
  <si>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</si>
  <si>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</si>
  <si>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</si>
  <si>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</si>
  <si>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</si>
  <si>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</si>
  <si>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</si>
  <si>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</si>
  <si>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</si>
  <si>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</si>
  <si>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</si>
  <si>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</si>
  <si>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</si>
  <si>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</si>
  <si>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</si>
  <si>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</si>
  <si>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</si>
  <si>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</si>
  <si>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</si>
  <si>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</si>
  <si>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</si>
  <si>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</si>
  <si>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</si>
  <si>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</si>
  <si>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</si>
  <si>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</si>
  <si>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</si>
  <si>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</si>
  <si>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</si>
  <si>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</si>
  <si>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</si>
  <si>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</si>
  <si>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</si>
  <si>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</si>
  <si>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</si>
  <si>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</si>
  <si>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</si>
  <si>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</si>
  <si>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</si>
  <si>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</si>
  <si>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</si>
  <si>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</si>
  <si>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</si>
  <si>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</si>
  <si>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</si>
  <si>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</si>
  <si>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</si>
  <si>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</si>
  <si>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</si>
  <si>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</si>
  <si>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</si>
  <si>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</si>
  <si>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</si>
  <si>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</si>
  <si>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</si>
  <si>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</si>
  <si>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</si>
  <si>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</si>
  <si>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</si>
  <si>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</si>
  <si>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</si>
  <si>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</si>
  <si>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</si>
  <si>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</si>
  <si>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</si>
  <si>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</si>
  <si>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</si>
  <si>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</si>
  <si>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</si>
  <si>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</si>
  <si>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</si>
  <si>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</si>
  <si>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</si>
  <si>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</si>
  <si>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</si>
  <si>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</si>
  <si>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</si>
  <si>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</si>
  <si>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</si>
  <si>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</si>
  <si>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</si>
  <si>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</si>
  <si>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</si>
  <si>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</si>
  <si>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</si>
  <si>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</si>
  <si>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</si>
  <si>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</si>
  <si>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</si>
  <si>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</si>
  <si>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</si>
  <si>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</si>
  <si>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</si>
  <si>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</si>
  <si>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</si>
  <si>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</si>
  <si>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</si>
  <si>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</si>
  <si>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</si>
  <si>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</si>
  <si>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</si>
  <si>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</si>
  <si>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</si>
  <si>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</si>
  <si>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</si>
  <si>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</si>
  <si>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</si>
  <si>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</si>
  <si>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</si>
  <si>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</si>
  <si>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</si>
  <si>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</si>
  <si>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</si>
  <si>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</si>
  <si>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</si>
  <si>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</si>
  <si>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</si>
  <si>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</si>
  <si>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</si>
  <si>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</si>
  <si>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</si>
  <si>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</si>
  <si>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</si>
  <si>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</si>
  <si>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</si>
  <si>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</si>
  <si>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</si>
  <si>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</si>
  <si>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</si>
  <si>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</si>
  <si>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</si>
  <si>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</si>
  <si>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</si>
  <si>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</si>
  <si>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</si>
  <si>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</si>
  <si>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</si>
  <si>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</si>
  <si>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</si>
  <si>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</si>
  <si>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</si>
  <si>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</si>
  <si>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</si>
  <si>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</si>
  <si>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</si>
  <si>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</si>
  <si>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</si>
  <si>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</si>
  <si>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</si>
  <si>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</si>
  <si>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</si>
  <si>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</si>
  <si>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</si>
  <si>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</si>
  <si>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</si>
  <si>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</si>
  <si>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</si>
  <si>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</si>
  <si>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</si>
  <si>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</si>
  <si>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</si>
  <si>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</si>
  <si>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</si>
  <si>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</si>
  <si>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</si>
  <si>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</si>
  <si>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</si>
  <si>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</si>
  <si>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</si>
  <si>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</si>
  <si>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</si>
  <si>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</si>
  <si>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</si>
  <si>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</si>
  <si>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</si>
  <si>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</si>
  <si>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</si>
  <si>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</si>
  <si>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</si>
  <si>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</si>
  <si>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</si>
  <si>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</si>
  <si>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</si>
  <si>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</si>
  <si>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</si>
  <si>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</si>
  <si>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</si>
  <si>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</si>
  <si>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</si>
  <si>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</si>
  <si>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</si>
  <si>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</si>
  <si>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</si>
  <si>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</si>
  <si>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</si>
  <si>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</si>
  <si>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</si>
  <si>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</si>
  <si>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</si>
  <si>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</si>
  <si>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</si>
  <si>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</si>
  <si>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</si>
  <si>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</si>
  <si>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</si>
  <si>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</si>
  <si>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</si>
  <si>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</si>
  <si>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</si>
  <si>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</si>
  <si>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</si>
  <si>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</si>
  <si>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</si>
  <si>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</si>
  <si>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</si>
  <si>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</si>
  <si>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</si>
  <si>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</si>
  <si>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</si>
  <si>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</si>
  <si>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</si>
  <si>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</si>
  <si>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</si>
  <si>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</si>
  <si>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</si>
  <si>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</si>
  <si>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</si>
  <si>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</si>
  <si>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</si>
  <si>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</si>
  <si>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</si>
  <si>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</si>
  <si>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</si>
  <si>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</si>
  <si>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</si>
  <si>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</si>
  <si>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</si>
  <si>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</si>
  <si>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</si>
  <si>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</si>
  <si>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</si>
  <si>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</si>
  <si>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</si>
  <si>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</si>
  <si>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</si>
  <si>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</si>
  <si>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</si>
  <si>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</si>
  <si>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</si>
  <si>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</si>
  <si>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</si>
  <si>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</si>
  <si>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</si>
  <si>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</si>
  <si>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</si>
  <si>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</si>
  <si>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</si>
  <si>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</si>
  <si>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</si>
  <si>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</si>
  <si>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</si>
  <si>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</si>
  <si>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</si>
  <si>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</si>
  <si>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</si>
  <si>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</si>
  <si>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</si>
  <si>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</si>
  <si>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</si>
  <si>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</si>
  <si>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</si>
  <si>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</si>
  <si>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</si>
  <si>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</si>
  <si>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</si>
  <si>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</si>
  <si>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</si>
  <si>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</si>
  <si>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</si>
  <si>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</si>
  <si>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</si>
  <si>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</si>
  <si>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</si>
  <si>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</si>
  <si>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</si>
  <si>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</si>
  <si>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</si>
  <si>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</si>
  <si>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</si>
  <si>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</si>
  <si>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</si>
  <si>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</si>
  <si>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</si>
  <si>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</si>
  <si>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</si>
  <si>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</si>
  <si>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</si>
  <si>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</si>
  <si>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</si>
  <si>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</si>
  <si>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</si>
  <si>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</si>
  <si>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</si>
  <si>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</si>
  <si>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</si>
  <si>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</si>
  <si>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</si>
  <si>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</si>
  <si>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</si>
  <si>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</si>
  <si>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</si>
  <si>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</si>
  <si>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</si>
  <si>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</si>
  <si>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</si>
  <si>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</si>
  <si>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</si>
  <si>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</si>
  <si>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</si>
  <si>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</si>
  <si>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</si>
  <si>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</si>
  <si>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</si>
  <si>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</si>
  <si>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</si>
  <si>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</si>
  <si>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</si>
  <si>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</si>
  <si>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</si>
  <si>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</si>
  <si>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</si>
  <si>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</si>
  <si>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</si>
  <si>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</si>
  <si>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</si>
  <si>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</si>
  <si>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</si>
  <si>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</si>
  <si>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</si>
  <si>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</si>
  <si>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</si>
  <si>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</si>
  <si>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</si>
  <si>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</si>
  <si>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</si>
  <si>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</si>
  <si>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</si>
  <si>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</si>
  <si>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</si>
  <si>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</si>
  <si>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</si>
  <si>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</si>
  <si>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</si>
  <si>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</si>
  <si>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</si>
  <si>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</si>
  <si>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</si>
  <si>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</si>
  <si>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</si>
  <si>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</si>
  <si>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</si>
  <si>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</si>
  <si>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</si>
  <si>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</si>
  <si>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</si>
  <si>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</si>
  <si>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</si>
  <si>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</si>
  <si>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</si>
  <si>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</si>
  <si>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</si>
  <si>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</si>
  <si>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</si>
  <si>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</si>
  <si>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</si>
  <si>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</si>
  <si>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</si>
  <si>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</si>
  <si>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</si>
  <si>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</si>
  <si>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</si>
  <si>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</si>
  <si>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</si>
  <si>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</si>
  <si>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</si>
  <si>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</si>
  <si>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</si>
  <si>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</si>
  <si>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</si>
  <si>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</si>
  <si>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</si>
  <si>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</si>
  <si>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</si>
  <si>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</si>
  <si>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</si>
  <si>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</si>
  <si>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</si>
  <si>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</si>
  <si>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</si>
  <si>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</si>
  <si>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</si>
  <si>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</si>
  <si>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</si>
  <si>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</si>
  <si>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</si>
  <si>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</si>
  <si>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</si>
  <si>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</si>
  <si>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</si>
  <si>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</si>
  <si>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</si>
  <si>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</si>
  <si>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</si>
  <si>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</si>
  <si>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</si>
  <si>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</si>
  <si>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</si>
  <si>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</si>
  <si>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</si>
  <si>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</si>
  <si>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</si>
  <si>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</si>
  <si>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</si>
  <si>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</si>
  <si>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</si>
  <si>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</si>
  <si>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</si>
  <si>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</si>
  <si>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</si>
  <si>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</si>
  <si>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</si>
  <si>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</si>
  <si>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</si>
  <si>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</si>
  <si>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</si>
  <si>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</si>
  <si>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</si>
  <si>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</si>
  <si>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</si>
  <si>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</si>
  <si>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</si>
  <si>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</si>
  <si>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</si>
  <si>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</si>
  <si>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</si>
  <si>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</si>
  <si>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</si>
  <si>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</si>
  <si>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</si>
  <si>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</si>
  <si>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</si>
  <si>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</si>
  <si>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</si>
  <si>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</si>
  <si>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</si>
  <si>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</si>
  <si>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</si>
  <si>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</si>
  <si>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</si>
  <si>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</si>
  <si>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</si>
  <si>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</si>
  <si>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</si>
  <si>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</si>
  <si>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</si>
  <si>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</si>
  <si>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</si>
  <si>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</si>
  <si>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</si>
  <si>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</si>
  <si>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</si>
  <si>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</si>
  <si>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</si>
  <si>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</si>
  <si>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</si>
  <si>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</si>
  <si>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</si>
  <si>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</si>
  <si>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</si>
  <si>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</si>
  <si>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</si>
  <si>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</si>
  <si>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</si>
  <si>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</si>
  <si>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</si>
  <si>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</si>
  <si>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</si>
  <si>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</si>
  <si>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</si>
  <si>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</si>
  <si>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</si>
  <si>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</si>
  <si>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</si>
  <si>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</si>
  <si>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</si>
  <si>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</si>
  <si>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</si>
  <si>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</si>
  <si>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</si>
  <si>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</si>
  <si>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</si>
  <si>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</si>
  <si>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</si>
  <si>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</si>
  <si>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</si>
  <si>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</si>
  <si>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</si>
  <si>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</si>
  <si>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</si>
  <si>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</si>
  <si>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</si>
  <si>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</si>
  <si>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</si>
  <si>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</si>
  <si>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</si>
  <si>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</si>
  <si>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</si>
  <si>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</si>
  <si>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</si>
  <si>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</si>
  <si>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</si>
  <si>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</si>
  <si>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</si>
  <si>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</si>
  <si>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</si>
  <si>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</si>
  <si>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</si>
  <si>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</si>
  <si>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</si>
  <si>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</si>
  <si>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</si>
  <si>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</si>
  <si>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</si>
  <si>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</si>
  <si>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</si>
  <si>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</si>
  <si>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</si>
  <si>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</si>
  <si>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</si>
  <si>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</si>
  <si>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</si>
  <si>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</si>
  <si>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</si>
  <si>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</si>
  <si>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</si>
  <si>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</si>
  <si>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</si>
  <si>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</si>
  <si>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</si>
  <si>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</si>
  <si>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</si>
  <si>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</si>
  <si>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</si>
  <si>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</si>
  <si>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</si>
  <si>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</si>
  <si>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</si>
  <si>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</si>
  <si>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</si>
  <si>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</si>
  <si>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</si>
  <si>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</si>
  <si>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</si>
  <si>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</si>
  <si>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</si>
  <si>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</si>
  <si>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</si>
  <si>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</si>
  <si>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</si>
  <si>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</si>
  <si>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</si>
  <si>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</si>
  <si>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</si>
  <si>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</si>
  <si>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</si>
  <si>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</si>
  <si>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</si>
  <si>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</si>
  <si>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</si>
  <si>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</si>
  <si>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</si>
  <si>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</si>
  <si>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</si>
  <si>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</si>
  <si>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</si>
  <si>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</si>
  <si>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Rocket motor thrust in bulkhead and rocket base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</si>
  <si>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</si>
  <si>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</si>
  <si>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</si>
  <si>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</si>
  <si>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</si>
  <si>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</si>
  <si>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</si>
  <si>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</si>
  <si>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</si>
  <si>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</si>
  <si>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</si>
  <si>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</si>
  <si>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</si>
  <si>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</si>
  <si>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</si>
  <si>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</si>
  <si>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</si>
  <si>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</si>
  <si>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</si>
  <si>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</si>
  <si>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</si>
  <si>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</si>
  <si>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</si>
  <si>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</si>
  <si>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</si>
  <si>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</si>
  <si>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</si>
  <si>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</si>
  <si>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</si>
  <si>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</si>
  <si>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</si>
  <si>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</si>
  <si>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</si>
  <si>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</si>
  <si>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</si>
  <si>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</si>
  <si>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</si>
  <si>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</si>
  <si>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</si>
  <si>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</si>
  <si>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</si>
  <si>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</si>
  <si>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</si>
  <si>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</si>
  <si>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</si>
  <si>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</si>
  <si>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</si>
  <si>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</si>
  <si>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</si>
  <si>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</si>
  <si>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</si>
  <si>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</si>
  <si>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</si>
  <si>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</si>
  <si>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</si>
  <si>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</si>
  <si>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</si>
  <si>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</si>
  <si>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</si>
  <si>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</si>
  <si>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</si>
  <si>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</si>
  <si>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</si>
  <si>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</si>
  <si>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</si>
  <si>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</si>
  <si>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</si>
  <si>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</si>
  <si>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</si>
  <si>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</si>
  <si>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</si>
  <si>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</si>
  <si>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</si>
  <si>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</si>
  <si>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</si>
  <si>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</si>
  <si>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</si>
  <si>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</si>
  <si>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</si>
  <si>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</si>
  <si>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</si>
  <si>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</si>
  <si>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</si>
  <si>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</si>
  <si>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</si>
  <si>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</si>
  <si>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</si>
  <si>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</si>
  <si>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 xml:space="preserve">The loads used were on "worst-case" according to dynamic and CFD simulations </t>
  </si>
  <si>
    <t>Location/Distance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</si>
  <si>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</si>
  <si>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</si>
  <si>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</si>
  <si>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</si>
  <si>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</si>
  <si>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</si>
  <si>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</si>
  <si>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</si>
  <si>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</si>
  <si>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</si>
  <si>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</si>
  <si>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Gmax:</t>
  </si>
  <si>
    <t>MaxMass</t>
  </si>
  <si>
    <t>Dry mass</t>
  </si>
  <si>
    <t>mass grain</t>
  </si>
  <si>
    <t>Max acc</t>
  </si>
  <si>
    <t>Gs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</si>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</sst>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8" fillId="22" borderId="0" xfId="0" applyFont="1" applyFill="1"/>
    <xf numFmtId="2" fontId="0" fillId="0" borderId="34" xfId="0" applyNumberFormat="1" applyBorder="1"/>
    <xf numFmtId="0" fontId="30" fillId="0" borderId="34" xfId="0" applyFont="1" applyBorder="1"/>
    <xf numFmtId="0" fontId="31" fillId="0" borderId="34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/>
    <xf numFmtId="0" fontId="32" fillId="0" borderId="0" xfId="0" applyFont="1" applyBorder="1"/>
    <xf numFmtId="0" fontId="0" fillId="0" borderId="0" xfId="0" applyFont="1"/>
    <xf numFmtId="0" fontId="32" fillId="0" borderId="0" xfId="0" applyFont="1" applyFill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40304"/>
        <c:axId val="175537952"/>
      </c:scatterChart>
      <c:valAx>
        <c:axId val="17554030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37952"/>
        <c:crosses val="autoZero"/>
        <c:crossBetween val="midCat"/>
        <c:majorUnit val="0.30000000000000004"/>
        <c:minorUnit val="0.30000000000000004"/>
      </c:valAx>
      <c:valAx>
        <c:axId val="175537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4030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38736"/>
        <c:axId val="175539128"/>
      </c:scatterChart>
      <c:valAx>
        <c:axId val="17553873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5539128"/>
        <c:crossesAt val="0"/>
        <c:crossBetween val="midCat"/>
      </c:valAx>
      <c:valAx>
        <c:axId val="17553912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5538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62520"/>
        <c:axId val="409062912"/>
      </c:scatterChart>
      <c:valAx>
        <c:axId val="409062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62912"/>
        <c:crosses val="autoZero"/>
        <c:crossBetween val="midCat"/>
      </c:valAx>
      <c:valAx>
        <c:axId val="40906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62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66440"/>
        <c:axId val="409064088"/>
      </c:scatterChart>
      <c:valAx>
        <c:axId val="40906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4088"/>
        <c:crosses val="autoZero"/>
        <c:crossBetween val="midCat"/>
      </c:valAx>
      <c:valAx>
        <c:axId val="409064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6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60168"/>
        <c:axId val="409060560"/>
      </c:scatterChart>
      <c:valAx>
        <c:axId val="409060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0560"/>
        <c:crosses val="autoZero"/>
        <c:crossBetween val="midCat"/>
      </c:valAx>
      <c:valAx>
        <c:axId val="40906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0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62128"/>
        <c:axId val="409063304"/>
      </c:scatterChart>
      <c:valAx>
        <c:axId val="40906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3304"/>
        <c:crosses val="autoZero"/>
        <c:crossBetween val="midCat"/>
      </c:valAx>
      <c:valAx>
        <c:axId val="409063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9776"/>
        <c:axId val="4090648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0905977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4872"/>
        <c:crosses val="autoZero"/>
        <c:crossBetween val="midCat"/>
      </c:valAx>
      <c:valAx>
        <c:axId val="409064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9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65264"/>
        <c:axId val="409059384"/>
      </c:scatterChart>
      <c:valAx>
        <c:axId val="40906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9384"/>
        <c:crosses val="autoZero"/>
        <c:crossBetween val="midCat"/>
      </c:valAx>
      <c:valAx>
        <c:axId val="40905938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65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0888"/>
        <c:axId val="410305200"/>
      </c:scatterChart>
      <c:valAx>
        <c:axId val="410300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5200"/>
        <c:crosses val="autoZero"/>
        <c:crossBetween val="midCat"/>
      </c:valAx>
      <c:valAx>
        <c:axId val="41030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0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2064"/>
        <c:axId val="410304024"/>
      </c:scatterChart>
      <c:valAx>
        <c:axId val="41030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4024"/>
        <c:crosses val="autoZero"/>
        <c:crossBetween val="midCat"/>
      </c:valAx>
      <c:valAx>
        <c:axId val="41030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2456"/>
        <c:axId val="410301280"/>
      </c:scatterChart>
      <c:valAx>
        <c:axId val="410302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1280"/>
        <c:crosses val="autoZero"/>
        <c:crossBetween val="midCat"/>
      </c:valAx>
      <c:valAx>
        <c:axId val="4103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2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4416"/>
        <c:axId val="410305592"/>
      </c:scatterChart>
      <c:valAx>
        <c:axId val="410304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5592"/>
        <c:crosses val="autoZero"/>
        <c:crossBetween val="midCat"/>
      </c:valAx>
      <c:valAx>
        <c:axId val="410305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304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1672"/>
        <c:axId val="410304808"/>
      </c:scatterChart>
      <c:valAx>
        <c:axId val="410301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04808"/>
        <c:crosses val="autoZero"/>
        <c:crossBetween val="midCat"/>
      </c:valAx>
      <c:valAx>
        <c:axId val="410304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01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7552"/>
        <c:axId val="410306768"/>
      </c:scatterChart>
      <c:valAx>
        <c:axId val="410307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06768"/>
        <c:crosses val="autoZero"/>
        <c:crossBetween val="midCat"/>
      </c:valAx>
      <c:valAx>
        <c:axId val="41030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07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300104"/>
        <c:axId val="410789824"/>
      </c:scatterChart>
      <c:valAx>
        <c:axId val="410300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789824"/>
        <c:crosses val="autoZero"/>
        <c:crossBetween val="midCat"/>
      </c:valAx>
      <c:valAx>
        <c:axId val="41078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00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3552"/>
        <c:axId val="410791000"/>
      </c:scatterChart>
      <c:valAx>
        <c:axId val="41078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791000"/>
        <c:crosses val="autoZero"/>
        <c:crossBetween val="midCat"/>
      </c:valAx>
      <c:valAx>
        <c:axId val="410791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78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9432"/>
        <c:axId val="410783944"/>
      </c:scatterChart>
      <c:valAx>
        <c:axId val="410789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3944"/>
        <c:crosses val="autoZero"/>
        <c:crossBetween val="midCat"/>
      </c:valAx>
      <c:valAx>
        <c:axId val="4107839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9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7080"/>
        <c:axId val="410790216"/>
      </c:scatterChart>
      <c:valAx>
        <c:axId val="410787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90216"/>
        <c:crosses val="autoZero"/>
        <c:crossBetween val="midCat"/>
      </c:valAx>
      <c:valAx>
        <c:axId val="410790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7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9040"/>
        <c:axId val="410784728"/>
      </c:scatterChart>
      <c:valAx>
        <c:axId val="41078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4728"/>
        <c:crosses val="autoZero"/>
        <c:crossBetween val="midCat"/>
      </c:valAx>
      <c:valAx>
        <c:axId val="4107847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8256"/>
        <c:axId val="410786688"/>
      </c:scatterChart>
      <c:valAx>
        <c:axId val="41078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6688"/>
        <c:crosses val="autoZero"/>
        <c:crossBetween val="midCat"/>
      </c:valAx>
      <c:valAx>
        <c:axId val="41078668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5120"/>
        <c:axId val="410785904"/>
      </c:scatterChart>
      <c:valAx>
        <c:axId val="41078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5904"/>
        <c:crosses val="autoZero"/>
        <c:crossBetween val="midCat"/>
      </c:valAx>
      <c:valAx>
        <c:axId val="41078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785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09440"/>
        <c:axId val="411010616"/>
      </c:scatterChart>
      <c:valAx>
        <c:axId val="41100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010616"/>
        <c:crosses val="autoZero"/>
        <c:crossBetween val="midCat"/>
      </c:valAx>
      <c:valAx>
        <c:axId val="4110106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00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07480"/>
        <c:axId val="411007872"/>
      </c:scatterChart>
      <c:valAx>
        <c:axId val="41100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872"/>
        <c:crosses val="autoZero"/>
        <c:crossBetween val="midCat"/>
      </c:valAx>
      <c:valAx>
        <c:axId val="41100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05912"/>
        <c:axId val="411006304"/>
      </c:scatterChart>
      <c:valAx>
        <c:axId val="411005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6304"/>
        <c:crosses val="autoZero"/>
        <c:crossBetween val="midCat"/>
      </c:valAx>
      <c:valAx>
        <c:axId val="41100630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5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06696"/>
        <c:axId val="411011400"/>
      </c:scatterChart>
      <c:valAx>
        <c:axId val="411006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11400"/>
        <c:crosses val="autoZero"/>
        <c:crossBetween val="midCat"/>
      </c:valAx>
      <c:valAx>
        <c:axId val="411011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6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12184"/>
        <c:axId val="41101257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12968"/>
        <c:axId val="411009048"/>
      </c:lineChart>
      <c:catAx>
        <c:axId val="411012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12576"/>
        <c:crosses val="autoZero"/>
        <c:auto val="1"/>
        <c:lblAlgn val="ctr"/>
        <c:lblOffset val="100"/>
        <c:noMultiLvlLbl val="0"/>
      </c:catAx>
      <c:valAx>
        <c:axId val="4110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12184"/>
        <c:crosses val="autoZero"/>
        <c:crossBetween val="between"/>
      </c:valAx>
      <c:valAx>
        <c:axId val="41100904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12968"/>
        <c:crosses val="max"/>
        <c:crossBetween val="between"/>
      </c:valAx>
      <c:catAx>
        <c:axId val="4110129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1009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85512"/>
        <c:axId val="413835840"/>
      </c:scatterChart>
      <c:valAx>
        <c:axId val="41078551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835840"/>
        <c:crosses val="autoZero"/>
        <c:crossBetween val="midCat"/>
      </c:valAx>
      <c:valAx>
        <c:axId val="41383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785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8.png"/><Relationship Id="rId3" Type="http://schemas.openxmlformats.org/officeDocument/2006/relationships/customXml" Target="../ink/ink2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png"/><Relationship Id="rId17" Type="http://schemas.openxmlformats.org/officeDocument/2006/relationships/image" Target="../media/image13.png"/><Relationship Id="rId25" Type="http://schemas.openxmlformats.org/officeDocument/2006/relationships/image" Target="../media/image17.png"/><Relationship Id="rId2" Type="http://schemas.openxmlformats.org/officeDocument/2006/relationships/image" Target="../media/image5.png"/><Relationship Id="rId16" Type="http://schemas.openxmlformats.org/officeDocument/2006/relationships/image" Target="../media/image12.png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png"/><Relationship Id="rId11" Type="http://schemas.openxmlformats.org/officeDocument/2006/relationships/customXml" Target="../ink/ink6.xml"/><Relationship Id="rId24" Type="http://schemas.openxmlformats.org/officeDocument/2006/relationships/image" Target="../media/image16.png"/><Relationship Id="rId32" Type="http://schemas.openxmlformats.org/officeDocument/2006/relationships/image" Target="../media/image22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15.png"/><Relationship Id="rId28" Type="http://schemas.openxmlformats.org/officeDocument/2006/relationships/image" Target="../media/image20.png"/><Relationship Id="rId10" Type="http://schemas.openxmlformats.org/officeDocument/2006/relationships/image" Target="../media/image9.png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png"/><Relationship Id="rId9" Type="http://schemas.openxmlformats.org/officeDocument/2006/relationships/customXml" Target="../ink/ink5.xml"/><Relationship Id="rId14" Type="http://schemas.openxmlformats.org/officeDocument/2006/relationships/image" Target="../media/image11.png"/><Relationship Id="rId22" Type="http://schemas.openxmlformats.org/officeDocument/2006/relationships/image" Target="../media/image14.jpeg"/><Relationship Id="rId27" Type="http://schemas.openxmlformats.org/officeDocument/2006/relationships/image" Target="../media/image19.png"/><Relationship Id="rId30" Type="http://schemas.openxmlformats.org/officeDocument/2006/relationships/image" Target="../media/image2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7.png"/><Relationship Id="rId3" Type="http://schemas.openxmlformats.org/officeDocument/2006/relationships/chart" Target="../charts/chart22.xml"/><Relationship Id="rId7" Type="http://schemas.openxmlformats.org/officeDocument/2006/relationships/image" Target="../media/image26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28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.png"/><Relationship Id="rId3" Type="http://schemas.openxmlformats.org/officeDocument/2006/relationships/chart" Target="../charts/chart26.xml"/><Relationship Id="rId7" Type="http://schemas.openxmlformats.org/officeDocument/2006/relationships/image" Target="../media/image34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33.png"/><Relationship Id="rId5" Type="http://schemas.openxmlformats.org/officeDocument/2006/relationships/image" Target="../media/image32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107674</xdr:colOff>
      <xdr:row>229</xdr:row>
      <xdr:rowOff>46521</xdr:rowOff>
    </xdr:from>
    <xdr:to>
      <xdr:col>9</xdr:col>
      <xdr:colOff>621649</xdr:colOff>
      <xdr:row>253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628749" y="40188046"/>
          <a:ext cx="2542800" cy="4668216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49086"/>
              <a:ext cx="3206045" cy="4500631"/>
              <a:chOff x="2989800" y="40449086"/>
              <a:chExt cx="3206045" cy="450063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0"/>
                <a:chOff x="2989800" y="42398703"/>
                <a:chExt cx="3107520" cy="1474200"/>
              </a:xfrm>
            </xdr:grpSpPr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70351" y="42415477"/>
                      <a:ext cx="177218" cy="87682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82043" y="42860525"/>
                      <a:ext cx="520169" cy="253327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65872" y="42847495"/>
                      <a:ext cx="1180402" cy="41591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42276" y="43520539"/>
                      <a:ext cx="1672529" cy="154713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3"/>
                    <a:ext cx="2477880" cy="83160"/>
                  </xdr14:xfrm>
                </xdr14:contentPart>
              </mc:Choice>
              <mc:Fallback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611731" y="43784088"/>
                      <a:ext cx="2493299" cy="94470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959080" y="42392859"/>
                      <a:ext cx="25200" cy="948047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>
          <mc:Choice xmlns:xdr14="http://schemas.microsoft.com/office/excel/2010/spreadsheetDrawing"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224564" y="42149114"/>
                  <a:ext cx="219376" cy="404923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>
        <mc:Choice xmlns:xdr14="http://schemas.microsoft.com/office/excel/2010/spreadsheetDrawing"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114941" y="43798447"/>
                <a:ext cx="92532" cy="110046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9584" y="12022790"/>
          <a:ext cx="5361452" cy="405467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0</xdr:col>
      <xdr:colOff>135031</xdr:colOff>
      <xdr:row>121</xdr:row>
      <xdr:rowOff>8405</xdr:rowOff>
    </xdr:from>
    <xdr:to>
      <xdr:col>7</xdr:col>
      <xdr:colOff>526863</xdr:colOff>
      <xdr:row>136</xdr:row>
      <xdr:rowOff>133724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130175</xdr:colOff>
      <xdr:row>136</xdr:row>
      <xdr:rowOff>143436</xdr:rowOff>
    </xdr:from>
    <xdr:to>
      <xdr:col>7</xdr:col>
      <xdr:colOff>531532</xdr:colOff>
      <xdr:row>151</xdr:row>
      <xdr:rowOff>85165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640785" y="11943953"/>
          <a:ext cx="623818" cy="563961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291</xdr:row>
      <xdr:rowOff>0</xdr:rowOff>
    </xdr:from>
    <xdr:to>
      <xdr:col>21</xdr:col>
      <xdr:colOff>492661</xdr:colOff>
      <xdr:row>314</xdr:row>
      <xdr:rowOff>140298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285750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16000" y="11734800"/>
          <a:ext cx="1679574" cy="257175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2930526" y="11372850"/>
          <a:ext cx="2174875" cy="5715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96775" y="3562350"/>
          <a:ext cx="4178884" cy="3216699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186</xdr:row>
      <xdr:rowOff>122998</xdr:rowOff>
    </xdr:from>
    <xdr:to>
      <xdr:col>20</xdr:col>
      <xdr:colOff>274339</xdr:colOff>
      <xdr:row>207</xdr:row>
      <xdr:rowOff>159634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  <xdr:twoCellAnchor>
    <xdr:from>
      <xdr:col>10</xdr:col>
      <xdr:colOff>130321</xdr:colOff>
      <xdr:row>234</xdr:row>
      <xdr:rowOff>114259</xdr:rowOff>
    </xdr:from>
    <xdr:to>
      <xdr:col>16</xdr:col>
      <xdr:colOff>107032</xdr:colOff>
      <xdr:row>244</xdr:row>
      <xdr:rowOff>16750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6531121" y="41233684"/>
          <a:ext cx="3640661" cy="1864641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243</xdr:row>
      <xdr:rowOff>73477</xdr:rowOff>
    </xdr:from>
    <xdr:ext cx="1167884" cy="69307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233</xdr:row>
      <xdr:rowOff>76062</xdr:rowOff>
    </xdr:from>
    <xdr:ext cx="1606529" cy="82836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241</xdr:row>
      <xdr:rowOff>130865</xdr:rowOff>
    </xdr:from>
    <xdr:ext cx="268022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245</xdr:row>
      <xdr:rowOff>89453</xdr:rowOff>
    </xdr:from>
    <xdr:ext cx="219611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246</xdr:row>
      <xdr:rowOff>165929</xdr:rowOff>
    </xdr:from>
    <xdr:ext cx="275653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239</xdr:row>
      <xdr:rowOff>70621</xdr:rowOff>
    </xdr:from>
    <xdr:to>
      <xdr:col>9</xdr:col>
      <xdr:colOff>507299</xdr:colOff>
      <xdr:row>239</xdr:row>
      <xdr:rowOff>113166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244</xdr:row>
      <xdr:rowOff>99149</xdr:rowOff>
    </xdr:from>
    <xdr:to>
      <xdr:col>9</xdr:col>
      <xdr:colOff>507528</xdr:colOff>
      <xdr:row>244</xdr:row>
      <xdr:rowOff>168334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241</xdr:row>
      <xdr:rowOff>74819</xdr:rowOff>
    </xdr:from>
    <xdr:ext cx="26128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530499</xdr:colOff>
      <xdr:row>254</xdr:row>
      <xdr:rowOff>133627</xdr:rowOff>
    </xdr:from>
    <xdr:to>
      <xdr:col>9</xdr:col>
      <xdr:colOff>656671</xdr:colOff>
      <xdr:row>264</xdr:row>
      <xdr:rowOff>144895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655E91DC-5A4D-117F-6BB0-008847ADD39A}"/>
            </a:ext>
          </a:extLst>
        </xdr:cNvPr>
        <xdr:cNvGrpSpPr/>
      </xdr:nvGrpSpPr>
      <xdr:grpSpPr>
        <a:xfrm>
          <a:off x="4054749" y="45024952"/>
          <a:ext cx="2158172" cy="1817843"/>
          <a:chOff x="3997599" y="45155127"/>
          <a:chExt cx="2158172" cy="1824193"/>
        </a:xfrm>
      </xdr:grpSpPr>
      <xdr:sp macro="" textlink="">
        <xdr:nvSpPr>
          <xdr:cNvPr id="95" name="Rectangle 94">
            <a:extLst>
              <a:ext uri="{FF2B5EF4-FFF2-40B4-BE49-F238E27FC236}">
                <a16:creationId xmlns:a16="http://schemas.microsoft.com/office/drawing/2014/main" id="{2FCC716C-4AE6-4909-AFAF-500F618688E3}"/>
              </a:ext>
            </a:extLst>
          </xdr:cNvPr>
          <xdr:cNvSpPr/>
        </xdr:nvSpPr>
        <xdr:spPr>
          <a:xfrm>
            <a:off x="4009750" y="45155127"/>
            <a:ext cx="2105551" cy="1047856"/>
          </a:xfrm>
          <a:prstGeom prst="rect">
            <a:avLst/>
          </a:prstGeom>
          <a:noFill/>
          <a:ln w="571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7" name="Rectangle 96">
            <a:extLst>
              <a:ext uri="{FF2B5EF4-FFF2-40B4-BE49-F238E27FC236}">
                <a16:creationId xmlns:a16="http://schemas.microsoft.com/office/drawing/2014/main" id="{14149341-E7DF-4D03-9274-AFD942B16E9D}"/>
              </a:ext>
            </a:extLst>
          </xdr:cNvPr>
          <xdr:cNvSpPr/>
        </xdr:nvSpPr>
        <xdr:spPr>
          <a:xfrm>
            <a:off x="3997599" y="46227587"/>
            <a:ext cx="2158172" cy="119043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8" name="Rectangle 97">
            <a:extLst>
              <a:ext uri="{FF2B5EF4-FFF2-40B4-BE49-F238E27FC236}">
                <a16:creationId xmlns:a16="http://schemas.microsoft.com/office/drawing/2014/main" id="{1065E609-3B86-454D-A5A3-88B536CE6499}"/>
              </a:ext>
            </a:extLst>
          </xdr:cNvPr>
          <xdr:cNvSpPr/>
        </xdr:nvSpPr>
        <xdr:spPr>
          <a:xfrm>
            <a:off x="4039468" y="46109698"/>
            <a:ext cx="2053646" cy="116891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0" name="Isosceles Triangle 99">
            <a:extLst>
              <a:ext uri="{FF2B5EF4-FFF2-40B4-BE49-F238E27FC236}">
                <a16:creationId xmlns:a16="http://schemas.microsoft.com/office/drawing/2014/main" id="{F08C3E94-7400-7837-43F4-1A7298EB02D2}"/>
              </a:ext>
            </a:extLst>
          </xdr:cNvPr>
          <xdr:cNvSpPr/>
        </xdr:nvSpPr>
        <xdr:spPr>
          <a:xfrm>
            <a:off x="4306743" y="45588960"/>
            <a:ext cx="1528907" cy="1390360"/>
          </a:xfrm>
          <a:prstGeom prst="triangle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6" name="Rectangle 95">
            <a:extLst>
              <a:ext uri="{FF2B5EF4-FFF2-40B4-BE49-F238E27FC236}">
                <a16:creationId xmlns:a16="http://schemas.microsoft.com/office/drawing/2014/main" id="{17852502-040F-4B46-A0B9-2F65E5669152}"/>
              </a:ext>
            </a:extLst>
          </xdr:cNvPr>
          <xdr:cNvSpPr/>
        </xdr:nvSpPr>
        <xdr:spPr>
          <a:xfrm>
            <a:off x="4400459" y="45184869"/>
            <a:ext cx="1342206" cy="1261390"/>
          </a:xfrm>
          <a:prstGeom prst="rect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9" name="Rectangle 98">
            <a:extLst>
              <a:ext uri="{FF2B5EF4-FFF2-40B4-BE49-F238E27FC236}">
                <a16:creationId xmlns:a16="http://schemas.microsoft.com/office/drawing/2014/main" id="{2CFB2CA6-9019-4177-B905-11B93A06ED7A}"/>
              </a:ext>
            </a:extLst>
          </xdr:cNvPr>
          <xdr:cNvSpPr/>
        </xdr:nvSpPr>
        <xdr:spPr>
          <a:xfrm>
            <a:off x="4296550" y="46357596"/>
            <a:ext cx="1530441" cy="107134"/>
          </a:xfrm>
          <a:prstGeom prst="rect">
            <a:avLst/>
          </a:prstGeom>
          <a:solidFill>
            <a:schemeClr val="bg2">
              <a:lumMod val="90000"/>
            </a:schemeClr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250 6 24575,'-47'-2'0,"29"0"0,1 1 0,-1 1 0,0 2 0,-29 6 0,43-7 0,1 1 0,-1 0 0,1 0 0,-1 1 0,1-1 0,0 1 0,-1 0 0,1 0 0,0 0 0,1 1 0,-4 3 0,5-6 0,1 0 0,-1 0 0,0 1 0,1-1 0,-1 0 0,1 0 0,-1 0 0,1 0 0,-1 1 0,1-1 0,0 0 0,-1 1 0,1-1 0,0 0 0,0 1 0,0-1 0,0 0 0,0 1 0,0-1 0,0 1 0,0-1 0,0 0 0,0 1 0,1-1 0,-1 0 0,0 1 0,1-1 0,-1 0 0,1 0 0,-1 0 0,1 1 0,-1-1 0,1 0 0,0 0 0,-1 0 0,1 0 0,0 0 0,0 0 0,0-1 0,-1 1 0,1 0 0,0 0 0,0-1 0,0 1 0,1 0 0,6 4 0,1-1 0,-1 0 0,1-1 0,13 3 0,-14-4 0,0 0 0,-1 1 0,1-1 0,-1 2 0,0 0 0,14 9 0,-19-11 0,0 0 0,-1 0 0,1 0 0,-1 1 0,1-1 0,-1 0 0,0 1 0,1-1 0,-1 1 0,0-1 0,-1 1 0,1 0 0,0 0 0,0-1 0,-1 1 0,0 0 0,1 0 0,-1 0 0,0 0 0,0 0 0,0 0 0,0 0 0,0 0 0,-1 0 0,1-1 0,-1 1 0,1 0 0,-1 0 0,-1 3 0,1 1 0,-1 0 0,1 0 0,-1 0 0,0 0 0,-1-1 0,1 0 0,-1 1 0,0-1 0,0 0 0,0-1 0,-1 1 0,1-1 0,-1 0 0,0 0 0,0 0 0,-1-1 0,1 1 0,-1-1 0,1-1 0,-1 1 0,0-1 0,0-1 0,0 1 0,-1-1 0,-9 3 0,10-3 0,0 0 0,1 0 0,-1 0 0,0 1 0,1 0 0,0 0 0,-1 1 0,1 0 0,0 0 0,0 0 0,1 0 0,-1 1 0,-3 6 0,6-9 0,0-1 0,0 1 0,1 0 0,-1 0 0,0-1 0,1 1 0,-1 0 0,1 0 0,-1 0 0,1 0 0,0 0 0,-1 0 0,1 0 0,0 0 0,0 0 0,0 0 0,0 0 0,1 3 0,0-2 0,0-1 0,0 1 0,0-1 0,0 0 0,0 0 0,1 1 0,-1-1 0,0 0 0,1 0 0,-1-1 0,1 1 0,0 0 0,-1-1 0,1 1 0,0-1 0,0 0 0,3 2 0,14 8 0,-9-5 0,1 0 0,-1 1 0,0 1 0,10 9 0,-17-14 0,-1 1 0,1-1 0,0 1 0,0 0 0,-1 0 0,0 0 0,0 0 0,0 1 0,0-1 0,0 1 0,-1 0 0,1 0 0,-1-1 0,0 1 0,1 10 0,0 3 0,-1 0 0,0 0 0,-2 29 0,1-41 0,-1 1 0,0 0 0,0-1 0,0 1 0,-1-1 0,0 1 0,0-1 0,0 0 0,0 0 0,-1 0 0,1-1 0,-7 10 0,2-5 0,0 1 0,0 0 0,-10 25 0,16-34 0,0 1 0,0-1 0,0 0 0,0 1 0,0-1 0,0 1 0,1-1 0,-1 1 0,1-1 0,0 1 0,-1 0 0,1-1 0,0 1 0,0 0 0,0-1 0,0 1 0,1 0 0,-1-1 0,1 1 0,-1 0 0,1-1 0,-1 1 0,1-1 0,0 0 0,0 1 0,0-1 0,0 0 0,3 4 0,4 3 0,0-1 0,0 0 0,1-1 0,0 0 0,1-1 0,-1 0 0,19 7 0,-16-7 0,0 0 0,0 1 0,-1 0 0,15 13 0,-25-19 0,1 0 0,-1 0 0,0 0 0,1 1 0,-1-1 0,0 0 0,0 1 0,1 0 0,-1-1 0,0 1 0,0 0 0,0-1 0,0 1 0,-1 0 0,1 0 0,0 0 0,-1 0 0,1 0 0,-1 0 0,1 0 0,-1 1 0,0-1 0,1 0 0,-1 0 0,0 0 0,0 0 0,0 1 0,-1-1 0,1 0 0,0 0 0,-1 0 0,1 0 0,-1 0 0,1 0 0,-1 0 0,0 0 0,1 0 0,-1 0 0,0 0 0,0 0 0,0-1 0,0 1 0,0-1 0,-3 3 0,0 2 0,-1-1 0,0-1 0,0 1 0,0-1 0,0 0 0,0-1 0,-1 0 0,1 0 0,-1 0 0,0-1 0,-9 3 0,1-3 0,1 0 0,-1 2 0,1 0 0,0 1 0,-19 11 0,29-14 0,0-1 0,0 1 0,1 0 0,-1 1 0,0-1 0,1 1 0,-1-1 0,1 1 0,0 0 0,0 0 0,0 0 0,0 1 0,0-1 0,0 0 0,1 1 0,-1 0 0,1-1 0,0 1 0,0 0 0,0 0 0,0 0 0,0 0 0,1 0 0,-1 0 0,1 0 0,0 1 0,0-1 0,0 0 0,0 0 0,1 4 0,-1-5 0,1-1 0,-1 1 0,1-1 0,0 0 0,-1 0 0,1 1 0,0-1 0,0 0 0,0 0 0,0 0 0,0 0 0,0 0 0,1 0 0,-1-1 0,0 1 0,1-1 0,-1 1 0,1-1 0,2 3 0,36 13 0,-35-16 0,0 1 0,1-1 0,-2 1 0,1 1 0,0-1 0,0 1 0,0 0 0,6 7 0,-3 1 0,0 1 0,-1 0 0,0 1 0,0 0 0,-1 1 0,-1-1 0,6 19 0,-11-31 0,1 1 0,-1 0 0,1 0 0,-1 0 0,0 0 0,0 0 0,0-1 0,0 1 0,0 0 0,0 0 0,0 0 0,0 0 0,-1 0 0,1 0 0,0-1 0,-1 1 0,1 0 0,-1 0 0,0-1 0,1 1 0,-1 0 0,0-1 0,0 1 0,0-1 0,0 1 0,0-1 0,0 0 0,0 0 0,0 1 0,-3 0 0,-4 6 0,-1-2 0,1 1 0,-17 7 0,0 1 0,21-13 0,1 1 0,-1 0 0,1 1 0,0-1 0,-1 1 0,1 0 0,1 0 0,-1 0 0,0 0 0,1 0 0,-1 1 0,1 0 0,-3 7 0,5-10 0,0-1 0,-1 1 0,1 0 0,0 0 0,0-1 0,-1 1 0,1 0 0,0 0 0,0 0 0,1-1 0,-1 1 0,0 0 0,0 0 0,1-1 0,-1 1 0,1 0 0,0 2 0,1-1 0,-1-1 0,0 1 0,1-1 0,0 0 0,-1 0 0,1 0 0,0 0 0,0-1 0,0 1 0,0 0 0,0-1 0,0 0 0,0 0 0,2 1 0,51 13 0,2-1 0,-54-13 0,1 1 0,-1-1 0,0 1 0,0 0 0,0 0 0,0 1 0,0-1 0,0 1 0,0 0 0,-1-1 0,1 2 0,4 5 0,-6-6 0,0-1 0,1 0 0,-1 0 0,0 1 0,0-1 0,0 1 0,0-1 0,-1 1 0,1-1 0,0 1 0,-1 0 0,1-1 0,-1 1 0,0 0 0,0 0 0,0-1 0,0 1 0,0 0 0,0 0 0,0-1 0,-1 1 0,1 0 0,-1 0 0,0-1 0,1 1 0,-3 3 0,2-3 0,-1 0 0,0-1 0,0 1 0,0-1 0,0 1 0,-1-1 0,1 0 0,0 0 0,-1 0 0,1-1 0,-1 1 0,1-1 0,-1 1 0,0-1 0,1 0 0,-1-1 0,0 1 0,0-1 0,-3 1 0,-23-2 0,-28 3 0,55-2 0,0 1 0,-1-1 0,1 1 0,0 0 0,0 0 0,-1 0 0,1 0 0,0 0 0,0 1 0,0-1 0,0 1 0,0 0 0,0-1 0,0 1 0,0 1 0,1-1 0,-1 0 0,1 0 0,-3 4 0,3-1 0,0 0 0,0-1 0,0 1 0,0 0 0,1 0 0,-1 0 0,1 0 0,0-1 0,0 1 0,0 0 0,1 0 0,0 6 0,0-8 0,-1 1 0,1-1 0,-1 0 0,1 1 0,0-1 0,0 0 0,0 0 0,0 0 0,0 0 0,1 0 0,-1 0 0,1 0 0,-1-1 0,1 1 0,0-1 0,0 0 0,0 1 0,2 1 0,6 0 0,0-1 0,-1 0 0,1-1 0,0 0 0,1-1 0,-1-1 0,0 0 0,0-1 0,15-3 0,40 1 0,-64 2 0,1 1 0,-1 0 0,0 0 0,1 1 0,-1-1 0,1 0 0,-1 1 0,0-1 0,1 1 0,-1-1 0,1 1 0,-1 0 0,0 0 0,0 0 0,1 0 0,-1 0 0,0 0 0,0 0 0,0 1 0,0-1 0,0 0 0,0 1 0,0-1 0,0 1 0,-1-1 0,1 1 0,0 0 0,-1-1 0,1 1 0,-1 0 0,1 0 0,-1 0 0,0-1 0,1 1 0,-1 0 0,0 0 0,0 0 0,0 0 0,0 3 0,-1-2 0,0 0 0,1 0 0,-1 0 0,0 1 0,0-1 0,0 0 0,0-1 0,0 1 0,-1 0 0,1 0 0,-1-1 0,1 1 0,-1-1 0,0 1 0,0-1 0,0 0 0,0 0 0,0 0 0,0-1 0,0 1 0,-1-1 0,-2 2 0,-24 8 0,0-3 0,0-1 0,-1-2 0,0-1 0,0-3 0,-31-2 0,56 1 0,-1 0 0,0 1 0,1 0 0,-1 0 0,-6 3 0,11-4 0,-1 1 0,1-1 0,0 1 0,0-1 0,0 1 0,-1 0 0,1 0 0,0 0 0,0 0 0,0 0 0,0 0 0,0 0 0,0 0 0,0 0 0,0 1 0,0-1 0,1 0 0,-1 1 0,0-1 0,1 1 0,-1 0 0,0-1 0,1 1 0,0-1 0,-1 1 0,1 0 0,-1 2 0,2-3 0,-1 0 0,0 1 0,0-1 0,1 0 0,-1 0 0,0 0 0,1 0 0,-1 0 0,1 0 0,-1 0 0,1 0 0,-1 0 0,1 0 0,0 0 0,-1 0 0,1-1 0,0 1 0,0 0 0,-1-1 0,1 1 0,0 0 0,0-1 0,0 1 0,0-1 0,-1 0 0,3 1 0,28 9 0,-23-8 0,17 3 0,37 2 0,-38-5 0,37 8 0,-59-9-31,1 0 0,-1 1 0,0-1 0,1 0 0,-1 1 0,0 0 0,0 0 0,0 0 0,0 0 0,0 0 0,0 0 0,0 1 0,-1-1 0,1 1 0,-1 0 0,1-1 0,-1 1 0,0 0 0,1 0 0,-1 0 0,0 0 0,-1 0 0,1 1 0,0-1-1,-1 0 1,1 1 0,-1-1 0,0 0 0,0 1 0,0-1 0,0 0 0,0 1 0,-1-1 0,1 0 0,-1 0 0,0 1 0,1-1 0,-1 0 0,0 0 0,-1 0 0,1 0 0,0 0 0,-3 3 0,-4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0 697 24575,'7'-2'0,"1"0"0,-1 0 0,0-1 0,-1 0 0,1-1 0,0 0 0,-1 0 0,0-1 0,8-6 0,9-6 0,279-165 0,-260 160 0,-8 4 0,0-2 0,51-40 0,-66 45 0,0 2 0,20-11 0,14-8 0,-19 11 0,44-21 0,-52 27 0,42-32 0,-18 11 0,-50 37 0,1-1 0,0 1 0,0-1 0,-1 1 0,1-1 0,0 1 0,-1 0 0,1-1 0,-1 1 0,1 0 0,-1-1 0,1 1 0,-1 0 0,1 0 0,-1 0 0,1 0 0,-1 0 0,0 0 0,1 0 0,-1 0 0,0 0 0,0 0 0,0 0 0,1 0 0,-1 0 0,0 0 0,0 0 0,0 1 0,6 42 0,-5-40 0,2 22 0,-4-37 0,-6-43 0,-9 7 0,14 41 0,0 0 0,0 1 0,0-1 0,0 0 0,0 0 0,0-9 0,2 13 0,0 1 0,0 0 0,0 0 0,0-1 0,0 1 0,1 0 0,-1 0 0,0-1 0,1 1 0,-1 0 0,0 0 0,1 0 0,-1 0 0,1 0 0,0 0 0,-1 0 0,1 0 0,0 0 0,-1 0 0,1 1 0,0-1 0,0 0 0,-1 0 0,1 1 0,0-1 0,0 1 0,0-1 0,0 1 0,0-1 0,0 1 0,0 0 0,0 0 0,0 0 0,0-1 0,0 1 0,1 1 0,42-2 0,-36 2 0,6-1 0,-10 0 0,0 0 0,0 0 0,0 0 0,0 1 0,0 0 0,0 0 0,0 0 0,6 3 0,-10-3 0,1-1 0,0 1 0,-1-1 0,1 1 0,-1-1 0,1 1 0,-1 0 0,1 0 0,-1-1 0,1 1 0,-1 0 0,0 0 0,1 0 0,-1-1 0,0 1 0,0 0 0,1 0 0,-1 0 0,0 0 0,0 1 0,0 1 0,0 0 0,0 0 0,0 0 0,-1 0 0,1 0 0,-1 0 0,0 0 0,1 0 0,-3 4 0,-4 12 0,-2 1 0,0-2 0,0 0 0,-1 0 0,-12 15 0,22-32 0,-1 0 0,1 0 0,-1 0 0,1-1 0,-1 1 0,1 0 0,-1 0 0,1-1 0,-1 1 0,0-1 0,1 1 0,-1-1 0,0 1 0,0-1 0,1 1 0,-1-1 0,0 0 0,1 1 0,-1-1 0,0 0 0,0 0 0,0 0 0,1 0 0,-1 0 0,0 0 0,0 0 0,1 0 0,-1 0 0,0 0 0,-1-1 0,1 0 0,1 0 0,-1 0 0,0-1 0,0 1 0,1 0 0,-1-1 0,0 1 0,1 0 0,-1-1 0,1 1 0,-1-1 0,1 1 0,-1-1 0,1 0 0,0 1 0,0-4 0,-1 2 0,1 0 0,-1 0 0,1 0 0,0 0 0,0 0 0,0 0 0,1 0 0,-1 0 0,0 0 0,1 0 0,-1 0 0,1 0 0,0 0 0,0 1 0,0-1 0,0 0 0,0 1 0,0-1 0,1 1 0,-1-1 0,2-1 0,5 0 0,3-1 0,-16 5 0,-16 9 0,8-5 0,22-21 0,-8 17 0,0-1 0,0-1 0,0 1 0,0 0 0,0 0 0,0 0 0,0-1 0,0 1 0,0-1 0,-1 1 0,1-1 0,0 1 0,-1-1 0,1 0 0,-1 1 0,1-1 0,-1 0 0,1 1 0,-1-1 0,0 0 0,0 0 0,0 0 0,0 1 0,0-1 0,0 0 0,0 0 0,0 1 0,-1-1 0,0-3 0,0 3 0,-1 0 0,0 0 0,1 1 0,-1-1 0,0 1 0,0-1 0,0 1 0,0 0 0,0 0 0,0 0 0,0 0 0,-1 0 0,1 1 0,0-1 0,0 1 0,0 0 0,-5 0 0,6 0 0,3 0 0,12 1 0,-11 0 0,0-1 0,-1 1 0,1-1 0,0 1 0,-1 0 0,1 1 0,0-1 0,-1 1 0,1-1 0,-1 1 0,3 3 0,-2-2-136,-1 0-1,1 0 1,0 0-1,0 0 1,0-1-1,0 1 1,0-1-1,0 0 0,4 2 1,2-1-6690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72 23849,'2575'-72'0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82 24575,'0'0'0,"0"5"0,4 8 0,0 11 0,0 6 0,-1 1 0,-1-1 0,0 0 0,-1-3 0,-1 0 0,0-2 0,0-1 0,0 0 0,-1-4-8191</inkml:trace>
  <inkml:trace contextRef="#ctx0" brushRef="#br0" timeOffset="2236.39">30 192 24575,'5'-5'0,"0"0"0,0 0 0,0 1 0,1 0 0,0 0 0,0 1 0,-1-1 0,2 2 0,-1-1 0,0 1 0,0 0 0,12 0 0,12-2 0,43 4 0,-35 0 0,1227-1 0,-584 4 0,-476 9 0,-16 0 0,68 6 0,-169-10 0,115-8 0,-80-3 0,219 3-1365,-326 0-5461</inkml:trace>
  <inkml:trace contextRef="#ctx0" brushRef="#br0" timeOffset="3263.27">3647 1 24575,'-9'53'0,"1"-10"0,5 140-1,4-111-1363,-1-58-5462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0 125 24194,'5463'0'0,"-5646"-124"0,366 248 0,-366 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23915,'0'2723'0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456 0 24434,'-456'1125'0,"623"-1280"0,-334 310 0,172-422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 54 24575,'1'1'0,"-1"0"0,1-1 0,-1 1 0,0 0 0,1-1 0,-1 1 0,1 0 0,0-1 0,-1 1 0,1 0 0,0-1 0,-1 1 0,1-1 0,0 0 0,-1 1 0,1-1 0,0 1 0,0-1 0,-1 0 0,1 0 0,0 0 0,0 1 0,0-1 0,-1 0 0,1 0 0,0 0 0,0 0 0,0 0 0,0 0 0,-1-1 0,1 1 0,0 0 0,0 0 0,0 0 0,1-2 0,38-7 0,-34 7 0,-5 2 0,5-1 0,1 0 0,-1-1 0,0 0 0,0 0 0,0 0 0,0-1 0,0 0 0,-1 0 0,1 0 0,-1-1 0,0 0 0,0 0 0,0 0 0,7-8 0,-14 11 0,0 1 0,1 0 0,-1 0 0,0 0 0,0 0 0,0 0 0,1 0 0,-1 0 0,0 1 0,0-1 0,1 1 0,-4 1 0,-33 13 0,0 2 0,1 2 0,-52 36 0,86-48 0,13-1 0,27 2 0,-10-2 0,-18 0 0,1 0 0,-1 1 0,0 0 0,0 1 0,-1 0 0,0 0 0,-1 1 0,11 14 0,2 2 0,2 3-1365,-13-18-5461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1 126 24575,'7'-1'0,"0"-1"0,0 0 0,0 0 0,0-1 0,0 0 0,0 0 0,0 0 0,6-5 0,7-4 0,-10 7 0,-1-1 0,0 0 0,-1-1 0,12-11 0,-12 11 0,-1 1 0,1-1 0,1 1 0,16-10 0,-22 16 0,0-1 0,-1 0 0,1 1 0,0 0 0,0-1 0,-1 1 0,1 0 0,0 0 0,0 1 0,-1-1 0,1 1 0,0-1 0,-1 1 0,1 0 0,4 2 0,43 22 0,-29-13 0,17 8-1365,-23-12-5461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0,1 0 0,0 0 0,-1 1 0,1-1 0,-1 1 0,3 3 0,4 3 0,16 15 0,-10-9 0,1-1 0,0 0 0,1-1 0,24 15 0,-37-26 0,-1 0 0,1 0 0,-1 0 0,1-1 0,0 0 0,0 1 0,0-1 0,0 0 0,0-1 0,0 1 0,0-1 0,0 0 0,0 0 0,0 0 0,0 0 0,0-1 0,0 0 0,0 1 0,0-2 0,0 1 0,0 0 0,-1-1 0,1 1 0,0-1 0,-1 0 0,1-1 0,-1 1 0,5-5 0,36-39 0,-41 44 0,-1-1 0,0 1 0,0-1 0,-1 0 0,1 1 0,-1-1 0,1 0 0,-1 0 0,0 0 0,0 0 0,0 0 0,0 0 0,0 0 0,-1 0 0,0-1 0,1-5 0,-1 9 0,-1-1 0,1 1 0,0-1 0,0 1 0,-1-1 0,1 1 0,0-1 0,-1 1 0,1 0 0,0-1 0,-1 1 0,1-1 0,-1 1 0,1 0 0,0-1 0,-1 1 0,1 0 0,-1 0 0,1-1 0,-1 1 0,1 0 0,-1 0 0,1 0 0,-1 0 0,0 0 0,1 0 0,-1 0 0,1 0 0,-1 0 0,1 0 0,-1 0 0,1 0 0,-1 0 0,1 0 0,-1 0 0,1 0 0,-1 1 0,1-1 0,-1 0 0,1 0 0,-1 1 0,1-1 0,-1 0 0,1 0 0,0 1 0,-1-1 0,0 1 0,-21 17 0,-26 50 111,38-52-603,0 0 0,-22 24 0,20-28-6334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0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0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0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0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0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0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0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0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0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1" t="s">
        <v>113</v>
      </c>
      <c r="D243" s="392"/>
      <c r="E243" s="392"/>
      <c r="F243" s="392"/>
      <c r="G243" s="393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1" t="s">
        <v>123</v>
      </c>
      <c r="D247" s="392"/>
      <c r="E247" s="392"/>
      <c r="F247" s="392"/>
      <c r="G247" s="393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4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95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0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0"/>
      <c r="B264" s="158" t="s">
        <v>136</v>
      </c>
      <c r="L264" s="149"/>
    </row>
    <row r="265" spans="1:12" ht="13" thickBot="1">
      <c r="A265" s="390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96" t="s">
        <v>182</v>
      </c>
      <c r="C2" s="397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0" t="s">
        <v>185</v>
      </c>
      <c r="D12" s="401"/>
      <c r="E12" s="401"/>
      <c r="F12" s="401"/>
      <c r="G12" s="402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0" t="s">
        <v>189</v>
      </c>
      <c r="P12" s="401"/>
      <c r="Q12" s="401"/>
      <c r="R12" s="401"/>
      <c r="S12" s="402"/>
      <c r="T12" s="1" t="s">
        <v>186</v>
      </c>
      <c r="U12" s="1" t="s">
        <v>187</v>
      </c>
      <c r="V12" s="1" t="s">
        <v>188</v>
      </c>
    </row>
    <row r="13" spans="2:22">
      <c r="B13" s="398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98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99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99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99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99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99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99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99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99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99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99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99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99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99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99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99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99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99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3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407" t="s">
        <v>191</v>
      </c>
      <c r="C23" s="65"/>
      <c r="D23" s="64" t="s">
        <v>186</v>
      </c>
      <c r="E23" s="64"/>
      <c r="F23" s="64"/>
      <c r="G23" s="64"/>
      <c r="K23" s="405"/>
      <c r="N23" s="406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07"/>
      <c r="C24" s="66" t="s">
        <v>193</v>
      </c>
      <c r="D24" s="1">
        <f>(F25/2)/(F26)</f>
        <v>0.13333333333333333</v>
      </c>
      <c r="K24" s="405"/>
      <c r="N24" s="407"/>
      <c r="O24" s="66" t="s">
        <v>193</v>
      </c>
      <c r="P24" s="1" t="s">
        <v>194</v>
      </c>
    </row>
    <row r="25" spans="2:22">
      <c r="B25" s="407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05"/>
      <c r="N25" s="407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407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05"/>
      <c r="N26" s="407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08" t="s">
        <v>200</v>
      </c>
      <c r="D27" s="408"/>
      <c r="E27" s="408"/>
      <c r="F27" s="408"/>
      <c r="G27" s="408"/>
      <c r="L27" s="63"/>
      <c r="M27" s="63"/>
      <c r="N27" s="2" t="s">
        <v>199</v>
      </c>
      <c r="O27" s="408" t="s">
        <v>200</v>
      </c>
      <c r="P27" s="408"/>
      <c r="Q27" s="408"/>
      <c r="R27" s="408"/>
      <c r="S27" s="408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98" t="s">
        <v>203</v>
      </c>
      <c r="C31" s="396"/>
      <c r="D31" s="409"/>
      <c r="E31" s="409"/>
      <c r="F31" s="409"/>
      <c r="G31" s="397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99"/>
      <c r="C32" s="410"/>
      <c r="D32" s="404"/>
      <c r="E32" s="404"/>
      <c r="F32" s="404"/>
      <c r="G32" s="411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99"/>
      <c r="C33" s="410"/>
      <c r="D33" s="404"/>
      <c r="E33" s="404"/>
      <c r="F33" s="404"/>
      <c r="G33" s="411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99"/>
      <c r="C34" s="410"/>
      <c r="D34" s="404"/>
      <c r="E34" s="404"/>
      <c r="F34" s="404"/>
      <c r="G34" s="411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99"/>
      <c r="C35" s="410"/>
      <c r="D35" s="404"/>
      <c r="E35" s="404"/>
      <c r="F35" s="404"/>
      <c r="G35" s="411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99"/>
      <c r="C36" s="410"/>
      <c r="D36" s="404"/>
      <c r="E36" s="404"/>
      <c r="F36" s="404"/>
      <c r="G36" s="411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99"/>
      <c r="C37" s="410"/>
      <c r="D37" s="404"/>
      <c r="E37" s="404"/>
      <c r="F37" s="404"/>
      <c r="G37" s="411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99"/>
      <c r="C38" s="410"/>
      <c r="D38" s="404"/>
      <c r="E38" s="404"/>
      <c r="F38" s="404"/>
      <c r="G38" s="411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99"/>
      <c r="C39" s="410"/>
      <c r="D39" s="404"/>
      <c r="E39" s="404"/>
      <c r="F39" s="404"/>
      <c r="G39" s="411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3"/>
      <c r="C40" s="412"/>
      <c r="D40" s="413"/>
      <c r="E40" s="413"/>
      <c r="F40" s="413"/>
      <c r="G40" s="414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408" t="s">
        <v>191</v>
      </c>
      <c r="C41" s="1" t="s">
        <v>204</v>
      </c>
      <c r="H41" s="12"/>
    </row>
    <row r="42" spans="2:24">
      <c r="B42" s="404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04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4" t="s">
        <v>206</v>
      </c>
      <c r="D44" s="404"/>
      <c r="E44" s="404"/>
      <c r="F44" s="404"/>
      <c r="G44" s="404"/>
    </row>
    <row r="45" spans="2:24">
      <c r="B45" s="404" t="s">
        <v>201</v>
      </c>
    </row>
    <row r="46" spans="2:24">
      <c r="B46" s="404"/>
    </row>
    <row r="47" spans="2:24" ht="15" thickBot="1">
      <c r="B47" s="404"/>
    </row>
    <row r="48" spans="2:24" ht="15" customHeight="1" thickBot="1">
      <c r="K48" s="415" t="s">
        <v>207</v>
      </c>
      <c r="L48" s="417"/>
      <c r="W48" s="405" t="s">
        <v>207</v>
      </c>
      <c r="X48" s="405"/>
    </row>
    <row r="49" spans="2:24" ht="15" thickBot="1">
      <c r="B49" s="8" t="s">
        <v>184</v>
      </c>
      <c r="C49" s="415" t="s">
        <v>208</v>
      </c>
      <c r="D49" s="416"/>
      <c r="E49" s="416"/>
      <c r="F49" s="416"/>
      <c r="G49" s="417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15" t="s">
        <v>212</v>
      </c>
      <c r="P49" s="416"/>
      <c r="Q49" s="416"/>
      <c r="R49" s="416"/>
      <c r="S49" s="417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98" t="s">
        <v>214</v>
      </c>
      <c r="C50" s="396"/>
      <c r="D50" s="409"/>
      <c r="E50" s="409"/>
      <c r="F50" s="409"/>
      <c r="G50" s="397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98" t="s">
        <v>214</v>
      </c>
      <c r="O50" s="396"/>
      <c r="P50" s="409"/>
      <c r="Q50" s="409"/>
      <c r="R50" s="409"/>
      <c r="S50" s="397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99"/>
      <c r="C51" s="410"/>
      <c r="D51" s="404"/>
      <c r="E51" s="404"/>
      <c r="F51" s="404"/>
      <c r="G51" s="411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99"/>
      <c r="O51" s="410"/>
      <c r="P51" s="404"/>
      <c r="Q51" s="404"/>
      <c r="R51" s="404"/>
      <c r="S51" s="411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99"/>
      <c r="C52" s="410"/>
      <c r="D52" s="404"/>
      <c r="E52" s="404"/>
      <c r="F52" s="404"/>
      <c r="G52" s="411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99"/>
      <c r="O52" s="410"/>
      <c r="P52" s="404"/>
      <c r="Q52" s="404"/>
      <c r="R52" s="404"/>
      <c r="S52" s="411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99"/>
      <c r="C53" s="410"/>
      <c r="D53" s="404"/>
      <c r="E53" s="404"/>
      <c r="F53" s="404"/>
      <c r="G53" s="411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99"/>
      <c r="O53" s="410"/>
      <c r="P53" s="404"/>
      <c r="Q53" s="404"/>
      <c r="R53" s="404"/>
      <c r="S53" s="411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99"/>
      <c r="C54" s="410"/>
      <c r="D54" s="404"/>
      <c r="E54" s="404"/>
      <c r="F54" s="404"/>
      <c r="G54" s="411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99"/>
      <c r="O54" s="410"/>
      <c r="P54" s="404"/>
      <c r="Q54" s="404"/>
      <c r="R54" s="404"/>
      <c r="S54" s="411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99"/>
      <c r="C55" s="410"/>
      <c r="D55" s="404"/>
      <c r="E55" s="404"/>
      <c r="F55" s="404"/>
      <c r="G55" s="411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99"/>
      <c r="O55" s="410"/>
      <c r="P55" s="404"/>
      <c r="Q55" s="404"/>
      <c r="R55" s="404"/>
      <c r="S55" s="411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99"/>
      <c r="C56" s="410"/>
      <c r="D56" s="404"/>
      <c r="E56" s="404"/>
      <c r="F56" s="404"/>
      <c r="G56" s="411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99"/>
      <c r="O56" s="410"/>
      <c r="P56" s="404"/>
      <c r="Q56" s="404"/>
      <c r="R56" s="404"/>
      <c r="S56" s="411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99"/>
      <c r="C57" s="410"/>
      <c r="D57" s="404"/>
      <c r="E57" s="404"/>
      <c r="F57" s="404"/>
      <c r="G57" s="411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99"/>
      <c r="O57" s="410"/>
      <c r="P57" s="404"/>
      <c r="Q57" s="404"/>
      <c r="R57" s="404"/>
      <c r="S57" s="411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99"/>
      <c r="C58" s="410"/>
      <c r="D58" s="404"/>
      <c r="E58" s="404"/>
      <c r="F58" s="404"/>
      <c r="G58" s="411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99"/>
      <c r="O58" s="410"/>
      <c r="P58" s="404"/>
      <c r="Q58" s="404"/>
      <c r="R58" s="404"/>
      <c r="S58" s="411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3"/>
      <c r="C59" s="418"/>
      <c r="D59" s="419"/>
      <c r="E59" s="419"/>
      <c r="F59" s="419"/>
      <c r="G59" s="420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3"/>
      <c r="O59" s="412"/>
      <c r="P59" s="413"/>
      <c r="Q59" s="413"/>
      <c r="R59" s="413"/>
      <c r="S59" s="414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21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26" t="s">
        <v>218</v>
      </c>
      <c r="I60" s="427"/>
      <c r="J60" s="428"/>
      <c r="K60" s="81" t="s">
        <v>219</v>
      </c>
      <c r="L60" s="57">
        <f>K67^2/K68</f>
        <v>1.1707317073170729</v>
      </c>
      <c r="N60" s="408" t="s">
        <v>191</v>
      </c>
      <c r="O60" s="1" t="s">
        <v>220</v>
      </c>
    </row>
    <row r="61" spans="2:24" ht="16.149999999999999" customHeight="1" thickBot="1">
      <c r="B61" s="422"/>
      <c r="C61" s="80" t="s">
        <v>221</v>
      </c>
      <c r="D61" s="82">
        <f>-I50+D60*H50</f>
        <v>23.499999999999979</v>
      </c>
      <c r="E61" s="77"/>
      <c r="F61" s="61"/>
      <c r="G61" s="62"/>
      <c r="H61" s="429"/>
      <c r="I61" s="430"/>
      <c r="J61" s="431"/>
      <c r="K61" s="80"/>
      <c r="L61" s="62"/>
      <c r="N61" s="408"/>
    </row>
    <row r="62" spans="2:24" ht="27.65" customHeight="1">
      <c r="B62" s="422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08"/>
    </row>
    <row r="63" spans="2:24" ht="27.65" customHeight="1">
      <c r="B63" s="422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08"/>
    </row>
    <row r="64" spans="2:24">
      <c r="B64" s="423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08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24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04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24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04"/>
    </row>
    <row r="67" spans="2:19">
      <c r="B67" s="424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04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25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04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08" t="s">
        <v>237</v>
      </c>
      <c r="D69" s="408"/>
      <c r="E69" s="408"/>
      <c r="F69" s="408"/>
      <c r="G69" s="408"/>
      <c r="N69" s="2" t="s">
        <v>199</v>
      </c>
      <c r="O69" s="404" t="s">
        <v>238</v>
      </c>
      <c r="P69" s="404"/>
      <c r="Q69" s="404"/>
      <c r="R69" s="404"/>
      <c r="S69" s="404"/>
    </row>
    <row r="70" spans="2:19">
      <c r="B70" s="404" t="s">
        <v>201</v>
      </c>
      <c r="C70" s="65"/>
      <c r="D70" s="64"/>
      <c r="E70" s="64"/>
      <c r="F70" s="64"/>
      <c r="G70" s="93"/>
      <c r="N70" s="404" t="s">
        <v>201</v>
      </c>
    </row>
    <row r="71" spans="2:19">
      <c r="B71" s="404"/>
      <c r="C71" s="66"/>
      <c r="G71" s="94"/>
      <c r="N71" s="404"/>
    </row>
    <row r="72" spans="2:19">
      <c r="B72" s="404"/>
      <c r="C72" s="67"/>
      <c r="D72" s="68"/>
      <c r="E72" s="68"/>
      <c r="F72" s="68"/>
      <c r="G72" s="95"/>
      <c r="N72" s="404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98" t="s">
        <v>246</v>
      </c>
      <c r="C88" s="396"/>
      <c r="D88" s="409"/>
      <c r="E88" s="409"/>
      <c r="F88" s="409"/>
      <c r="G88" s="397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99"/>
      <c r="C89" s="410"/>
      <c r="D89" s="404"/>
      <c r="E89" s="404"/>
      <c r="F89" s="404"/>
      <c r="G89" s="411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99"/>
      <c r="C90" s="410"/>
      <c r="D90" s="404"/>
      <c r="E90" s="404"/>
      <c r="F90" s="404"/>
      <c r="G90" s="411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99"/>
      <c r="C91" s="410"/>
      <c r="D91" s="404"/>
      <c r="E91" s="404"/>
      <c r="F91" s="404"/>
      <c r="G91" s="411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99"/>
      <c r="C92" s="410"/>
      <c r="D92" s="404"/>
      <c r="E92" s="404"/>
      <c r="F92" s="404"/>
      <c r="G92" s="411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99"/>
      <c r="C93" s="410"/>
      <c r="D93" s="404"/>
      <c r="E93" s="404"/>
      <c r="F93" s="404"/>
      <c r="G93" s="411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99"/>
      <c r="C94" s="410"/>
      <c r="D94" s="404"/>
      <c r="E94" s="404"/>
      <c r="F94" s="404"/>
      <c r="G94" s="411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99"/>
      <c r="C95" s="410"/>
      <c r="D95" s="404"/>
      <c r="E95" s="404"/>
      <c r="F95" s="404"/>
      <c r="G95" s="411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99"/>
      <c r="C96" s="410"/>
      <c r="D96" s="404"/>
      <c r="E96" s="404"/>
      <c r="F96" s="404"/>
      <c r="G96" s="411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3"/>
      <c r="C97" s="412"/>
      <c r="D97" s="413"/>
      <c r="E97" s="413"/>
      <c r="F97" s="413"/>
      <c r="G97" s="414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08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04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04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04" t="s">
        <v>249</v>
      </c>
      <c r="D101" s="404"/>
      <c r="E101" s="404"/>
      <c r="F101" s="404"/>
      <c r="G101" s="404"/>
    </row>
    <row r="102" spans="2:10">
      <c r="B102" s="404" t="s">
        <v>201</v>
      </c>
    </row>
    <row r="103" spans="2:10">
      <c r="B103" s="404"/>
    </row>
    <row r="104" spans="2:10">
      <c r="B104" s="404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35" t="s">
        <v>252</v>
      </c>
      <c r="U15" s="436"/>
      <c r="V15" s="437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38" t="s">
        <v>252</v>
      </c>
      <c r="U23" s="439"/>
      <c r="V23" s="440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1" t="s">
        <v>711</v>
      </c>
      <c r="L33" s="442"/>
      <c r="M33" s="442"/>
      <c r="N33" s="442"/>
      <c r="O33" s="442"/>
      <c r="P33" s="442"/>
      <c r="Q33" s="442"/>
      <c r="R33" s="442"/>
      <c r="S33" s="443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1" t="s">
        <v>712</v>
      </c>
      <c r="L44" s="442"/>
      <c r="M44" s="442"/>
      <c r="N44" s="442"/>
      <c r="O44" s="442"/>
      <c r="P44" s="442"/>
      <c r="Q44" s="442"/>
      <c r="R44" s="442"/>
      <c r="S44" s="443"/>
    </row>
    <row r="45" spans="2:19" ht="15" thickBot="1">
      <c r="B45" s="432" t="s">
        <v>311</v>
      </c>
      <c r="C45" s="433"/>
      <c r="D45" s="433"/>
      <c r="E45" s="433"/>
      <c r="F45" s="434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T308"/>
  <sheetViews>
    <sheetView tabSelected="1" topLeftCell="A231" zoomScaleNormal="100" zoomScaleSheetLayoutView="100" workbookViewId="0">
      <selection activeCell="K258" sqref="K258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9" ht="20.5" customHeight="1">
      <c r="E2" s="354" t="s">
        <v>713</v>
      </c>
      <c r="F2" s="351"/>
    </row>
    <row r="3" spans="2:9">
      <c r="E3" s="444" t="s">
        <v>719</v>
      </c>
      <c r="F3" s="444"/>
      <c r="G3" s="444"/>
      <c r="H3" s="444"/>
    </row>
    <row r="4" spans="2:9">
      <c r="E4" s="444"/>
      <c r="F4" s="444"/>
      <c r="G4" s="444"/>
      <c r="H4" s="444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747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>
      <c r="B17" s="356" t="s">
        <v>734</v>
      </c>
      <c r="C17" s="186"/>
      <c r="D17" s="186"/>
    </row>
    <row r="18" spans="2:13">
      <c r="B18" s="371" t="s">
        <v>842</v>
      </c>
      <c r="C18" t="s">
        <v>843</v>
      </c>
      <c r="F18" s="306" t="s">
        <v>916</v>
      </c>
      <c r="G18" t="s">
        <v>918</v>
      </c>
    </row>
    <row r="19" spans="2:13">
      <c r="B19" s="371" t="s">
        <v>844</v>
      </c>
      <c r="C19" t="s">
        <v>845</v>
      </c>
      <c r="F19" s="306" t="s">
        <v>917</v>
      </c>
    </row>
    <row r="20" spans="2:13">
      <c r="B20" t="s">
        <v>849</v>
      </c>
      <c r="D20">
        <v>191</v>
      </c>
      <c r="E20" t="s">
        <v>847</v>
      </c>
      <c r="F20" t="s">
        <v>849</v>
      </c>
      <c r="H20">
        <v>198</v>
      </c>
      <c r="I20" t="s">
        <v>847</v>
      </c>
    </row>
    <row r="21" spans="2:13">
      <c r="B21" t="s">
        <v>850</v>
      </c>
      <c r="D21">
        <v>0.2</v>
      </c>
      <c r="E21" t="s">
        <v>227</v>
      </c>
      <c r="F21" t="s">
        <v>850</v>
      </c>
      <c r="H21">
        <v>0.25</v>
      </c>
      <c r="I21" t="s">
        <v>227</v>
      </c>
      <c r="L21" t="s">
        <v>796</v>
      </c>
      <c r="M21" t="s">
        <v>800</v>
      </c>
    </row>
    <row r="22" spans="2:13">
      <c r="B22" t="s">
        <v>848</v>
      </c>
      <c r="D22">
        <f>D20/D21</f>
        <v>955</v>
      </c>
      <c r="E22" t="s">
        <v>294</v>
      </c>
      <c r="F22" t="s">
        <v>848</v>
      </c>
      <c r="H22">
        <f>H20/H21</f>
        <v>792</v>
      </c>
      <c r="I22" t="s">
        <v>294</v>
      </c>
      <c r="L22" t="s">
        <v>797</v>
      </c>
      <c r="M22" t="s">
        <v>799</v>
      </c>
    </row>
    <row r="23" spans="2:13">
      <c r="H23" t="s">
        <v>722</v>
      </c>
      <c r="J23" t="s">
        <v>723</v>
      </c>
      <c r="L23" t="s">
        <v>798</v>
      </c>
      <c r="M23" t="s">
        <v>801</v>
      </c>
    </row>
    <row r="24" spans="2:13">
      <c r="B24" s="374" t="s">
        <v>919</v>
      </c>
      <c r="G24" t="s">
        <v>805</v>
      </c>
      <c r="H24">
        <v>219</v>
      </c>
      <c r="I24" t="s">
        <v>720</v>
      </c>
      <c r="J24" s="375">
        <v>1.4999999999999999E-2</v>
      </c>
    </row>
    <row r="25" spans="2:13">
      <c r="B25" t="s">
        <v>714</v>
      </c>
      <c r="D25">
        <v>955</v>
      </c>
      <c r="E25" t="s">
        <v>314</v>
      </c>
      <c r="F25" s="357">
        <v>0.55000000000000004</v>
      </c>
      <c r="G25" t="s">
        <v>806</v>
      </c>
      <c r="H25" s="383">
        <f>H24*0.1</f>
        <v>21.900000000000002</v>
      </c>
      <c r="I25" t="s">
        <v>745</v>
      </c>
      <c r="J25" s="381">
        <v>1.4999999999999999E-2</v>
      </c>
    </row>
    <row r="26" spans="2:13">
      <c r="B26" t="s">
        <v>715</v>
      </c>
      <c r="D26">
        <v>1090</v>
      </c>
      <c r="E26" t="s">
        <v>314</v>
      </c>
      <c r="F26" s="380">
        <f>1-F25</f>
        <v>0.44999999999999996</v>
      </c>
      <c r="G26" s="186" t="s">
        <v>896</v>
      </c>
      <c r="H26" s="186"/>
      <c r="I26" t="s">
        <v>897</v>
      </c>
      <c r="J26" s="381">
        <v>1.4999999999999999E-2</v>
      </c>
    </row>
    <row r="27" spans="2:13">
      <c r="B27" t="s">
        <v>812</v>
      </c>
      <c r="D27" s="190">
        <f>(H24/J24)/1000</f>
        <v>14.6</v>
      </c>
      <c r="E27" t="s">
        <v>739</v>
      </c>
      <c r="G27" t="s">
        <v>807</v>
      </c>
      <c r="H27" s="383">
        <f>H28*0.8</f>
        <v>34.03921568627451</v>
      </c>
      <c r="I27" t="s">
        <v>721</v>
      </c>
      <c r="J27" s="376">
        <v>1.9E-2</v>
      </c>
    </row>
    <row r="28" spans="2:13">
      <c r="B28" s="186" t="s">
        <v>813</v>
      </c>
      <c r="C28" s="186"/>
      <c r="D28" s="277">
        <f>(H28/J28)/1000</f>
        <v>1.5196078431372551</v>
      </c>
      <c r="E28" s="186" t="s">
        <v>739</v>
      </c>
      <c r="G28" t="s">
        <v>808</v>
      </c>
      <c r="H28">
        <f>434*(0.1/1.02)</f>
        <v>42.549019607843135</v>
      </c>
      <c r="I28" t="s">
        <v>732</v>
      </c>
      <c r="J28" s="376">
        <f>2.8/100</f>
        <v>2.7999999999999997E-2</v>
      </c>
    </row>
    <row r="29" spans="2:13">
      <c r="B29" t="s">
        <v>814</v>
      </c>
      <c r="D29" s="372">
        <v>0</v>
      </c>
      <c r="E29" t="s">
        <v>739</v>
      </c>
      <c r="G29" t="s">
        <v>809</v>
      </c>
      <c r="H29">
        <f>1239*(0.1/1.02)</f>
        <v>121.47058823529412</v>
      </c>
      <c r="I29" t="s">
        <v>733</v>
      </c>
      <c r="J29" s="376">
        <f>J28</f>
        <v>2.7999999999999997E-2</v>
      </c>
    </row>
    <row r="30" spans="2:13">
      <c r="B30" t="s">
        <v>815</v>
      </c>
      <c r="D30" s="190">
        <f>(H29/J29)/1000</f>
        <v>4.3382352941176476</v>
      </c>
      <c r="E30" t="s">
        <v>739</v>
      </c>
      <c r="G30" t="s">
        <v>840</v>
      </c>
      <c r="H30" s="383">
        <f>H29*0.8</f>
        <v>97.176470588235304</v>
      </c>
      <c r="I30" t="s">
        <v>841</v>
      </c>
      <c r="J30" s="376">
        <f>J27</f>
        <v>1.9E-2</v>
      </c>
    </row>
    <row r="31" spans="2:13">
      <c r="D31" s="190"/>
      <c r="G31" t="s">
        <v>904</v>
      </c>
      <c r="H31" s="383">
        <f>819*(0.1/1.02)</f>
        <v>80.294117647058826</v>
      </c>
      <c r="J31" s="376"/>
    </row>
    <row r="33" spans="2:10">
      <c r="B33" s="186" t="s">
        <v>718</v>
      </c>
      <c r="C33" s="186"/>
      <c r="D33" s="186"/>
      <c r="G33" s="186" t="s">
        <v>724</v>
      </c>
      <c r="H33" s="186"/>
    </row>
    <row r="34" spans="2:10">
      <c r="B34" t="s">
        <v>716</v>
      </c>
      <c r="D34">
        <f>D25*(F25)+D26*(F26)</f>
        <v>1015.75</v>
      </c>
      <c r="E34" t="s">
        <v>314</v>
      </c>
      <c r="G34" t="s">
        <v>727</v>
      </c>
      <c r="H34" s="281">
        <f>H35/(H36+H35)</f>
        <v>0.8771929824561403</v>
      </c>
    </row>
    <row r="35" spans="2:10">
      <c r="B35" t="s">
        <v>816</v>
      </c>
      <c r="D35">
        <f>D27*F25+D28*F26</f>
        <v>8.7138235294117656</v>
      </c>
      <c r="E35" t="s">
        <v>739</v>
      </c>
      <c r="G35" t="s">
        <v>725</v>
      </c>
      <c r="H35" s="281">
        <v>100</v>
      </c>
      <c r="I35" t="s">
        <v>728</v>
      </c>
    </row>
    <row r="36" spans="2:10">
      <c r="B36" t="s">
        <v>802</v>
      </c>
      <c r="D36">
        <f>IF(J27=J24,C44,IF(J27&lt;J24,B44,D44))</f>
        <v>130.70735294117648</v>
      </c>
      <c r="E36" t="s">
        <v>722</v>
      </c>
      <c r="G36" t="s">
        <v>726</v>
      </c>
      <c r="H36" s="281">
        <v>14</v>
      </c>
      <c r="I36" t="s">
        <v>728</v>
      </c>
    </row>
    <row r="37" spans="2:10">
      <c r="B37" t="s">
        <v>803</v>
      </c>
      <c r="D37">
        <f>H24*F25+H28*F26</f>
        <v>139.59705882352941</v>
      </c>
      <c r="E37" t="s">
        <v>722</v>
      </c>
      <c r="G37" s="263" t="s">
        <v>729</v>
      </c>
      <c r="H37" s="358">
        <v>1000</v>
      </c>
      <c r="I37" s="263" t="s">
        <v>728</v>
      </c>
      <c r="J37" s="263"/>
    </row>
    <row r="38" spans="2:10">
      <c r="B38" t="s">
        <v>818</v>
      </c>
      <c r="D38">
        <f>D39*0.8</f>
        <v>53.365411764705883</v>
      </c>
      <c r="E38" t="s">
        <v>819</v>
      </c>
      <c r="H38" s="359">
        <f>H37*H34</f>
        <v>877.19298245614027</v>
      </c>
      <c r="I38" t="s">
        <v>730</v>
      </c>
    </row>
    <row r="39" spans="2:10">
      <c r="B39" t="s">
        <v>804</v>
      </c>
      <c r="D39">
        <f>IF(J27=J24,C45,IF(J27&lt;J24,B45,D45))</f>
        <v>66.70676470588235</v>
      </c>
      <c r="E39" t="s">
        <v>722</v>
      </c>
      <c r="H39" s="359">
        <f>H37-H38</f>
        <v>122.80701754385973</v>
      </c>
      <c r="I39" t="s">
        <v>731</v>
      </c>
    </row>
    <row r="40" spans="2:10">
      <c r="B40" t="s">
        <v>898</v>
      </c>
      <c r="D40">
        <f>H26*F25+H31*F26</f>
        <v>36.132352941176471</v>
      </c>
      <c r="E40" t="s">
        <v>722</v>
      </c>
      <c r="H40" s="359"/>
    </row>
    <row r="41" spans="2:10">
      <c r="H41" s="359"/>
    </row>
    <row r="43" spans="2:10">
      <c r="B43" t="s">
        <v>744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810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811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740</v>
      </c>
      <c r="C47" t="s">
        <v>741</v>
      </c>
      <c r="D47" t="s">
        <v>742</v>
      </c>
    </row>
    <row r="48" spans="2:10">
      <c r="B48" t="s">
        <v>254</v>
      </c>
      <c r="C48" t="s">
        <v>839</v>
      </c>
      <c r="D48" t="s">
        <v>255</v>
      </c>
      <c r="E48" t="s">
        <v>838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735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736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737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738</v>
      </c>
      <c r="M53" t="s">
        <v>835</v>
      </c>
      <c r="N53" t="s">
        <v>833</v>
      </c>
      <c r="O53" t="s">
        <v>836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743</v>
      </c>
      <c r="M54" t="s">
        <v>832</v>
      </c>
      <c r="N54" t="s">
        <v>833</v>
      </c>
      <c r="O54" t="s">
        <v>834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846</v>
      </c>
      <c r="C58" s="186"/>
      <c r="D58" s="186"/>
    </row>
    <row r="59" spans="2:15">
      <c r="B59">
        <f>D36</f>
        <v>130.70735294117648</v>
      </c>
      <c r="C59" t="s">
        <v>802</v>
      </c>
    </row>
    <row r="60" spans="2:15">
      <c r="B60">
        <f>D38</f>
        <v>53.365411764705883</v>
      </c>
      <c r="C60" t="s">
        <v>818</v>
      </c>
    </row>
    <row r="61" spans="2:15">
      <c r="B61">
        <f>D39</f>
        <v>66.70676470588235</v>
      </c>
      <c r="C61" t="s">
        <v>817</v>
      </c>
    </row>
    <row r="70" spans="2:4" ht="16">
      <c r="B70" s="388" t="s">
        <v>706</v>
      </c>
      <c r="C70" s="186"/>
      <c r="D70" s="186"/>
    </row>
    <row r="71" spans="2:4">
      <c r="B71" t="s">
        <v>781</v>
      </c>
    </row>
    <row r="72" spans="2:4">
      <c r="D72" s="366"/>
    </row>
    <row r="73" spans="2:4">
      <c r="D73" s="366"/>
    </row>
    <row r="74" spans="2:4">
      <c r="D74" s="366"/>
    </row>
    <row r="82" spans="2:12">
      <c r="B82" s="186" t="s">
        <v>857</v>
      </c>
      <c r="C82" s="186"/>
      <c r="D82" s="186"/>
      <c r="E82" s="186"/>
      <c r="G82" s="186" t="s">
        <v>941</v>
      </c>
      <c r="H82" s="186"/>
      <c r="I82" s="186"/>
      <c r="J82" s="186"/>
    </row>
    <row r="83" spans="2:12">
      <c r="B83" t="s">
        <v>764</v>
      </c>
      <c r="D83">
        <v>3.5</v>
      </c>
      <c r="E83" t="s">
        <v>748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858</v>
      </c>
      <c r="D85" t="s">
        <v>752</v>
      </c>
      <c r="G85" t="s">
        <v>707</v>
      </c>
      <c r="I85" s="190">
        <f>I86+2*I84</f>
        <v>91.715020310529326</v>
      </c>
      <c r="J85" t="s">
        <v>227</v>
      </c>
    </row>
    <row r="86" spans="2:12">
      <c r="B86" t="s">
        <v>771</v>
      </c>
      <c r="D86">
        <v>20</v>
      </c>
      <c r="E86" t="s">
        <v>768</v>
      </c>
      <c r="G86" t="s">
        <v>708</v>
      </c>
      <c r="I86" s="190">
        <v>88.9</v>
      </c>
      <c r="J86" t="s">
        <v>227</v>
      </c>
    </row>
    <row r="87" spans="2:12">
      <c r="B87" t="s">
        <v>767</v>
      </c>
      <c r="D87">
        <v>100</v>
      </c>
      <c r="E87" t="s">
        <v>768</v>
      </c>
      <c r="G87" t="s">
        <v>709</v>
      </c>
      <c r="I87" s="190">
        <f>(I85+I86)*0.5</f>
        <v>90.307510155264666</v>
      </c>
      <c r="J87" t="s">
        <v>227</v>
      </c>
    </row>
    <row r="88" spans="2:12">
      <c r="D88">
        <f>CONVERT(D87,"C","F")</f>
        <v>212</v>
      </c>
      <c r="E88" t="s">
        <v>769</v>
      </c>
      <c r="G88" t="s">
        <v>323</v>
      </c>
      <c r="I88" s="190">
        <f>1620/2</f>
        <v>810</v>
      </c>
      <c r="J88" t="s">
        <v>227</v>
      </c>
      <c r="L88" t="s">
        <v>778</v>
      </c>
    </row>
    <row r="89" spans="2:12">
      <c r="B89" t="s">
        <v>765</v>
      </c>
      <c r="D89">
        <f>VLOOKUP(D85,B283:C289,2,)</f>
        <v>23.2</v>
      </c>
      <c r="E89" t="s">
        <v>770</v>
      </c>
      <c r="G89" t="s">
        <v>746</v>
      </c>
      <c r="I89" s="190">
        <f>((PI()*I85^2)/4)-((PI()*I86^2)/4)</f>
        <v>399.32387637752981</v>
      </c>
      <c r="J89" t="s">
        <v>871</v>
      </c>
      <c r="L89" t="s">
        <v>779</v>
      </c>
    </row>
    <row r="90" spans="2:12">
      <c r="B90" t="s">
        <v>766</v>
      </c>
      <c r="D90">
        <f>D84+((D87-D86)*(D89/1000))</f>
        <v>90.755999999999986</v>
      </c>
      <c r="E90" t="s">
        <v>227</v>
      </c>
      <c r="G90" t="s">
        <v>872</v>
      </c>
      <c r="I90" s="190">
        <f>(PI()/(32*I85))*((I85^4)-I86^4)</f>
        <v>8879.2859383022005</v>
      </c>
      <c r="J90" t="s">
        <v>870</v>
      </c>
      <c r="L90" t="s">
        <v>780</v>
      </c>
    </row>
    <row r="92" spans="2:12">
      <c r="B92" t="s">
        <v>945</v>
      </c>
      <c r="D92" s="281">
        <f>I95</f>
        <v>85.788892562927941</v>
      </c>
      <c r="E92" t="s">
        <v>227</v>
      </c>
      <c r="G92" s="186" t="s">
        <v>942</v>
      </c>
      <c r="H92" s="186"/>
      <c r="I92" s="186"/>
      <c r="J92" s="186"/>
    </row>
    <row r="93" spans="2:12">
      <c r="B93" t="s">
        <v>946</v>
      </c>
      <c r="D93" s="281">
        <f>D92+((D86-D87)*D89/1000)</f>
        <v>83.932892562927947</v>
      </c>
      <c r="E93" t="s">
        <v>227</v>
      </c>
      <c r="G93" t="s">
        <v>226</v>
      </c>
      <c r="I93" s="281">
        <f>0.5*I86-(0.125*(I86^4)-0.0625*(I85^4))^(1/4)</f>
        <v>1.5555537185360322</v>
      </c>
      <c r="J93" t="s">
        <v>227</v>
      </c>
    </row>
    <row r="94" spans="2:12">
      <c r="B94" t="s">
        <v>947</v>
      </c>
      <c r="D94" s="281">
        <f>(D92-D93)/2</f>
        <v>0.92799999999999727</v>
      </c>
      <c r="E94" t="s">
        <v>227</v>
      </c>
      <c r="G94" t="s">
        <v>944</v>
      </c>
      <c r="I94" s="190">
        <f>I86</f>
        <v>88.9</v>
      </c>
      <c r="J94" t="s">
        <v>227</v>
      </c>
    </row>
    <row r="95" spans="2:12">
      <c r="C95" t="s">
        <v>950</v>
      </c>
      <c r="D95">
        <v>0.2</v>
      </c>
      <c r="E95" t="s">
        <v>786</v>
      </c>
      <c r="G95" t="s">
        <v>943</v>
      </c>
      <c r="I95">
        <f>I94-2*I93</f>
        <v>85.788892562927941</v>
      </c>
      <c r="J95" t="s">
        <v>227</v>
      </c>
    </row>
    <row r="96" spans="2:12">
      <c r="D96">
        <v>0</v>
      </c>
      <c r="E96" t="s">
        <v>194</v>
      </c>
      <c r="G96" t="s">
        <v>948</v>
      </c>
    </row>
    <row r="97" spans="2:10">
      <c r="G97" t="s">
        <v>949</v>
      </c>
    </row>
    <row r="98" spans="2:10">
      <c r="B98" s="186" t="s">
        <v>859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865</v>
      </c>
    </row>
    <row r="100" spans="2:10">
      <c r="B100" t="s">
        <v>860</v>
      </c>
    </row>
    <row r="101" spans="2:10">
      <c r="B101" t="s">
        <v>84</v>
      </c>
      <c r="C101" t="s">
        <v>861</v>
      </c>
      <c r="D101" t="s">
        <v>862</v>
      </c>
      <c r="E101">
        <v>18</v>
      </c>
      <c r="F101" t="s">
        <v>863</v>
      </c>
      <c r="G101" t="s">
        <v>864</v>
      </c>
      <c r="H101">
        <v>0.5</v>
      </c>
    </row>
    <row r="103" spans="2:10" ht="29">
      <c r="B103" s="186" t="s">
        <v>851</v>
      </c>
      <c r="C103" s="186" t="s">
        <v>782</v>
      </c>
      <c r="D103" s="378" t="s">
        <v>866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772</v>
      </c>
      <c r="C104" t="s">
        <v>787</v>
      </c>
      <c r="D104" t="s">
        <v>774</v>
      </c>
      <c r="E104" t="s">
        <v>775</v>
      </c>
    </row>
    <row r="105" spans="2:10">
      <c r="B105" s="190">
        <v>89</v>
      </c>
      <c r="C105" s="368" t="s">
        <v>786</v>
      </c>
      <c r="D105">
        <v>150</v>
      </c>
      <c r="E105" t="s">
        <v>777</v>
      </c>
    </row>
    <row r="106" spans="2:10">
      <c r="B106" s="190">
        <v>350</v>
      </c>
      <c r="C106" s="369" t="s">
        <v>786</v>
      </c>
      <c r="D106">
        <v>1500</v>
      </c>
      <c r="E106" t="s">
        <v>854</v>
      </c>
      <c r="I106" s="371"/>
      <c r="J106" s="281"/>
    </row>
    <row r="107" spans="2:10">
      <c r="B107" s="190">
        <f>(B105+B106-(B108*D108))/D107</f>
        <v>-7.0269360269360301E-2</v>
      </c>
      <c r="C107" s="370" t="s">
        <v>194</v>
      </c>
      <c r="D107">
        <f>I88-D105</f>
        <v>660</v>
      </c>
      <c r="E107" t="s">
        <v>856</v>
      </c>
      <c r="I107" s="306"/>
      <c r="J107" s="306"/>
    </row>
    <row r="108" spans="2:10">
      <c r="B108" s="190">
        <f>(B106*(2*D108+D107)-(B105*D107))/((D108^2)+D107*D108)</f>
        <v>0.70344605475040256</v>
      </c>
      <c r="C108" s="367" t="s">
        <v>194</v>
      </c>
      <c r="D108">
        <f>D106-I88</f>
        <v>690</v>
      </c>
      <c r="E108" t="s">
        <v>855</v>
      </c>
      <c r="H108" t="s">
        <v>876</v>
      </c>
      <c r="I108">
        <f>SUM(D107:D108)</f>
        <v>1350</v>
      </c>
      <c r="J108" s="306"/>
    </row>
    <row r="110" spans="2:10">
      <c r="B110" t="s">
        <v>867</v>
      </c>
      <c r="F110" t="s">
        <v>869</v>
      </c>
    </row>
    <row r="111" spans="2:10">
      <c r="B111" t="s">
        <v>877</v>
      </c>
      <c r="D111" s="281">
        <f>B105-B107*D107</f>
        <v>135.37777777777779</v>
      </c>
      <c r="E111" t="s">
        <v>717</v>
      </c>
    </row>
    <row r="112" spans="2:10">
      <c r="B112" t="s">
        <v>868</v>
      </c>
      <c r="D112" s="281">
        <f>(B105^2)/(2*B107)</f>
        <v>-56361.691423095326</v>
      </c>
      <c r="E112" t="s">
        <v>792</v>
      </c>
      <c r="F112">
        <f>B105/B107</f>
        <v>-1266.5548634403444</v>
      </c>
      <c r="G112" t="s">
        <v>227</v>
      </c>
    </row>
    <row r="113" spans="2:14">
      <c r="B113" t="s">
        <v>874</v>
      </c>
      <c r="D113" s="281">
        <f>((D111^2)/(2*B108))-D111*(I108-D107)+B108*(0.5*I108^2+0.5*D107^2-I108*D107)</f>
        <v>87071.353355919797</v>
      </c>
      <c r="E113" t="s">
        <v>792</v>
      </c>
      <c r="F113">
        <f>(D111/B108)+D107</f>
        <v>852.44940939474407</v>
      </c>
      <c r="G113" t="s">
        <v>227</v>
      </c>
      <c r="H113" s="379" t="s">
        <v>907</v>
      </c>
    </row>
    <row r="114" spans="2:14">
      <c r="B114" t="s">
        <v>795</v>
      </c>
      <c r="D114" s="281">
        <f>MAX(D112:D113)</f>
        <v>87071.353355919797</v>
      </c>
      <c r="E114" t="s">
        <v>792</v>
      </c>
      <c r="H114" s="379" t="s">
        <v>908</v>
      </c>
    </row>
    <row r="115" spans="2:14">
      <c r="B115" t="s">
        <v>873</v>
      </c>
      <c r="D115" s="281">
        <f>D114/tubeZ</f>
        <v>9.8061211184025261</v>
      </c>
      <c r="E115" t="s">
        <v>722</v>
      </c>
    </row>
    <row r="116" spans="2:14">
      <c r="B116" t="s">
        <v>903</v>
      </c>
      <c r="D116" s="281">
        <f>B106/(PI()*I87*I84)</f>
        <v>0.87648152465870166</v>
      </c>
      <c r="E116" t="s">
        <v>722</v>
      </c>
    </row>
    <row r="117" spans="2:14">
      <c r="B117" t="s">
        <v>899</v>
      </c>
      <c r="D117" s="281">
        <f>StyComp/D115</f>
        <v>13.329159548711496</v>
      </c>
    </row>
    <row r="118" spans="2:14">
      <c r="B118" t="s">
        <v>900</v>
      </c>
      <c r="D118" s="281">
        <f>ScyComp/D115</f>
        <v>5.442051053658556</v>
      </c>
    </row>
    <row r="119" spans="2:14">
      <c r="B119" t="s">
        <v>902</v>
      </c>
      <c r="D119" s="281">
        <f>SsyComp/D116</f>
        <v>41.2243178260332</v>
      </c>
      <c r="F119" s="379" t="s">
        <v>905</v>
      </c>
    </row>
    <row r="120" spans="2:14">
      <c r="F120" s="379" t="s">
        <v>906</v>
      </c>
    </row>
    <row r="121" spans="2:14">
      <c r="L121" t="s">
        <v>788</v>
      </c>
    </row>
    <row r="122" spans="2:14">
      <c r="B122" t="s">
        <v>875</v>
      </c>
      <c r="C122">
        <v>15</v>
      </c>
      <c r="D122">
        <f>I108/C122</f>
        <v>90</v>
      </c>
      <c r="L122" t="s">
        <v>784</v>
      </c>
      <c r="M122" t="s">
        <v>791</v>
      </c>
    </row>
    <row r="123" spans="2:14">
      <c r="B123" s="373" t="s">
        <v>793</v>
      </c>
      <c r="C123" s="373" t="s">
        <v>320</v>
      </c>
      <c r="D123" s="373" t="s">
        <v>794</v>
      </c>
      <c r="L123">
        <f>D105</f>
        <v>150</v>
      </c>
      <c r="M123">
        <v>0</v>
      </c>
    </row>
    <row r="124" spans="2:14">
      <c r="B124">
        <v>0</v>
      </c>
      <c r="C124">
        <f t="shared" ref="C124:C140" si="0">IF(B124&lt;$D$107,$B$105-$B$107*B124,$D$111-$B$108*(B124-$D$107))</f>
        <v>89</v>
      </c>
      <c r="D124">
        <f>IF(B124&lt;$D$107,$B$105*B124-$B$107*(B124^2)*0.5,$D$111*B124+$B$108*($D$107*B124+0.5*$I$108^2-0.5*B124^2)-$I$108*($D$111+$B$108*$D$107))</f>
        <v>0</v>
      </c>
      <c r="L124">
        <f>L123</f>
        <v>150</v>
      </c>
      <c r="M124">
        <f>B105</f>
        <v>89</v>
      </c>
      <c r="N124" t="s">
        <v>785</v>
      </c>
    </row>
    <row r="125" spans="2:14">
      <c r="B125">
        <f>D122</f>
        <v>90</v>
      </c>
      <c r="C125">
        <f t="shared" si="0"/>
        <v>95.324242424242428</v>
      </c>
      <c r="D125">
        <f t="shared" ref="D125:D141" si="1">IF(B125&lt;$D$107,$B$105*B125-$B$107*(B125^2)*0.5,$D$111*B125+$B$108*($D$107*B125+0.5*$I$108^2-0.5*B125^2)-$I$108*($D$111+$B$108*$D$107))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si="1"/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D106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M126+B106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D107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IF(B134&lt;$D$107,$B$105*B134-$B$107*(B134^2)*0.5,$D$111*B134+$B$108*($D$107*B134+0.5*$I$108^2-0.5*B134^2)-$I$108*($D$111+$B$108*$D$107))</f>
        <v>86437.565217391239</v>
      </c>
      <c r="L134" t="s">
        <v>789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784</v>
      </c>
      <c r="M135" t="s">
        <v>790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57" spans="2:10">
      <c r="B157" s="186" t="s">
        <v>783</v>
      </c>
      <c r="C157" s="186" t="s">
        <v>782</v>
      </c>
      <c r="D157" s="186" t="s">
        <v>773</v>
      </c>
      <c r="E157" s="186" t="s">
        <v>409</v>
      </c>
      <c r="F157" s="186"/>
      <c r="G157" s="186"/>
      <c r="H157" s="186"/>
      <c r="I157" s="186"/>
      <c r="J157" s="186"/>
    </row>
    <row r="158" spans="2:10">
      <c r="B158" t="s">
        <v>772</v>
      </c>
      <c r="C158" t="s">
        <v>787</v>
      </c>
      <c r="D158" t="s">
        <v>774</v>
      </c>
      <c r="E158" t="s">
        <v>775</v>
      </c>
    </row>
    <row r="159" spans="2:10">
      <c r="B159">
        <v>6</v>
      </c>
      <c r="C159" s="368" t="s">
        <v>194</v>
      </c>
      <c r="D159">
        <v>0</v>
      </c>
      <c r="E159" t="s">
        <v>852</v>
      </c>
    </row>
    <row r="160" spans="2:10">
      <c r="B160">
        <v>150</v>
      </c>
      <c r="C160" s="369" t="s">
        <v>194</v>
      </c>
      <c r="E160" t="s">
        <v>853</v>
      </c>
    </row>
    <row r="161" spans="2:9">
      <c r="B161" s="281">
        <f>(H164*9.81*(1+H163))</f>
        <v>1261.6950899999999</v>
      </c>
      <c r="C161" s="370" t="s">
        <v>194</v>
      </c>
      <c r="E161" t="s">
        <v>894</v>
      </c>
    </row>
    <row r="162" spans="2:9">
      <c r="B162">
        <v>1200</v>
      </c>
      <c r="C162" t="s">
        <v>786</v>
      </c>
      <c r="D162" t="s">
        <v>88</v>
      </c>
      <c r="E162" t="s">
        <v>776</v>
      </c>
    </row>
    <row r="163" spans="2:9">
      <c r="G163" t="s">
        <v>878</v>
      </c>
      <c r="H163">
        <f>(B162/H164)/9.81</f>
        <v>19.450494358627243</v>
      </c>
      <c r="I163" t="s">
        <v>883</v>
      </c>
    </row>
    <row r="164" spans="2:9">
      <c r="G164" t="s">
        <v>880</v>
      </c>
      <c r="H164">
        <f>H166-H165</f>
        <v>6.2889999999999997</v>
      </c>
    </row>
    <row r="165" spans="2:9">
      <c r="G165" t="s">
        <v>881</v>
      </c>
      <c r="H165">
        <f>3.423-2.328</f>
        <v>1.0950000000000002</v>
      </c>
    </row>
    <row r="166" spans="2:9">
      <c r="G166" t="s">
        <v>879</v>
      </c>
      <c r="H166">
        <v>7.3840000000000003</v>
      </c>
    </row>
    <row r="167" spans="2:9">
      <c r="G167" t="s">
        <v>882</v>
      </c>
    </row>
    <row r="168" spans="2:9">
      <c r="B168" t="s">
        <v>884</v>
      </c>
      <c r="D168" s="281">
        <f>B160/I89</f>
        <v>0.37563493913944335</v>
      </c>
      <c r="E168" t="s">
        <v>722</v>
      </c>
    </row>
    <row r="169" spans="2:9">
      <c r="B169" t="s">
        <v>885</v>
      </c>
      <c r="D169" s="281">
        <f>B161/I89</f>
        <v>3.159578388964563</v>
      </c>
      <c r="E169" t="s">
        <v>722</v>
      </c>
      <c r="F169" t="s">
        <v>890</v>
      </c>
    </row>
    <row r="170" spans="2:9">
      <c r="B170" t="s">
        <v>886</v>
      </c>
      <c r="D170" s="281">
        <f>Sbending</f>
        <v>9.8061211184025261</v>
      </c>
      <c r="E170" t="s">
        <v>722</v>
      </c>
      <c r="F170" t="s">
        <v>891</v>
      </c>
    </row>
    <row r="171" spans="2:9">
      <c r="B171" t="s">
        <v>887</v>
      </c>
      <c r="D171" s="281">
        <f>SUM(D168:D170)</f>
        <v>13.341334446506533</v>
      </c>
      <c r="E171" t="s">
        <v>722</v>
      </c>
      <c r="F171" t="s">
        <v>892</v>
      </c>
    </row>
    <row r="172" spans="2:9">
      <c r="B172" t="s">
        <v>901</v>
      </c>
      <c r="D172" s="281">
        <f>D111</f>
        <v>135.37777777777779</v>
      </c>
      <c r="F172" t="s">
        <v>893</v>
      </c>
      <c r="G172">
        <f>(B160/H164)/9.81</f>
        <v>2.4313117948284053</v>
      </c>
    </row>
    <row r="173" spans="2:9">
      <c r="B173" s="273" t="s">
        <v>889</v>
      </c>
      <c r="C173" s="273"/>
      <c r="D173" s="382">
        <f>ScyComp/D171</f>
        <v>4.0000055450734742</v>
      </c>
    </row>
    <row r="174" spans="2:9">
      <c r="B174" s="273" t="s">
        <v>888</v>
      </c>
      <c r="C174" s="273"/>
      <c r="D174" s="382">
        <f>StyComp/Sbending</f>
        <v>13.329159548711496</v>
      </c>
    </row>
    <row r="175" spans="2:9">
      <c r="B175" s="273" t="s">
        <v>895</v>
      </c>
      <c r="C175" s="273"/>
      <c r="D175" s="382">
        <f>D119</f>
        <v>41.2243178260332</v>
      </c>
    </row>
    <row r="177" spans="2:9">
      <c r="B177" t="s">
        <v>927</v>
      </c>
      <c r="F177" t="s">
        <v>951</v>
      </c>
    </row>
    <row r="178" spans="2:9">
      <c r="B178" t="s">
        <v>920</v>
      </c>
      <c r="D178">
        <f>(I89*I83)/(1000^3)</f>
        <v>6.4690467973159838E-4</v>
      </c>
      <c r="E178" t="s">
        <v>680</v>
      </c>
      <c r="F178" t="s">
        <v>953</v>
      </c>
    </row>
    <row r="179" spans="2:9">
      <c r="B179" t="s">
        <v>921</v>
      </c>
      <c r="D179">
        <f>F26*D178</f>
        <v>2.9110710587921927E-4</v>
      </c>
      <c r="E179" t="s">
        <v>680</v>
      </c>
      <c r="F179" t="s">
        <v>952</v>
      </c>
      <c r="G179">
        <f>I193</f>
        <v>0.67485735107802547</v>
      </c>
      <c r="H179" t="s">
        <v>954</v>
      </c>
    </row>
    <row r="180" spans="2:9">
      <c r="D180">
        <f>D179*(1000)</f>
        <v>0.29110710587921929</v>
      </c>
      <c r="E180" t="s">
        <v>403</v>
      </c>
      <c r="F180" s="384" t="s">
        <v>958</v>
      </c>
    </row>
    <row r="181" spans="2:9">
      <c r="B181" t="s">
        <v>922</v>
      </c>
      <c r="D181">
        <f>F25*D178</f>
        <v>3.5579757385237912E-4</v>
      </c>
      <c r="E181" t="s">
        <v>680</v>
      </c>
      <c r="F181" s="384" t="s">
        <v>960</v>
      </c>
    </row>
    <row r="182" spans="2:9">
      <c r="B182" t="s">
        <v>923</v>
      </c>
      <c r="D182">
        <f>D25*D181</f>
        <v>0.33978668302902204</v>
      </c>
      <c r="E182" t="s">
        <v>310</v>
      </c>
      <c r="F182" t="s">
        <v>961</v>
      </c>
    </row>
    <row r="183" spans="2:9">
      <c r="B183" t="s">
        <v>924</v>
      </c>
      <c r="D183">
        <f>D182/(D20/1000)</f>
        <v>1.7789878692618954</v>
      </c>
      <c r="E183" t="s">
        <v>223</v>
      </c>
      <c r="F183" s="385" t="s">
        <v>959</v>
      </c>
    </row>
    <row r="184" spans="2:9">
      <c r="B184" t="s">
        <v>925</v>
      </c>
      <c r="D184">
        <v>1.62</v>
      </c>
      <c r="E184" t="s">
        <v>197</v>
      </c>
    </row>
    <row r="185" spans="2:9">
      <c r="B185" t="s">
        <v>926</v>
      </c>
      <c r="D185">
        <f>D183/D184</f>
        <v>1.0981406600382071</v>
      </c>
      <c r="E185" t="s">
        <v>197</v>
      </c>
    </row>
    <row r="186" spans="2:9">
      <c r="H186" t="s">
        <v>956</v>
      </c>
      <c r="I186" t="s">
        <v>955</v>
      </c>
    </row>
    <row r="187" spans="2:9">
      <c r="B187" t="s">
        <v>928</v>
      </c>
      <c r="F187" t="s">
        <v>936</v>
      </c>
      <c r="I187" t="s">
        <v>679</v>
      </c>
    </row>
    <row r="188" spans="2:9">
      <c r="B188" t="s">
        <v>929</v>
      </c>
      <c r="D188" s="281">
        <v>0.2</v>
      </c>
      <c r="E188" t="s">
        <v>227</v>
      </c>
      <c r="F188">
        <v>0.3</v>
      </c>
      <c r="G188" t="s">
        <v>934</v>
      </c>
      <c r="I188">
        <f>($I$89/1000^2)*F188</f>
        <v>1.1979716291325894E-4</v>
      </c>
    </row>
    <row r="189" spans="2:9">
      <c r="B189" t="s">
        <v>931</v>
      </c>
      <c r="D189" s="281">
        <f>PI()*I87</f>
        <v>283.70941046776511</v>
      </c>
      <c r="E189" t="s">
        <v>227</v>
      </c>
      <c r="F189">
        <v>0.22</v>
      </c>
      <c r="G189" t="s">
        <v>935</v>
      </c>
      <c r="I189">
        <f t="shared" ref="I189:I191" si="3">($I$89/1000^2)*F189</f>
        <v>8.7851252803056561E-5</v>
      </c>
    </row>
    <row r="190" spans="2:9">
      <c r="B190" t="s">
        <v>205</v>
      </c>
      <c r="D190" s="281">
        <v>1620</v>
      </c>
      <c r="E190" t="s">
        <v>227</v>
      </c>
      <c r="F190">
        <v>0.37</v>
      </c>
      <c r="G190" t="s">
        <v>937</v>
      </c>
      <c r="I190">
        <f t="shared" si="3"/>
        <v>1.4774983425968604E-4</v>
      </c>
    </row>
    <row r="191" spans="2:9">
      <c r="B191" t="s">
        <v>930</v>
      </c>
      <c r="D191" s="281">
        <f>ROUNDUP(I84/D188,0)</f>
        <v>8</v>
      </c>
      <c r="E191" t="s">
        <v>933</v>
      </c>
      <c r="F191">
        <v>0.8</v>
      </c>
      <c r="G191" t="s">
        <v>938</v>
      </c>
      <c r="I191">
        <f t="shared" si="3"/>
        <v>3.1945910110202391E-4</v>
      </c>
    </row>
    <row r="192" spans="2:9">
      <c r="B192" t="s">
        <v>932</v>
      </c>
      <c r="D192" s="281">
        <f>(D189/1000)*(D190/1000)*D191</f>
        <v>3.676873959662236</v>
      </c>
      <c r="E192" t="s">
        <v>223</v>
      </c>
      <c r="F192">
        <f>SUM(F188:F191)</f>
        <v>1.69</v>
      </c>
      <c r="G192" s="386">
        <f>SUM(F190:F191)</f>
        <v>1.17</v>
      </c>
      <c r="H192" t="s">
        <v>939</v>
      </c>
      <c r="I192">
        <f>SUM(I188:I191)</f>
        <v>6.7485735107802544E-4</v>
      </c>
    </row>
    <row r="193" spans="2:10">
      <c r="B193" t="s">
        <v>925</v>
      </c>
      <c r="D193" s="281">
        <v>1.17</v>
      </c>
      <c r="I193">
        <f>I192*1000</f>
        <v>0.67485735107802547</v>
      </c>
      <c r="J193" t="s">
        <v>957</v>
      </c>
    </row>
    <row r="194" spans="2:10">
      <c r="B194" s="186" t="s">
        <v>926</v>
      </c>
      <c r="C194" s="186"/>
      <c r="D194" s="387">
        <f>D192/D193</f>
        <v>3.1426273159506293</v>
      </c>
    </row>
    <row r="195" spans="2:10">
      <c r="B195" t="s">
        <v>929</v>
      </c>
      <c r="D195" s="281">
        <v>0.2</v>
      </c>
      <c r="E195" t="s">
        <v>227</v>
      </c>
      <c r="F195" s="386">
        <v>1.17</v>
      </c>
      <c r="G195" t="s">
        <v>939</v>
      </c>
    </row>
    <row r="196" spans="2:10">
      <c r="B196" t="s">
        <v>931</v>
      </c>
      <c r="D196" s="281">
        <f>PI()*I87</f>
        <v>283.70941046776511</v>
      </c>
      <c r="E196" t="s">
        <v>227</v>
      </c>
    </row>
    <row r="197" spans="2:10">
      <c r="B197" t="s">
        <v>205</v>
      </c>
      <c r="D197" s="281">
        <v>1170</v>
      </c>
      <c r="E197" t="s">
        <v>227</v>
      </c>
    </row>
    <row r="198" spans="2:10">
      <c r="B198" t="s">
        <v>930</v>
      </c>
      <c r="D198" s="281">
        <v>9</v>
      </c>
      <c r="E198" t="s">
        <v>933</v>
      </c>
    </row>
    <row r="199" spans="2:10">
      <c r="B199" t="s">
        <v>932</v>
      </c>
      <c r="D199" s="281">
        <f>(D196/1000)*(D197/1000)*D198</f>
        <v>2.9874600922255663</v>
      </c>
      <c r="E199" t="s">
        <v>223</v>
      </c>
    </row>
    <row r="200" spans="2:10">
      <c r="B200" t="s">
        <v>925</v>
      </c>
      <c r="D200" s="281">
        <v>1.17</v>
      </c>
    </row>
    <row r="201" spans="2:10">
      <c r="B201" s="186" t="s">
        <v>926</v>
      </c>
      <c r="C201" s="186"/>
      <c r="D201" s="387">
        <f>D199/D200</f>
        <v>2.5533846942098859</v>
      </c>
    </row>
    <row r="202" spans="2:10">
      <c r="B202" t="s">
        <v>929</v>
      </c>
      <c r="D202" s="281">
        <v>0.2</v>
      </c>
      <c r="E202" t="s">
        <v>227</v>
      </c>
      <c r="F202" s="301">
        <f>SUM(F188:F189)</f>
        <v>0.52</v>
      </c>
      <c r="G202" t="s">
        <v>940</v>
      </c>
    </row>
    <row r="203" spans="2:10">
      <c r="B203" t="s">
        <v>931</v>
      </c>
      <c r="D203" s="281">
        <f>PI()*I87</f>
        <v>283.70941046776511</v>
      </c>
      <c r="E203" t="s">
        <v>227</v>
      </c>
    </row>
    <row r="204" spans="2:10">
      <c r="B204" t="s">
        <v>205</v>
      </c>
      <c r="D204" s="281">
        <v>520</v>
      </c>
      <c r="E204" t="s">
        <v>227</v>
      </c>
    </row>
    <row r="205" spans="2:10">
      <c r="B205" t="s">
        <v>930</v>
      </c>
      <c r="D205" s="281">
        <v>9</v>
      </c>
      <c r="E205" t="s">
        <v>933</v>
      </c>
    </row>
    <row r="206" spans="2:10">
      <c r="B206" t="s">
        <v>932</v>
      </c>
      <c r="D206" s="281">
        <f>(D203/1000)*(D204/1000)*D205</f>
        <v>1.3277600409891408</v>
      </c>
      <c r="E206" t="s">
        <v>223</v>
      </c>
    </row>
    <row r="207" spans="2:10">
      <c r="B207" t="s">
        <v>925</v>
      </c>
      <c r="D207" s="281">
        <v>0.52</v>
      </c>
    </row>
    <row r="208" spans="2:10">
      <c r="B208" t="s">
        <v>926</v>
      </c>
      <c r="D208" s="281">
        <f>D206/D207</f>
        <v>2.5533846942098859</v>
      </c>
    </row>
    <row r="210" spans="2:20">
      <c r="L210" t="s">
        <v>962</v>
      </c>
      <c r="Q210" t="s">
        <v>970</v>
      </c>
    </row>
    <row r="211" spans="2:20" ht="16">
      <c r="B211" s="388" t="s">
        <v>710</v>
      </c>
      <c r="C211" s="186"/>
      <c r="D211" s="186"/>
      <c r="L211" t="s">
        <v>963</v>
      </c>
      <c r="N211">
        <v>15</v>
      </c>
      <c r="O211" t="s">
        <v>196</v>
      </c>
      <c r="Q211" t="s">
        <v>973</v>
      </c>
      <c r="S211">
        <v>2</v>
      </c>
      <c r="T211" t="s">
        <v>227</v>
      </c>
    </row>
    <row r="212" spans="2:20">
      <c r="L212" t="s">
        <v>964</v>
      </c>
      <c r="N212">
        <v>10</v>
      </c>
      <c r="O212" t="s">
        <v>196</v>
      </c>
      <c r="Q212" t="s">
        <v>971</v>
      </c>
      <c r="S212">
        <v>0.25</v>
      </c>
      <c r="T212" t="s">
        <v>227</v>
      </c>
    </row>
    <row r="213" spans="2:20">
      <c r="L213" t="s">
        <v>965</v>
      </c>
      <c r="N213">
        <v>10</v>
      </c>
      <c r="O213" t="s">
        <v>196</v>
      </c>
      <c r="Q213" t="s">
        <v>972</v>
      </c>
      <c r="S213" s="286">
        <f>ROUNDUP(S211/S212,0)</f>
        <v>8</v>
      </c>
      <c r="T213" t="s">
        <v>933</v>
      </c>
    </row>
    <row r="214" spans="2:20">
      <c r="L214" t="s">
        <v>966</v>
      </c>
      <c r="N214">
        <v>40</v>
      </c>
      <c r="O214" t="s">
        <v>217</v>
      </c>
    </row>
    <row r="215" spans="2:20">
      <c r="Q215" t="s">
        <v>975</v>
      </c>
      <c r="S215">
        <f>4*S213</f>
        <v>32</v>
      </c>
      <c r="T215" t="s">
        <v>976</v>
      </c>
    </row>
    <row r="216" spans="2:20">
      <c r="L216" t="s">
        <v>967</v>
      </c>
      <c r="N216">
        <f>TAN(RADIANS(N214))*N213</f>
        <v>8.390996311772799</v>
      </c>
      <c r="O216" t="s">
        <v>196</v>
      </c>
    </row>
    <row r="217" spans="2:20">
      <c r="L217" t="s">
        <v>925</v>
      </c>
      <c r="N217">
        <f>N216+N212</f>
        <v>18.390996311772799</v>
      </c>
    </row>
    <row r="218" spans="2:20">
      <c r="L218" t="s">
        <v>926</v>
      </c>
      <c r="N218">
        <f>N213</f>
        <v>10</v>
      </c>
    </row>
    <row r="219" spans="2:20">
      <c r="L219" t="s">
        <v>968</v>
      </c>
      <c r="Q219" t="s">
        <v>974</v>
      </c>
    </row>
    <row r="220" spans="2:20">
      <c r="L220" t="s">
        <v>925</v>
      </c>
      <c r="N220" s="286">
        <f>N217+2.54*2</f>
        <v>23.470996311772801</v>
      </c>
      <c r="O220" t="s">
        <v>196</v>
      </c>
      <c r="Q220" t="s">
        <v>925</v>
      </c>
      <c r="R220">
        <v>8</v>
      </c>
      <c r="S220">
        <f>R220*N221</f>
        <v>120.64</v>
      </c>
    </row>
    <row r="221" spans="2:20">
      <c r="L221" t="s">
        <v>926</v>
      </c>
      <c r="N221" s="286">
        <f>N218+2.54*2</f>
        <v>15.08</v>
      </c>
      <c r="O221" t="s">
        <v>196</v>
      </c>
      <c r="Q221" t="s">
        <v>926</v>
      </c>
      <c r="R221">
        <f>S215/R220</f>
        <v>4</v>
      </c>
      <c r="S221">
        <f>R221*N220</f>
        <v>93.883985247091204</v>
      </c>
    </row>
    <row r="223" spans="2:20">
      <c r="L223" t="s">
        <v>969</v>
      </c>
      <c r="P223">
        <f>23/100</f>
        <v>0.23</v>
      </c>
      <c r="Q223">
        <f>15/100</f>
        <v>0.15</v>
      </c>
    </row>
    <row r="224" spans="2:20">
      <c r="L224" t="s">
        <v>925</v>
      </c>
      <c r="N224">
        <v>1.27</v>
      </c>
      <c r="O224" t="s">
        <v>197</v>
      </c>
      <c r="P224" s="281">
        <f>$N$224/P223</f>
        <v>5.5217391304347823</v>
      </c>
      <c r="Q224" s="281">
        <f>$N$224/Q223</f>
        <v>8.4666666666666668</v>
      </c>
    </row>
    <row r="225" spans="2:17">
      <c r="P225" s="281"/>
      <c r="Q225" s="281"/>
    </row>
    <row r="226" spans="2:17">
      <c r="P226" s="281"/>
      <c r="Q226" s="281"/>
    </row>
    <row r="227" spans="2:17">
      <c r="L227" t="s">
        <v>926</v>
      </c>
    </row>
    <row r="228" spans="2:17">
      <c r="Q228">
        <f>0.47*N221</f>
        <v>7.0875999999999992</v>
      </c>
    </row>
    <row r="229" spans="2:17" ht="16">
      <c r="B229" s="388" t="s">
        <v>993</v>
      </c>
      <c r="C229" s="186"/>
    </row>
    <row r="230" spans="2:17" ht="16">
      <c r="B230" s="449" t="s">
        <v>979</v>
      </c>
      <c r="C230" s="448"/>
      <c r="D230">
        <f>88.9-0.005*25.4*2</f>
        <v>88.646000000000001</v>
      </c>
      <c r="E230" t="s">
        <v>227</v>
      </c>
    </row>
    <row r="231" spans="2:17" ht="16">
      <c r="B231" s="449" t="s">
        <v>981</v>
      </c>
      <c r="C231" s="448"/>
      <c r="D231">
        <f>D230/2</f>
        <v>44.323</v>
      </c>
    </row>
    <row r="232" spans="2:17">
      <c r="B232" t="s">
        <v>982</v>
      </c>
      <c r="C232" s="448"/>
      <c r="D232">
        <v>5</v>
      </c>
      <c r="E232" t="s">
        <v>196</v>
      </c>
    </row>
    <row r="233" spans="2:17" ht="16">
      <c r="B233" s="449" t="s">
        <v>980</v>
      </c>
      <c r="C233" s="448"/>
      <c r="D233">
        <v>56.1</v>
      </c>
      <c r="E233" t="s">
        <v>227</v>
      </c>
    </row>
    <row r="234" spans="2:17" ht="16">
      <c r="B234" s="451" t="s">
        <v>983</v>
      </c>
      <c r="D234">
        <f>PI()*D230*D232*10</f>
        <v>13924.481118506039</v>
      </c>
      <c r="E234" t="s">
        <v>871</v>
      </c>
      <c r="L234" t="s">
        <v>977</v>
      </c>
    </row>
    <row r="235" spans="2:17" ht="16">
      <c r="B235" s="451" t="s">
        <v>984</v>
      </c>
      <c r="D235">
        <f>(PI()/4)*((D233^2)-D231^2)</f>
        <v>928.87601228722519</v>
      </c>
      <c r="E235" t="s">
        <v>985</v>
      </c>
    </row>
    <row r="236" spans="2:17" ht="16">
      <c r="B236" s="451" t="s">
        <v>986</v>
      </c>
      <c r="D236">
        <v>1200</v>
      </c>
      <c r="E236" t="s">
        <v>717</v>
      </c>
    </row>
    <row r="237" spans="2:17" ht="16">
      <c r="B237" s="451" t="s">
        <v>987</v>
      </c>
      <c r="E237" t="s">
        <v>722</v>
      </c>
    </row>
    <row r="238" spans="2:17" ht="16">
      <c r="B238" s="451" t="s">
        <v>988</v>
      </c>
      <c r="E238" t="s">
        <v>722</v>
      </c>
    </row>
    <row r="239" spans="2:17" ht="16">
      <c r="B239" s="451" t="s">
        <v>989</v>
      </c>
      <c r="E239" t="s">
        <v>722</v>
      </c>
    </row>
    <row r="240" spans="2:17" ht="16">
      <c r="B240" s="451" t="s">
        <v>990</v>
      </c>
      <c r="E240" t="s">
        <v>722</v>
      </c>
    </row>
    <row r="241" spans="2:2" ht="16">
      <c r="B241" s="451" t="s">
        <v>991</v>
      </c>
    </row>
    <row r="242" spans="2:2" ht="16">
      <c r="B242" s="451" t="s">
        <v>992</v>
      </c>
    </row>
    <row r="243" spans="2:2">
      <c r="B243" s="450"/>
    </row>
    <row r="244" spans="2:2">
      <c r="B244" s="450"/>
    </row>
    <row r="245" spans="2:2">
      <c r="B245" s="450"/>
    </row>
    <row r="246" spans="2:2">
      <c r="B246" s="450"/>
    </row>
    <row r="266" spans="2:9">
      <c r="B266" s="389" t="s">
        <v>687</v>
      </c>
      <c r="C266" s="186"/>
      <c r="D266" s="186"/>
      <c r="E266" s="186"/>
    </row>
    <row r="267" spans="2:9" ht="43.5">
      <c r="B267" t="s">
        <v>690</v>
      </c>
      <c r="C267" t="s">
        <v>688</v>
      </c>
      <c r="D267" t="s">
        <v>691</v>
      </c>
      <c r="E267" t="s">
        <v>692</v>
      </c>
      <c r="F267" s="353" t="s">
        <v>696</v>
      </c>
      <c r="G267" t="s">
        <v>689</v>
      </c>
      <c r="H267" t="s">
        <v>694</v>
      </c>
      <c r="I267" t="s">
        <v>695</v>
      </c>
    </row>
    <row r="268" spans="2:9">
      <c r="B268">
        <v>2</v>
      </c>
      <c r="C268">
        <v>2.375</v>
      </c>
      <c r="D268">
        <f>C268-2*E268</f>
        <v>2.0670000000000002</v>
      </c>
      <c r="E268">
        <v>0.154</v>
      </c>
      <c r="F268" t="s">
        <v>697</v>
      </c>
      <c r="G268">
        <f>C268*25.4</f>
        <v>60.324999999999996</v>
      </c>
      <c r="H268">
        <f t="shared" ref="H268:I268" si="4">D268*25.4</f>
        <v>52.501800000000003</v>
      </c>
      <c r="I268">
        <f t="shared" si="4"/>
        <v>3.9115999999999995</v>
      </c>
    </row>
    <row r="269" spans="2:9">
      <c r="B269">
        <v>2</v>
      </c>
      <c r="C269">
        <v>2.375</v>
      </c>
      <c r="D269">
        <f t="shared" ref="D269:D277" si="5">C269-2*E269</f>
        <v>1.9390000000000001</v>
      </c>
      <c r="E269">
        <v>0.218</v>
      </c>
      <c r="F269" t="s">
        <v>698</v>
      </c>
      <c r="G269">
        <f t="shared" ref="G269:G277" si="6">C269*25.4</f>
        <v>60.324999999999996</v>
      </c>
      <c r="H269">
        <f t="shared" ref="H269:H277" si="7">D269*25.4</f>
        <v>49.250599999999999</v>
      </c>
      <c r="I269">
        <f t="shared" ref="I269:I277" si="8">E269*25.4</f>
        <v>5.5371999999999995</v>
      </c>
    </row>
    <row r="270" spans="2:9">
      <c r="B270">
        <v>2.5</v>
      </c>
      <c r="C270">
        <v>2.875</v>
      </c>
      <c r="D270">
        <f t="shared" si="5"/>
        <v>2.4689999999999999</v>
      </c>
      <c r="E270">
        <v>0.20300000000000001</v>
      </c>
      <c r="F270" t="s">
        <v>697</v>
      </c>
      <c r="G270">
        <f t="shared" si="6"/>
        <v>73.024999999999991</v>
      </c>
      <c r="H270">
        <f t="shared" si="7"/>
        <v>62.712599999999995</v>
      </c>
      <c r="I270">
        <f t="shared" si="8"/>
        <v>5.1562000000000001</v>
      </c>
    </row>
    <row r="271" spans="2:9">
      <c r="B271">
        <v>2.5</v>
      </c>
      <c r="C271">
        <v>2.875</v>
      </c>
      <c r="D271">
        <f t="shared" si="5"/>
        <v>2.323</v>
      </c>
      <c r="E271">
        <v>0.27600000000000002</v>
      </c>
      <c r="F271" t="s">
        <v>698</v>
      </c>
      <c r="G271">
        <f t="shared" si="6"/>
        <v>73.024999999999991</v>
      </c>
      <c r="H271">
        <f t="shared" si="7"/>
        <v>59.004199999999997</v>
      </c>
      <c r="I271">
        <f t="shared" si="8"/>
        <v>7.0104000000000006</v>
      </c>
    </row>
    <row r="272" spans="2:9">
      <c r="B272">
        <v>3</v>
      </c>
      <c r="C272">
        <v>3.5</v>
      </c>
      <c r="D272">
        <f t="shared" si="5"/>
        <v>3.0680000000000001</v>
      </c>
      <c r="E272">
        <v>0.216</v>
      </c>
      <c r="F272" t="s">
        <v>697</v>
      </c>
      <c r="G272">
        <f t="shared" si="6"/>
        <v>88.899999999999991</v>
      </c>
      <c r="H272">
        <f t="shared" si="7"/>
        <v>77.927199999999999</v>
      </c>
      <c r="I272">
        <f t="shared" si="8"/>
        <v>5.4863999999999997</v>
      </c>
    </row>
    <row r="273" spans="2:9">
      <c r="B273">
        <v>3</v>
      </c>
      <c r="C273">
        <v>3.5</v>
      </c>
      <c r="D273">
        <f t="shared" si="5"/>
        <v>2.9</v>
      </c>
      <c r="E273">
        <v>0.3</v>
      </c>
      <c r="F273" t="s">
        <v>698</v>
      </c>
      <c r="G273">
        <f t="shared" si="6"/>
        <v>88.899999999999991</v>
      </c>
      <c r="H273">
        <f t="shared" si="7"/>
        <v>73.66</v>
      </c>
      <c r="I273">
        <f t="shared" si="8"/>
        <v>7.6199999999999992</v>
      </c>
    </row>
    <row r="274" spans="2:9">
      <c r="B274">
        <v>3.5</v>
      </c>
      <c r="C274">
        <v>4</v>
      </c>
      <c r="D274">
        <f t="shared" si="5"/>
        <v>3.548</v>
      </c>
      <c r="E274">
        <v>0.22600000000000001</v>
      </c>
      <c r="F274" t="s">
        <v>697</v>
      </c>
      <c r="G274">
        <f t="shared" si="6"/>
        <v>101.6</v>
      </c>
      <c r="H274">
        <f t="shared" si="7"/>
        <v>90.119199999999992</v>
      </c>
      <c r="I274">
        <f t="shared" si="8"/>
        <v>5.7404000000000002</v>
      </c>
    </row>
    <row r="275" spans="2:9">
      <c r="B275">
        <v>3.5</v>
      </c>
      <c r="C275">
        <v>4</v>
      </c>
      <c r="D275">
        <f t="shared" si="5"/>
        <v>3.3639999999999999</v>
      </c>
      <c r="E275">
        <v>0.318</v>
      </c>
      <c r="F275" t="s">
        <v>698</v>
      </c>
      <c r="G275">
        <f t="shared" si="6"/>
        <v>101.6</v>
      </c>
      <c r="H275">
        <f t="shared" si="7"/>
        <v>85.445599999999999</v>
      </c>
      <c r="I275">
        <f t="shared" si="8"/>
        <v>8.0771999999999995</v>
      </c>
    </row>
    <row r="276" spans="2:9">
      <c r="B276">
        <v>4</v>
      </c>
      <c r="C276">
        <v>4.5</v>
      </c>
      <c r="D276">
        <f t="shared" si="5"/>
        <v>4.0259999999999998</v>
      </c>
      <c r="E276">
        <v>0.23699999999999999</v>
      </c>
      <c r="F276" t="s">
        <v>697</v>
      </c>
      <c r="G276">
        <f t="shared" si="6"/>
        <v>114.3</v>
      </c>
      <c r="H276">
        <f t="shared" si="7"/>
        <v>102.26039999999999</v>
      </c>
      <c r="I276">
        <f t="shared" si="8"/>
        <v>6.0197999999999992</v>
      </c>
    </row>
    <row r="277" spans="2:9">
      <c r="B277">
        <v>4</v>
      </c>
      <c r="C277">
        <v>4.5</v>
      </c>
      <c r="D277">
        <f t="shared" si="5"/>
        <v>3.8260000000000001</v>
      </c>
      <c r="E277">
        <v>0.33700000000000002</v>
      </c>
      <c r="F277" t="s">
        <v>698</v>
      </c>
      <c r="G277">
        <f t="shared" si="6"/>
        <v>114.3</v>
      </c>
      <c r="H277">
        <f t="shared" si="7"/>
        <v>97.180399999999992</v>
      </c>
      <c r="I277">
        <f t="shared" si="8"/>
        <v>8.5597999999999992</v>
      </c>
    </row>
    <row r="279" spans="2:9">
      <c r="B279" t="s">
        <v>693</v>
      </c>
      <c r="C279" t="s">
        <v>699</v>
      </c>
    </row>
    <row r="280" spans="2:9">
      <c r="B280" t="s">
        <v>704</v>
      </c>
      <c r="C280" t="s">
        <v>700</v>
      </c>
    </row>
    <row r="282" spans="2:9" ht="72.5">
      <c r="B282" s="353" t="s">
        <v>749</v>
      </c>
      <c r="C282" s="353" t="s">
        <v>820</v>
      </c>
      <c r="D282" t="s">
        <v>409</v>
      </c>
    </row>
    <row r="283" spans="2:9" ht="29">
      <c r="B283" s="63" t="s">
        <v>750</v>
      </c>
      <c r="C283" s="63">
        <v>23.6</v>
      </c>
      <c r="D283" s="365" t="s">
        <v>751</v>
      </c>
    </row>
    <row r="284" spans="2:9">
      <c r="B284" s="63" t="s">
        <v>752</v>
      </c>
      <c r="C284" s="63">
        <v>23.2</v>
      </c>
      <c r="D284" s="365" t="s">
        <v>753</v>
      </c>
    </row>
    <row r="285" spans="2:9">
      <c r="B285" s="63" t="s">
        <v>754</v>
      </c>
      <c r="C285" s="63">
        <v>22</v>
      </c>
      <c r="D285" s="365" t="s">
        <v>755</v>
      </c>
    </row>
    <row r="286" spans="2:9">
      <c r="B286" s="63" t="s">
        <v>756</v>
      </c>
      <c r="C286" s="63">
        <v>23.6</v>
      </c>
      <c r="D286" s="365" t="s">
        <v>757</v>
      </c>
    </row>
    <row r="287" spans="2:9">
      <c r="B287" s="63" t="s">
        <v>758</v>
      </c>
      <c r="C287" s="63">
        <v>23.5</v>
      </c>
      <c r="D287" s="365" t="s">
        <v>759</v>
      </c>
    </row>
    <row r="288" spans="2:9" ht="29">
      <c r="B288" s="63" t="s">
        <v>760</v>
      </c>
      <c r="C288" s="63">
        <v>21.5</v>
      </c>
      <c r="D288" s="365" t="s">
        <v>761</v>
      </c>
    </row>
    <row r="289" spans="2:8" ht="29">
      <c r="B289" s="63" t="s">
        <v>762</v>
      </c>
      <c r="C289" s="63">
        <v>21.5</v>
      </c>
      <c r="D289" s="365" t="s">
        <v>763</v>
      </c>
    </row>
    <row r="293" spans="2:8">
      <c r="B293" t="s">
        <v>821</v>
      </c>
    </row>
    <row r="294" spans="2:8">
      <c r="B294" t="s">
        <v>822</v>
      </c>
      <c r="C294" t="s">
        <v>837</v>
      </c>
      <c r="D294" t="s">
        <v>823</v>
      </c>
      <c r="E294" t="s">
        <v>824</v>
      </c>
    </row>
    <row r="295" spans="2:8">
      <c r="B295">
        <v>310</v>
      </c>
      <c r="C295">
        <f>B295*D295</f>
        <v>310</v>
      </c>
      <c r="D295">
        <v>1</v>
      </c>
      <c r="E295" s="301" t="s">
        <v>825</v>
      </c>
    </row>
    <row r="296" spans="2:8">
      <c r="B296">
        <v>840</v>
      </c>
      <c r="C296">
        <f t="shared" ref="C296:C306" si="9">B296*D296</f>
        <v>840</v>
      </c>
      <c r="D296">
        <v>1</v>
      </c>
      <c r="E296" s="301" t="s">
        <v>826</v>
      </c>
    </row>
    <row r="297" spans="2:8">
      <c r="B297">
        <v>840</v>
      </c>
      <c r="C297">
        <f t="shared" si="9"/>
        <v>840</v>
      </c>
      <c r="D297">
        <v>1</v>
      </c>
      <c r="E297" s="301" t="s">
        <v>909</v>
      </c>
    </row>
    <row r="298" spans="2:8">
      <c r="B298">
        <v>595</v>
      </c>
      <c r="C298" s="300">
        <f t="shared" si="9"/>
        <v>595</v>
      </c>
      <c r="D298">
        <v>1</v>
      </c>
      <c r="E298" t="s">
        <v>827</v>
      </c>
      <c r="H298" s="364" t="s">
        <v>910</v>
      </c>
    </row>
    <row r="299" spans="2:8">
      <c r="B299">
        <v>590</v>
      </c>
      <c r="C299" s="300">
        <f t="shared" si="9"/>
        <v>590</v>
      </c>
      <c r="D299">
        <v>1</v>
      </c>
      <c r="E299" t="s">
        <v>828</v>
      </c>
      <c r="H299" s="364" t="s">
        <v>911</v>
      </c>
    </row>
    <row r="300" spans="2:8">
      <c r="B300" s="300">
        <v>360</v>
      </c>
      <c r="C300">
        <f t="shared" si="9"/>
        <v>1800</v>
      </c>
      <c r="D300">
        <v>5</v>
      </c>
      <c r="E300" t="s">
        <v>829</v>
      </c>
      <c r="H300" s="364" t="s">
        <v>912</v>
      </c>
    </row>
    <row r="301" spans="2:8">
      <c r="B301">
        <v>649</v>
      </c>
      <c r="C301">
        <f>B301*D301</f>
        <v>649</v>
      </c>
      <c r="D301">
        <v>1</v>
      </c>
      <c r="E301" s="301" t="s">
        <v>830</v>
      </c>
    </row>
    <row r="302" spans="2:8">
      <c r="B302">
        <v>800</v>
      </c>
      <c r="C302" s="300">
        <f t="shared" si="9"/>
        <v>1600</v>
      </c>
      <c r="D302">
        <v>2</v>
      </c>
      <c r="E302" t="s">
        <v>831</v>
      </c>
    </row>
    <row r="303" spans="2:8">
      <c r="B303">
        <v>85</v>
      </c>
      <c r="C303">
        <f t="shared" si="9"/>
        <v>85</v>
      </c>
      <c r="D303">
        <v>1</v>
      </c>
      <c r="E303" s="301" t="s">
        <v>913</v>
      </c>
    </row>
    <row r="304" spans="2:8">
      <c r="B304">
        <v>320</v>
      </c>
      <c r="C304" s="300">
        <f>B304*D304</f>
        <v>960</v>
      </c>
      <c r="D304">
        <v>3</v>
      </c>
      <c r="E304" t="s">
        <v>914</v>
      </c>
    </row>
    <row r="305" spans="2:5">
      <c r="B305">
        <v>320</v>
      </c>
      <c r="C305">
        <f t="shared" si="9"/>
        <v>0</v>
      </c>
      <c r="E305" t="s">
        <v>915</v>
      </c>
    </row>
    <row r="306" spans="2:5">
      <c r="B306">
        <v>420</v>
      </c>
      <c r="C306">
        <f t="shared" si="9"/>
        <v>1260</v>
      </c>
      <c r="D306">
        <v>3</v>
      </c>
      <c r="E306" t="s">
        <v>978</v>
      </c>
    </row>
    <row r="308" spans="2:5">
      <c r="C308">
        <f>C298+B300+C302+C304</f>
        <v>3515</v>
      </c>
      <c r="D308" t="s">
        <v>324</v>
      </c>
    </row>
  </sheetData>
  <dataConsolidate/>
  <mergeCells count="1">
    <mergeCell ref="E3:H4"/>
  </mergeCells>
  <dataValidations disablePrompts="1" count="2">
    <dataValidation type="list" allowBlank="1" showInputMessage="1" showErrorMessage="1" sqref="D83" xr:uid="{00000000-0002-0000-0400-000000000000}">
      <formula1>$C$268:$C$277</formula1>
    </dataValidation>
    <dataValidation type="list" allowBlank="1" showInputMessage="1" showErrorMessage="1" sqref="D85" xr:uid="{00000000-0002-0000-0400-000001000000}">
      <formula1>$B$283:$B$289</formula1>
    </dataValidation>
  </dataValidations>
  <hyperlinks>
    <hyperlink ref="B13" r:id="rId1" xr:uid="{00000000-0004-0000-0400-000000000000}"/>
    <hyperlink ref="H299" r:id="rId2" xr:uid="{00000000-0004-0000-0400-000001000000}"/>
    <hyperlink ref="H298" r:id="rId3" xr:uid="{00000000-0004-0000-0400-000002000000}"/>
    <hyperlink ref="H300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45" t="s">
        <v>539</v>
      </c>
      <c r="B1" s="445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45" t="s">
        <v>540</v>
      </c>
      <c r="B6" s="445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46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46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46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47"/>
      <c r="C5" s="447"/>
      <c r="D5" s="447"/>
      <c r="E5" s="447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2025-09-23T15:38:59Z</cp:lastPrinted>
  <dcterms:created xsi:type="dcterms:W3CDTF">2024-07-02T19:27:32Z</dcterms:created>
  <dcterms:modified xsi:type="dcterms:W3CDTF">2025-09-25T12:41:15Z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