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E84C0CA6-CEA4-4070-B202-45F854D27CC7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25" l="1"/>
  <c r="M119" i="25"/>
  <c r="L119" i="25"/>
  <c r="L113" i="25"/>
  <c r="L112" i="25"/>
  <c r="M111" i="25"/>
  <c r="M112" i="25" s="1"/>
  <c r="L111" i="25"/>
  <c r="M110" i="25"/>
  <c r="L110" i="25"/>
  <c r="M109" i="25"/>
  <c r="L109" i="25"/>
  <c r="L108" i="25"/>
  <c r="D93" i="25"/>
  <c r="B33" i="25"/>
  <c r="B37" i="25"/>
  <c r="B39" i="25"/>
  <c r="B85" i="25"/>
  <c r="D78" i="25"/>
  <c r="D79" i="25" s="1"/>
  <c r="D77" i="25"/>
  <c r="D73" i="25"/>
  <c r="I75" i="25"/>
  <c r="I74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M113" i="25" l="1"/>
  <c r="I76" i="25"/>
  <c r="I78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06" i="25"/>
  <c r="I206" i="25"/>
  <c r="G207" i="25"/>
  <c r="I207" i="25"/>
  <c r="G208" i="25"/>
  <c r="I208" i="25"/>
  <c r="G209" i="25"/>
  <c r="I209" i="25"/>
  <c r="G210" i="25"/>
  <c r="I210" i="25"/>
  <c r="G211" i="25"/>
  <c r="I211" i="25"/>
  <c r="G212" i="25"/>
  <c r="I212" i="25"/>
  <c r="G213" i="25"/>
  <c r="I213" i="25"/>
  <c r="G214" i="25"/>
  <c r="I214" i="25"/>
  <c r="I205" i="25"/>
  <c r="G205" i="25"/>
  <c r="D208" i="25"/>
  <c r="H208" i="25" s="1"/>
  <c r="D209" i="25"/>
  <c r="H209" i="25" s="1"/>
  <c r="D210" i="25"/>
  <c r="H210" i="25" s="1"/>
  <c r="D211" i="25"/>
  <c r="H211" i="25" s="1"/>
  <c r="D212" i="25"/>
  <c r="H212" i="25" s="1"/>
  <c r="D213" i="25"/>
  <c r="H213" i="25" s="1"/>
  <c r="D214" i="25"/>
  <c r="H214" i="25" s="1"/>
  <c r="D206" i="25"/>
  <c r="H206" i="25" s="1"/>
  <c r="D207" i="25"/>
  <c r="H207" i="25" s="1"/>
  <c r="D205" i="25"/>
  <c r="H205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77" authorId="1" shapeId="0" xr:uid="{A43023B3-6966-45DE-A1CC-1501797BAEF2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03" authorId="1" shapeId="0" xr:uid="{00000000-0006-0000-04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<sst xmlns="http://schemas.openxmlformats.org/spreadsheetml/2006/main" count="1307" uniqueCount="832">
  <si>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</si>
  <si>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</si>
  <si>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</si>
  <si>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</si>
  <si>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</si>
  <si>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</si>
  <si>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</si>
  <si>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</si>
  <si>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</si>
  <si>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</si>
  <si>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</si>
  <si>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</si>
  <si>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</si>
  <si>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</si>
  <si>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</si>
  <si>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</si>
  <si>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</si>
  <si>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</si>
  <si>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</si>
  <si>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</si>
  <si>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</si>
  <si>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</si>
  <si>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</si>
  <si>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</si>
  <si>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</si>
  <si>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</si>
  <si>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</si>
  <si>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</si>
  <si>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</si>
  <si>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</si>
  <si>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</si>
  <si>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</si>
  <si>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</si>
  <si>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</si>
  <si>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</si>
  <si>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</si>
  <si>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</si>
  <si>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</si>
  <si>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</si>
  <si>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</si>
  <si>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</si>
  <si>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</si>
  <si>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</si>
  <si>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</si>
  <si>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</si>
  <si>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</si>
  <si>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</si>
  <si>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</si>
  <si>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</si>
  <si>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</si>
  <si>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</si>
  <si>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</si>
  <si>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</si>
  <si>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</si>
  <si>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</si>
  <si>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</si>
  <si>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</si>
  <si>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</si>
  <si>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</si>
  <si>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</si>
  <si>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</si>
  <si>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</si>
  <si>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</si>
  <si>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</si>
  <si>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</si>
  <si>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</si>
  <si>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</si>
  <si>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</si>
  <si>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</si>
  <si>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</si>
  <si>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</si>
  <si>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</si>
  <si>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</si>
  <si>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</si>
  <si>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</si>
  <si>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</si>
  <si>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</si>
  <si>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</si>
  <si>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</si>
  <si>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</si>
  <si>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</si>
  <si>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</si>
  <si>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</si>
  <si>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</si>
  <si>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</si>
  <si>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</si>
  <si>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</si>
  <si>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</si>
  <si>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</si>
  <si>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</si>
  <si>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</si>
  <si>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</si>
  <si>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</si>
  <si>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</si>
  <si>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</si>
  <si>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</si>
  <si>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</si>
  <si>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</si>
  <si>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</si>
  <si>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</si>
  <si>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</si>
  <si>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</si>
  <si>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</si>
  <si>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</si>
  <si>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</si>
  <si>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</si>
  <si>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</si>
  <si>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</si>
  <si>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</si>
  <si>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</si>
  <si>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</si>
  <si>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</si>
  <si>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</si>
  <si>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</si>
  <si>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</si>
  <si>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</si>
  <si>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</si>
  <si>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</si>
  <si>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</si>
  <si>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</si>
  <si>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</si>
  <si>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</si>
  <si>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</si>
  <si>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</si>
  <si>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</si>
  <si>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</si>
  <si>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</si>
  <si>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</si>
  <si>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</si>
  <si>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</si>
  <si>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</si>
  <si>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</si>
  <si>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</si>
  <si>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</si>
  <si>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</si>
  <si>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</si>
  <si>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</si>
  <si>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</si>
  <si>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</si>
  <si>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</si>
  <si>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</si>
  <si>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</si>
  <si>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</si>
  <si>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</si>
  <si>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</si>
  <si>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</si>
  <si>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</si>
  <si>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</si>
  <si>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</si>
  <si>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</si>
  <si>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</si>
  <si>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</si>
  <si>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</si>
  <si>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</si>
  <si>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</si>
  <si>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</si>
  <si>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</si>
  <si>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</si>
  <si>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</si>
  <si>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</si>
  <si>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</si>
  <si>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</si>
  <si>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</si>
  <si>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</si>
  <si>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</si>
  <si>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</si>
  <si>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</si>
  <si>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</si>
  <si>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</si>
  <si>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</si>
  <si>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</si>
  <si>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</si>
  <si>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</si>
  <si>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</si>
  <si>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</si>
  <si>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</si>
  <si>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</si>
  <si>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</si>
  <si>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</si>
  <si>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</si>
  <si>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</si>
  <si>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</si>
  <si>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</si>
  <si>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</si>
  <si>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</si>
  <si>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</si>
  <si>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</si>
  <si>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</si>
  <si>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</si>
  <si>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</si>
  <si>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</si>
  <si>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</si>
  <si>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</si>
  <si>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</si>
  <si>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</si>
  <si>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</si>
  <si>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</si>
  <si>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</si>
  <si>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</si>
  <si>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</si>
  <si>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</si>
  <si>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</si>
  <si>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</si>
  <si>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</si>
  <si>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</si>
  <si>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</si>
  <si>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</si>
  <si>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</si>
  <si>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</si>
  <si>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</si>
  <si>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</si>
  <si>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</si>
  <si>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</si>
  <si>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</si>
  <si>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</si>
  <si>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</si>
  <si>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</si>
  <si>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</si>
  <si>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</si>
  <si>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</si>
  <si>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</si>
  <si>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</si>
  <si>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</si>
  <si>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</si>
  <si>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</si>
  <si>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</si>
  <si>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</si>
  <si>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</si>
  <si>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</si>
  <si>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</si>
  <si>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</si>
  <si>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</si>
  <si>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</si>
  <si>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</si>
  <si>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</si>
  <si>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</si>
  <si>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</si>
  <si>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</si>
  <si>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</si>
  <si>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</si>
  <si>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</si>
  <si>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</si>
  <si>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</si>
  <si>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</si>
  <si>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</si>
  <si>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</si>
  <si>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</si>
  <si>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</si>
  <si>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</si>
  <si>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</si>
  <si>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</si>
  <si>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</si>
  <si>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</si>
  <si>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</si>
  <si>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</si>
  <si>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</si>
  <si>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</si>
  <si>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</si>
  <si>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</si>
  <si>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</si>
  <si>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</si>
  <si>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</si>
  <si>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</si>
  <si>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</si>
  <si>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</si>
  <si>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</si>
  <si>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</si>
  <si>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</si>
  <si>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</si>
  <si>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</si>
  <si>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</si>
  <si>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</si>
  <si>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</si>
  <si>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</si>
  <si>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</si>
  <si>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</si>
  <si>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</si>
  <si>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</si>
  <si>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</si>
  <si>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</si>
  <si>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</si>
  <si>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</si>
  <si>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</si>
  <si>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</si>
  <si>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</si>
  <si>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</si>
  <si>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</si>
  <si>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</si>
  <si>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</si>
  <si>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</si>
  <si>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</si>
  <si>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</si>
  <si>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</si>
  <si>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</si>
  <si>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</si>
  <si>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</si>
  <si>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</si>
  <si>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</si>
  <si>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</si>
  <si>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</si>
  <si>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</si>
  <si>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</si>
  <si>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</si>
  <si>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</si>
  <si>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</si>
  <si>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</si>
  <si>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</si>
  <si>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</si>
  <si>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</si>
  <si>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</si>
  <si>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</si>
  <si>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</si>
  <si>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</si>
  <si>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</si>
  <si>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</si>
  <si>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</si>
  <si>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</si>
  <si>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</si>
  <si>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</si>
  <si>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</si>
  <si>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</si>
  <si>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</si>
  <si>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</si>
  <si>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</si>
  <si>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</si>
  <si>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</si>
  <si>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</si>
  <si>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</si>
  <si>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</si>
  <si>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</si>
  <si>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</si>
  <si>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</si>
  <si>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</si>
  <si>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</si>
  <si>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</si>
  <si>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</si>
  <si>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</si>
  <si>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</si>
  <si>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</si>
  <si>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</si>
  <si>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</si>
  <si>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</si>
  <si>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</si>
  <si>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</si>
  <si>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</si>
  <si>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</si>
  <si>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</si>
  <si>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</si>
  <si>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</si>
  <si>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</si>
  <si>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</si>
  <si>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</si>
  <si>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</si>
  <si>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</si>
  <si>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</si>
  <si>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</si>
  <si>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</si>
  <si>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</si>
  <si>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</si>
  <si>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</si>
  <si>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</si>
  <si>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</si>
  <si>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</si>
  <si>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</si>
  <si>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</si>
  <si>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</si>
  <si>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</si>
  <si>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</si>
  <si>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</si>
  <si>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</si>
  <si>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</si>
  <si>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</si>
  <si>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</si>
  <si>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</si>
  <si>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</si>
  <si>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</si>
  <si>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</si>
  <si>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</si>
  <si>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</si>
  <si>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</si>
  <si>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</si>
  <si>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</si>
  <si>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</si>
  <si>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</si>
  <si>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</si>
  <si>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</si>
  <si>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</si>
  <si>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</si>
  <si>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</si>
  <si>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</si>
  <si>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</si>
  <si>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</si>
  <si>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</si>
  <si>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</si>
  <si>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</si>
  <si>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</si>
  <si>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</si>
  <si>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</si>
  <si>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</si>
  <si>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</si>
  <si>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</si>
  <si>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</si>
  <si>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</si>
  <si>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</si>
  <si>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</si>
  <si>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</si>
  <si>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</si>
  <si>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</si>
  <si>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</si>
  <si>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</si>
  <si>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</si>
  <si>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</si>
  <si>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</si>
  <si>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</si>
  <si>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</si>
  <si>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</si>
  <si>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</si>
  <si>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</si>
  <si>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</si>
  <si>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</si>
  <si>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</si>
  <si>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</si>
  <si>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</si>
  <si>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</si>
  <si>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</si>
  <si>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</si>
  <si>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</si>
  <si>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</si>
  <si>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</si>
  <si>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</si>
  <si>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</si>
  <si>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</si>
  <si>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</si>
  <si>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</si>
  <si>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</si>
  <si>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</si>
  <si>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</si>
  <si>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</si>
  <si>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</si>
  <si>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</si>
  <si>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</si>
  <si>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</si>
  <si>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</si>
  <si>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</si>
  <si>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</si>
  <si>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</si>
  <si>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</si>
  <si>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</si>
  <si>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</si>
  <si>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</si>
  <si>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</si>
  <si>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</si>
  <si>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</si>
  <si>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</si>
  <si>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</si>
  <si>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</si>
  <si>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</si>
  <si>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</si>
  <si>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</si>
  <si>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</si>
  <si>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</si>
  <si>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</si>
  <si>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</si>
  <si>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</si>
  <si>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</si>
  <si>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</si>
  <si>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</si>
  <si>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</si>
  <si>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</si>
  <si>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</si>
  <si>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</si>
  <si>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</si>
  <si>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</si>
  <si>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</si>
  <si>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</si>
  <si>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</si>
  <si>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</si>
  <si>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</si>
  <si>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</si>
  <si>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</si>
  <si>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</si>
  <si>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</si>
  <si>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</si>
  <si>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</si>
  <si>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</si>
  <si>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</si>
  <si>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</si>
  <si>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</si>
  <si>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</si>
  <si>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</si>
  <si>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</si>
  <si>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</si>
  <si>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</si>
  <si>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</si>
  <si>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</si>
  <si>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</si>
  <si>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</si>
  <si>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</si>
  <si>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</si>
  <si>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</si>
  <si>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</si>
  <si>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</si>
  <si>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</si>
  <si>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</si>
  <si>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</si>
  <si>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</si>
  <si>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</si>
  <si>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</si>
  <si>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</si>
  <si>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</si>
  <si>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</si>
  <si>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</si>
  <si>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</si>
  <si>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</si>
  <si>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</si>
  <si>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</si>
  <si>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</si>
  <si>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</si>
  <si>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</si>
  <si>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</si>
  <si>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</si>
  <si>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</si>
  <si>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</si>
  <si>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</si>
  <si>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</si>
  <si>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</si>
  <si>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</si>
  <si>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</si>
  <si>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</si>
  <si>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</si>
  <si>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</si>
  <si>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</si>
  <si>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</si>
  <si>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</si>
  <si>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</si>
  <si>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</si>
  <si>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</si>
  <si>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</si>
  <si>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</si>
  <si>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</si>
  <si>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</si>
  <si>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</si>
  <si>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</si>
  <si>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</si>
  <si>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</si>
  <si>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</si>
  <si>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</si>
  <si>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</si>
  <si>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</si>
  <si>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</si>
  <si>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</si>
  <si>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</si>
  <si>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</si>
  <si>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</si>
  <si>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</si>
  <si>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</si>
  <si>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</si>
  <si>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</si>
  <si>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</si>
  <si>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</si>
  <si>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</si>
  <si>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</si>
  <si>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</si>
  <si>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</si>
  <si>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</si>
  <si>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</si>
  <si>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</si>
  <si>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</si>
  <si>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</si>
  <si>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</si>
  <si>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</si>
  <si>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</si>
  <si>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</si>
  <si>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</si>
  <si>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</si>
  <si>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</si>
  <si>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</si>
  <si>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</si>
  <si>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</si>
  <si>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</si>
  <si>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</si>
  <si>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</si>
  <si>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</si>
  <si>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</si>
  <si>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</si>
  <si>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</si>
  <si>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</si>
  <si>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</si>
  <si>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</si>
  <si>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</si>
  <si>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</si>
  <si>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</si>
  <si>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</si>
  <si>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</si>
  <si>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</si>
  <si>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</si>
  <si>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</si>
  <si>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</si>
  <si>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</si>
  <si>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</si>
  <si>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</si>
  <si>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</si>
  <si>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</si>
  <si>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</si>
  <si>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</si>
  <si>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</si>
  <si>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</si>
  <si>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</si>
  <si>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</si>
  <si>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</si>
  <si>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</si>
  <si>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</si>
  <si>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</si>
  <si>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</si>
  <si>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</si>
  <si>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</si>
  <si>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</si>
  <si>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</si>
  <si>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</si>
  <si>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</si>
  <si>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</si>
  <si>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</si>
  <si>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</si>
  <si>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</si>
  <si>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</si>
  <si>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</si>
  <si>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</si>
  <si>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</si>
  <si>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</si>
  <si>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</si>
  <si>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</si>
  <si>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</si>
  <si>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</si>
  <si>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</si>
  <si>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</si>
  <si>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</si>
  <si>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</si>
  <si>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</si>
  <si>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</si>
  <si>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</si>
  <si>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</si>
  <si>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</si>
  <si>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</si>
  <si>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</si>
  <si>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</si>
  <si>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</si>
  <si>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</si>
  <si>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</si>
  <si>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</si>
  <si>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</si>
  <si>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</si>
  <si>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</si>
  <si>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</si>
  <si>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</si>
  <si>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</si>
  <si>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</si>
  <si>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</si>
  <si>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</si>
  <si>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</si>
  <si>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</si>
  <si>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</si>
  <si>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</si>
  <si>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</si>
  <si>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</si>
  <si>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</si>
  <si>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</si>
  <si>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</si>
  <si>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</si>
  <si>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</si>
  <si>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</si>
  <si>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</si>
  <si>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</si>
  <si>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</si>
  <si>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</si>
  <si>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</si>
  <si>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</si>
  <si>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</si>
  <si>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</si>
  <si>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</si>
  <si>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</si>
  <si>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</si>
  <si>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</si>
  <si>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</si>
  <si>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</si>
  <si>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</si>
  <si>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</si>
  <si>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</si>
  <si>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</si>
  <si>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</si>
  <si>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</si>
  <si>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</si>
  <si>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</si>
  <si>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</si>
  <si>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</si>
  <si>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</si>
  <si>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</si>
  <si>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</si>
  <si>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</si>
  <si>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</si>
  <si>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</si>
  <si>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</si>
  <si>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</si>
  <si>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</si>
  <si>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</si>
  <si>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</si>
  <si>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</si>
  <si>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</si>
  <si>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</si>
  <si>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</si>
  <si>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</si>
  <si>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</si>
  <si>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</si>
  <si>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</si>
  <si>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</si>
  <si>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</si>
  <si>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</si>
  <si>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</si>
  <si>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</si>
  <si>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</si>
  <si>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</si>
  <si>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</si>
  <si>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</si>
  <si>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</si>
  <si>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</si>
  <si>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</si>
  <si>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</si>
  <si>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</si>
  <si>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</si>
  <si>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</si>
  <si>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</si>
  <si>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</si>
  <si>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</si>
  <si>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</si>
  <si>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</si>
  <si>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</si>
  <si>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</si>
  <si>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</si>
  <si>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</si>
  <si>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</si>
  <si>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</si>
  <si>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</si>
  <si>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</si>
  <si>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</si>
  <si>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</si>
  <si>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</si>
  <si>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</si>
  <si>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</si>
  <si>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</si>
  <si>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</si>
  <si>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</si>
  <si>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</si>
  <si>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</si>
  <si>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</si>
  <si>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</si>
  <si>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</si>
  <si>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</si>
  <si>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</si>
  <si>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</si>
  <si>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</si>
  <si>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</si>
  <si>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</si>
  <si>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</si>
  <si>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</si>
  <si>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</si>
  <si>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</si>
  <si>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</si>
  <si>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</si>
  <si>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</si>
  <si>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</si>
  <si>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</si>
  <si>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</si>
  <si>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</si>
  <si>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</si>
  <si>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</si>
  <si>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</si>
  <si>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</si>
  <si>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</si>
  <si>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</si>
  <si>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</si>
  <si>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</si>
  <si>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</si>
  <si>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</si>
  <si>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</si>
  <si>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</si>
  <si>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</si>
  <si>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</si>
  <si>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</si>
  <si>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</si>
  <si>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</si>
  <si>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</si>
  <si>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</si>
  <si>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</si>
  <si>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</si>
  <si>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</si>
  <si>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</si>
  <si>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</si>
  <si>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</si>
  <si>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</si>
  <si>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</si>
  <si>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</si>
  <si>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</si>
  <si>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</si>
  <si>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</si>
  <si>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</si>
  <si>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</si>
  <si>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</si>
  <si>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</si>
  <si>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</si>
  <si>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</si>
  <si>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</si>
  <si>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</si>
  <si>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</si>
  <si>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</si>
  <si>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</si>
  <si>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</si>
  <si>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</si>
  <si>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</si>
  <si>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</si>
  <si>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</si>
  <si>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</si>
  <si>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y Nw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</si>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</sst>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1688"/>
        <c:axId val="183363256"/>
      </c:scatterChart>
      <c:valAx>
        <c:axId val="183361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3256"/>
        <c:crosses val="autoZero"/>
        <c:crossBetween val="midCat"/>
        <c:majorUnit val="0.30000000000000004"/>
        <c:minorUnit val="0.30000000000000004"/>
      </c:valAx>
      <c:valAx>
        <c:axId val="1833632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1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3648"/>
        <c:axId val="183362864"/>
      </c:scatterChart>
      <c:valAx>
        <c:axId val="1833636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2864"/>
        <c:crossesAt val="0"/>
        <c:crossBetween val="midCat"/>
      </c:valAx>
      <c:valAx>
        <c:axId val="1833628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3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4824"/>
        <c:axId val="183364432"/>
      </c:scatterChart>
      <c:valAx>
        <c:axId val="183364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432"/>
        <c:crosses val="autoZero"/>
        <c:crossBetween val="midCat"/>
      </c:valAx>
      <c:valAx>
        <c:axId val="1833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8904"/>
        <c:axId val="185030864"/>
      </c:scatterChart>
      <c:valAx>
        <c:axId val="185028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864"/>
        <c:crosses val="autoZero"/>
        <c:crossBetween val="midCat"/>
      </c:valAx>
      <c:valAx>
        <c:axId val="18503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9688"/>
        <c:axId val="185030080"/>
      </c:scatterChart>
      <c:valAx>
        <c:axId val="185029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080"/>
        <c:crosses val="autoZero"/>
        <c:crossBetween val="midCat"/>
      </c:valAx>
      <c:valAx>
        <c:axId val="18503008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9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200"/>
        <c:axId val="185026944"/>
      </c:scatterChart>
      <c:valAx>
        <c:axId val="185024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6944"/>
        <c:crosses val="autoZero"/>
        <c:crossBetween val="midCat"/>
      </c:valAx>
      <c:valAx>
        <c:axId val="1850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30472"/>
        <c:axId val="18502851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50304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512"/>
        <c:crosses val="autoZero"/>
        <c:crossBetween val="midCat"/>
      </c:valAx>
      <c:valAx>
        <c:axId val="1850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592"/>
        <c:axId val="185024984"/>
      </c:scatterChart>
      <c:valAx>
        <c:axId val="18502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984"/>
        <c:crosses val="autoZero"/>
        <c:crossBetween val="midCat"/>
      </c:valAx>
      <c:valAx>
        <c:axId val="18502498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7728"/>
        <c:axId val="185025768"/>
      </c:scatterChart>
      <c:valAx>
        <c:axId val="18502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5768"/>
        <c:crosses val="autoZero"/>
        <c:crossBetween val="midCat"/>
      </c:valAx>
      <c:valAx>
        <c:axId val="18502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7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4640"/>
        <c:axId val="185487192"/>
      </c:scatterChart>
      <c:valAx>
        <c:axId val="18549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192"/>
        <c:crosses val="autoZero"/>
        <c:crossBetween val="midCat"/>
      </c:valAx>
      <c:valAx>
        <c:axId val="18548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9544"/>
        <c:axId val="185494248"/>
      </c:scatterChart>
      <c:valAx>
        <c:axId val="18548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248"/>
        <c:crosses val="autoZero"/>
        <c:crossBetween val="midCat"/>
      </c:valAx>
      <c:valAx>
        <c:axId val="18549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9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3464"/>
        <c:axId val="185487976"/>
      </c:scatterChart>
      <c:valAx>
        <c:axId val="185493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976"/>
        <c:crosses val="autoZero"/>
        <c:crossBetween val="midCat"/>
      </c:valAx>
      <c:valAx>
        <c:axId val="185487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272968"/>
        <c:axId val="576275320"/>
      </c:scatterChart>
      <c:valAx>
        <c:axId val="576272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5320"/>
        <c:crosses val="autoZero"/>
        <c:crossBetween val="midCat"/>
      </c:valAx>
      <c:valAx>
        <c:axId val="57627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2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13712"/>
        <c:axId val="126314104"/>
      </c:scatterChart>
      <c:valAx>
        <c:axId val="126313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4104"/>
        <c:crosses val="autoZero"/>
        <c:crossBetween val="midCat"/>
      </c:valAx>
      <c:valAx>
        <c:axId val="126314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3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SimpleComposites!$L$108:$L$113</c:f>
              <c:numCache>
                <c:formatCode>General</c:formatCode>
                <c:ptCount val="6"/>
                <c:pt idx="0">
                  <c:v>8.6999999999999993</c:v>
                </c:pt>
                <c:pt idx="1">
                  <c:v>8.6999999999999993</c:v>
                </c:pt>
                <c:pt idx="2">
                  <c:v>60</c:v>
                </c:pt>
                <c:pt idx="3">
                  <c:v>60</c:v>
                </c:pt>
                <c:pt idx="4">
                  <c:v>150</c:v>
                </c:pt>
                <c:pt idx="5">
                  <c:v>150</c:v>
                </c:pt>
              </c:numCache>
            </c:numRef>
          </c:xVal>
          <c:yVal>
            <c:numRef>
              <c:f>SimpleComposites!$M$108:$M$113</c:f>
              <c:numCache>
                <c:formatCode>General</c:formatCode>
                <c:ptCount val="6"/>
                <c:pt idx="0">
                  <c:v>0</c:v>
                </c:pt>
                <c:pt idx="1">
                  <c:v>20</c:v>
                </c:pt>
                <c:pt idx="2">
                  <c:v>20</c:v>
                </c:pt>
                <c:pt idx="3">
                  <c:v>-25.322200000000002</c:v>
                </c:pt>
                <c:pt idx="4">
                  <c:v>-25.322200000000002</c:v>
                </c:pt>
                <c:pt idx="5">
                  <c:v>114.67779999999999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833552"/>
        <c:axId val="965836432"/>
      </c:scatterChart>
      <c:valAx>
        <c:axId val="9658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836432"/>
        <c:crosses val="autoZero"/>
        <c:crossBetween val="midCat"/>
      </c:valAx>
      <c:valAx>
        <c:axId val="965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8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SimpleComposites!$L$108:$L$113</c:f>
              <c:numCache>
                <c:formatCode>General</c:formatCode>
                <c:ptCount val="6"/>
                <c:pt idx="0">
                  <c:v>8.6999999999999993</c:v>
                </c:pt>
                <c:pt idx="1">
                  <c:v>8.6999999999999993</c:v>
                </c:pt>
                <c:pt idx="2">
                  <c:v>60</c:v>
                </c:pt>
                <c:pt idx="3">
                  <c:v>60</c:v>
                </c:pt>
                <c:pt idx="4">
                  <c:v>150</c:v>
                </c:pt>
                <c:pt idx="5">
                  <c:v>150</c:v>
                </c:pt>
              </c:numCache>
            </c:numRef>
          </c:xVal>
          <c:yVal>
            <c:numRef>
              <c:f>SimpleComposites!$M$108:$M$113</c:f>
              <c:numCache>
                <c:formatCode>General</c:formatCode>
                <c:ptCount val="6"/>
                <c:pt idx="0">
                  <c:v>0</c:v>
                </c:pt>
                <c:pt idx="1">
                  <c:v>20</c:v>
                </c:pt>
                <c:pt idx="2">
                  <c:v>20</c:v>
                </c:pt>
                <c:pt idx="3">
                  <c:v>-25.322200000000002</c:v>
                </c:pt>
                <c:pt idx="4">
                  <c:v>-25.322200000000002</c:v>
                </c:pt>
                <c:pt idx="5">
                  <c:v>114.67779999999999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833552"/>
        <c:axId val="965836432"/>
      </c:scatterChart>
      <c:valAx>
        <c:axId val="9658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836432"/>
        <c:crosses val="autoZero"/>
        <c:crossBetween val="midCat"/>
      </c:valAx>
      <c:valAx>
        <c:axId val="965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8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8760"/>
        <c:axId val="185493072"/>
      </c:scatterChart>
      <c:valAx>
        <c:axId val="185488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072"/>
        <c:crosses val="autoZero"/>
        <c:crossBetween val="midCat"/>
      </c:valAx>
      <c:valAx>
        <c:axId val="185493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8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0328"/>
        <c:axId val="185490720"/>
      </c:scatterChart>
      <c:valAx>
        <c:axId val="185490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720"/>
        <c:crosses val="autoZero"/>
        <c:crossBetween val="midCat"/>
      </c:valAx>
      <c:valAx>
        <c:axId val="1854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1504"/>
        <c:axId val="185491896"/>
      </c:scatterChart>
      <c:valAx>
        <c:axId val="18549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896"/>
        <c:crosses val="autoZero"/>
        <c:crossBetween val="midCat"/>
      </c:valAx>
      <c:valAx>
        <c:axId val="1854918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2680"/>
        <c:axId val="187376912"/>
      </c:scatterChart>
      <c:valAx>
        <c:axId val="18549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6912"/>
        <c:crosses val="autoZero"/>
        <c:crossBetween val="midCat"/>
      </c:valAx>
      <c:valAx>
        <c:axId val="1873769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2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736"/>
        <c:axId val="187372208"/>
      </c:scatterChart>
      <c:valAx>
        <c:axId val="187375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2208"/>
        <c:crosses val="autoZero"/>
        <c:crossBetween val="midCat"/>
      </c:valAx>
      <c:valAx>
        <c:axId val="1873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5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3384"/>
        <c:axId val="187373776"/>
      </c:scatterChart>
      <c:valAx>
        <c:axId val="187373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776"/>
        <c:crosses val="autoZero"/>
        <c:crossBetween val="midCat"/>
      </c:valAx>
      <c:valAx>
        <c:axId val="187373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344"/>
        <c:axId val="187372600"/>
      </c:scatterChart>
      <c:valAx>
        <c:axId val="18737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2600"/>
        <c:crosses val="autoZero"/>
        <c:crossBetween val="midCat"/>
      </c:valAx>
      <c:valAx>
        <c:axId val="187372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5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128"/>
        <c:axId val="187377304"/>
      </c:scatterChart>
      <c:valAx>
        <c:axId val="18737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7304"/>
        <c:crosses val="autoZero"/>
        <c:crossBetween val="midCat"/>
      </c:valAx>
      <c:valAx>
        <c:axId val="18737730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520"/>
        <c:axId val="187378088"/>
      </c:scatterChart>
      <c:valAx>
        <c:axId val="187376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8088"/>
        <c:crosses val="autoZero"/>
        <c:crossBetween val="midCat"/>
      </c:valAx>
      <c:valAx>
        <c:axId val="1873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72832"/>
        <c:axId val="18836695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67344"/>
        <c:axId val="188368128"/>
      </c:lineChart>
      <c:catAx>
        <c:axId val="1883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6952"/>
        <c:crosses val="autoZero"/>
        <c:auto val="1"/>
        <c:lblAlgn val="ctr"/>
        <c:lblOffset val="100"/>
        <c:noMultiLvlLbl val="0"/>
      </c:catAx>
      <c:valAx>
        <c:axId val="188366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832"/>
        <c:crosses val="autoZero"/>
        <c:crossBetween val="between"/>
      </c:valAx>
      <c:valAx>
        <c:axId val="18836812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7344"/>
        <c:crosses val="max"/>
        <c:crossBetween val="between"/>
      </c:valAx>
      <c:catAx>
        <c:axId val="1883673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8368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72440"/>
        <c:axId val="188373224"/>
      </c:scatterChart>
      <c:valAx>
        <c:axId val="18837244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3224"/>
        <c:crosses val="autoZero"/>
        <c:crossBetween val="midCat"/>
      </c:valAx>
      <c:valAx>
        <c:axId val="188373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chart" Target="../charts/chart22.xml"/><Relationship Id="rId7" Type="http://schemas.openxmlformats.org/officeDocument/2006/relationships/image" Target="../media/image13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3" Type="http://schemas.openxmlformats.org/officeDocument/2006/relationships/chart" Target="../charts/chart26.xml"/><Relationship Id="rId7" Type="http://schemas.openxmlformats.org/officeDocument/2006/relationships/image" Target="../media/image21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235167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63</xdr:row>
      <xdr:rowOff>167340</xdr:rowOff>
    </xdr:from>
    <xdr:to>
      <xdr:col>8</xdr:col>
      <xdr:colOff>657411</xdr:colOff>
      <xdr:row>66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71825" y="10327340"/>
          <a:ext cx="5333998" cy="422836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56</xdr:row>
      <xdr:rowOff>0</xdr:rowOff>
    </xdr:from>
    <xdr:to>
      <xdr:col>16</xdr:col>
      <xdr:colOff>9730</xdr:colOff>
      <xdr:row>68</xdr:row>
      <xdr:rowOff>140469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63</xdr:row>
      <xdr:rowOff>97116</xdr:rowOff>
    </xdr:from>
    <xdr:to>
      <xdr:col>19</xdr:col>
      <xdr:colOff>131381</xdr:colOff>
      <xdr:row>75</xdr:row>
      <xdr:rowOff>148989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105</xdr:row>
      <xdr:rowOff>17930</xdr:rowOff>
    </xdr:from>
    <xdr:to>
      <xdr:col>7</xdr:col>
      <xdr:colOff>549088</xdr:colOff>
      <xdr:row>119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239059</xdr:colOff>
      <xdr:row>60</xdr:row>
      <xdr:rowOff>112059</xdr:rowOff>
    </xdr:from>
    <xdr:to>
      <xdr:col>4</xdr:col>
      <xdr:colOff>575235</xdr:colOff>
      <xdr:row>62</xdr:row>
      <xdr:rowOff>89648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398059" y="9711765"/>
          <a:ext cx="336176" cy="351118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14941</xdr:colOff>
      <xdr:row>59</xdr:row>
      <xdr:rowOff>74706</xdr:rowOff>
    </xdr:from>
    <xdr:to>
      <xdr:col>5</xdr:col>
      <xdr:colOff>134471</xdr:colOff>
      <xdr:row>63</xdr:row>
      <xdr:rowOff>112059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173941" y="9487647"/>
          <a:ext cx="791883" cy="784412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283882</xdr:colOff>
      <xdr:row>60</xdr:row>
      <xdr:rowOff>134472</xdr:rowOff>
    </xdr:from>
    <xdr:to>
      <xdr:col>4</xdr:col>
      <xdr:colOff>537882</xdr:colOff>
      <xdr:row>62</xdr:row>
      <xdr:rowOff>37354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442882" y="9734178"/>
          <a:ext cx="254000" cy="276411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61</xdr:row>
      <xdr:rowOff>22411</xdr:rowOff>
    </xdr:from>
    <xdr:to>
      <xdr:col>1</xdr:col>
      <xdr:colOff>537882</xdr:colOff>
      <xdr:row>64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>
          <a:off x="433294" y="9808882"/>
          <a:ext cx="246529" cy="649941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159870</xdr:colOff>
      <xdr:row>60</xdr:row>
      <xdr:rowOff>152400</xdr:rowOff>
    </xdr:from>
    <xdr:to>
      <xdr:col>8</xdr:col>
      <xdr:colOff>406399</xdr:colOff>
      <xdr:row>64</xdr:row>
      <xdr:rowOff>55282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>
          <a:off x="5008282" y="9752106"/>
          <a:ext cx="246529" cy="649941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581212</xdr:colOff>
      <xdr:row>65</xdr:row>
      <xdr:rowOff>35860</xdr:rowOff>
    </xdr:from>
    <xdr:to>
      <xdr:col>5</xdr:col>
      <xdr:colOff>155388</xdr:colOff>
      <xdr:row>68</xdr:row>
      <xdr:rowOff>125506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>
          <a:off x="2740212" y="10569389"/>
          <a:ext cx="246529" cy="649941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120</xdr:row>
      <xdr:rowOff>67236</xdr:rowOff>
    </xdr:from>
    <xdr:to>
      <xdr:col>7</xdr:col>
      <xdr:colOff>537882</xdr:colOff>
      <xdr:row>135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83</xdr:row>
      <xdr:rowOff>88153</xdr:rowOff>
    </xdr:from>
    <xdr:ext cx="4504118" cy="4794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87</xdr:row>
      <xdr:rowOff>73212</xdr:rowOff>
    </xdr:from>
    <xdr:ext cx="3184270" cy="8009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+mn-lt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92</xdr:row>
      <xdr:rowOff>20918</xdr:rowOff>
    </xdr:from>
    <xdr:ext cx="950132" cy="35048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382494</xdr:colOff>
      <xdr:row>65</xdr:row>
      <xdr:rowOff>1495</xdr:rowOff>
    </xdr:from>
    <xdr:to>
      <xdr:col>3</xdr:col>
      <xdr:colOff>629023</xdr:colOff>
      <xdr:row>68</xdr:row>
      <xdr:rowOff>91141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id="{12A296D1-77AF-480C-A839-2F37869B3895}"/>
            </a:ext>
          </a:extLst>
        </xdr:cNvPr>
        <xdr:cNvSpPr/>
      </xdr:nvSpPr>
      <xdr:spPr>
        <a:xfrm rot="10800000">
          <a:off x="1869141" y="10535024"/>
          <a:ext cx="246529" cy="649941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273423</xdr:colOff>
      <xdr:row>65</xdr:row>
      <xdr:rowOff>19424</xdr:rowOff>
    </xdr:from>
    <xdr:to>
      <xdr:col>4</xdr:col>
      <xdr:colOff>519952</xdr:colOff>
      <xdr:row>68</xdr:row>
      <xdr:rowOff>109070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id="{05B89336-A58A-4966-AA10-BA3BEE7CE33F}"/>
            </a:ext>
          </a:extLst>
        </xdr:cNvPr>
        <xdr:cNvSpPr/>
      </xdr:nvSpPr>
      <xdr:spPr>
        <a:xfrm rot="10800000">
          <a:off x="2432423" y="10552953"/>
          <a:ext cx="246529" cy="649941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502023</xdr:colOff>
      <xdr:row>65</xdr:row>
      <xdr:rowOff>23907</xdr:rowOff>
    </xdr:from>
    <xdr:to>
      <xdr:col>8</xdr:col>
      <xdr:colOff>76199</xdr:colOff>
      <xdr:row>68</xdr:row>
      <xdr:rowOff>113553</xdr:rowOff>
    </xdr:to>
    <xdr:sp macro="" textlink="">
      <xdr:nvSpPr>
        <xdr:cNvPr id="42" name="Arrow: Up 41">
          <a:extLst>
            <a:ext uri="{FF2B5EF4-FFF2-40B4-BE49-F238E27FC236}">
              <a16:creationId xmlns:a16="http://schemas.microsoft.com/office/drawing/2014/main" id="{B17B9830-6B6A-42BC-9B87-30B5614D3168}"/>
            </a:ext>
          </a:extLst>
        </xdr:cNvPr>
        <xdr:cNvSpPr/>
      </xdr:nvSpPr>
      <xdr:spPr>
        <a:xfrm rot="10800000">
          <a:off x="4678082" y="10557436"/>
          <a:ext cx="246529" cy="649941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6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6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6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6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6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6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6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6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6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70" t="s">
        <v>113</v>
      </c>
      <c r="D243" s="371"/>
      <c r="E243" s="371"/>
      <c r="F243" s="371"/>
      <c r="G243" s="37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0" t="s">
        <v>123</v>
      </c>
      <c r="D247" s="371"/>
      <c r="E247" s="371"/>
      <c r="F247" s="371"/>
      <c r="G247" s="37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7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74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6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69"/>
      <c r="B264" s="158" t="s">
        <v>136</v>
      </c>
      <c r="L264" s="149"/>
    </row>
    <row r="265" spans="1:12" ht="13" thickBot="1">
      <c r="A265" s="36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75" t="s">
        <v>182</v>
      </c>
      <c r="C2" s="376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79" t="s">
        <v>185</v>
      </c>
      <c r="D12" s="380"/>
      <c r="E12" s="380"/>
      <c r="F12" s="380"/>
      <c r="G12" s="381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79" t="s">
        <v>189</v>
      </c>
      <c r="P12" s="380"/>
      <c r="Q12" s="380"/>
      <c r="R12" s="380"/>
      <c r="S12" s="381"/>
      <c r="T12" s="1" t="s">
        <v>186</v>
      </c>
      <c r="U12" s="1" t="s">
        <v>187</v>
      </c>
      <c r="V12" s="1" t="s">
        <v>188</v>
      </c>
    </row>
    <row r="13" spans="2:22">
      <c r="B13" s="37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7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7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7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7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7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7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7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7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7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7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86" t="s">
        <v>191</v>
      </c>
      <c r="C23" s="65"/>
      <c r="D23" s="64" t="s">
        <v>186</v>
      </c>
      <c r="E23" s="64"/>
      <c r="F23" s="64"/>
      <c r="G23" s="64"/>
      <c r="K23" s="384"/>
      <c r="N23" s="385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86"/>
      <c r="C24" s="66" t="s">
        <v>193</v>
      </c>
      <c r="D24" s="1">
        <f>(F25/2)/(F26)</f>
        <v>0.13333333333333333</v>
      </c>
      <c r="K24" s="384"/>
      <c r="N24" s="386"/>
      <c r="O24" s="66" t="s">
        <v>193</v>
      </c>
      <c r="P24" s="1" t="s">
        <v>194</v>
      </c>
    </row>
    <row r="25" spans="2:22">
      <c r="B25" s="386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84"/>
      <c r="N25" s="386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86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84"/>
      <c r="N26" s="386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87" t="s">
        <v>200</v>
      </c>
      <c r="D27" s="387"/>
      <c r="E27" s="387"/>
      <c r="F27" s="387"/>
      <c r="G27" s="387"/>
      <c r="L27" s="63"/>
      <c r="M27" s="63"/>
      <c r="N27" s="2" t="s">
        <v>199</v>
      </c>
      <c r="O27" s="387" t="s">
        <v>200</v>
      </c>
      <c r="P27" s="387"/>
      <c r="Q27" s="387"/>
      <c r="R27" s="387"/>
      <c r="S27" s="387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7" t="s">
        <v>203</v>
      </c>
      <c r="C31" s="375"/>
      <c r="D31" s="388"/>
      <c r="E31" s="388"/>
      <c r="F31" s="388"/>
      <c r="G31" s="376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8"/>
      <c r="C32" s="389"/>
      <c r="D32" s="383"/>
      <c r="E32" s="383"/>
      <c r="F32" s="383"/>
      <c r="G32" s="390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8"/>
      <c r="C33" s="389"/>
      <c r="D33" s="383"/>
      <c r="E33" s="383"/>
      <c r="F33" s="383"/>
      <c r="G33" s="390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8"/>
      <c r="C34" s="389"/>
      <c r="D34" s="383"/>
      <c r="E34" s="383"/>
      <c r="F34" s="383"/>
      <c r="G34" s="390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8"/>
      <c r="C35" s="389"/>
      <c r="D35" s="383"/>
      <c r="E35" s="383"/>
      <c r="F35" s="383"/>
      <c r="G35" s="390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8"/>
      <c r="C36" s="389"/>
      <c r="D36" s="383"/>
      <c r="E36" s="383"/>
      <c r="F36" s="383"/>
      <c r="G36" s="390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8"/>
      <c r="C37" s="389"/>
      <c r="D37" s="383"/>
      <c r="E37" s="383"/>
      <c r="F37" s="383"/>
      <c r="G37" s="390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8"/>
      <c r="C38" s="389"/>
      <c r="D38" s="383"/>
      <c r="E38" s="383"/>
      <c r="F38" s="383"/>
      <c r="G38" s="390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8"/>
      <c r="C39" s="389"/>
      <c r="D39" s="383"/>
      <c r="E39" s="383"/>
      <c r="F39" s="383"/>
      <c r="G39" s="390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2"/>
      <c r="C40" s="391"/>
      <c r="D40" s="392"/>
      <c r="E40" s="392"/>
      <c r="F40" s="392"/>
      <c r="G40" s="393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87" t="s">
        <v>191</v>
      </c>
      <c r="C41" s="1" t="s">
        <v>204</v>
      </c>
      <c r="H41" s="12"/>
    </row>
    <row r="42" spans="2:24">
      <c r="B42" s="38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8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83" t="s">
        <v>206</v>
      </c>
      <c r="D44" s="383"/>
      <c r="E44" s="383"/>
      <c r="F44" s="383"/>
      <c r="G44" s="383"/>
    </row>
    <row r="45" spans="2:24">
      <c r="B45" s="383" t="s">
        <v>201</v>
      </c>
    </row>
    <row r="46" spans="2:24">
      <c r="B46" s="383"/>
    </row>
    <row r="47" spans="2:24" ht="15" thickBot="1">
      <c r="B47" s="383"/>
    </row>
    <row r="48" spans="2:24" ht="15" customHeight="1" thickBot="1">
      <c r="K48" s="394" t="s">
        <v>207</v>
      </c>
      <c r="L48" s="396"/>
      <c r="W48" s="384" t="s">
        <v>207</v>
      </c>
      <c r="X48" s="384"/>
    </row>
    <row r="49" spans="2:24" ht="15" thickBot="1">
      <c r="B49" s="8" t="s">
        <v>184</v>
      </c>
      <c r="C49" s="394" t="s">
        <v>208</v>
      </c>
      <c r="D49" s="395"/>
      <c r="E49" s="395"/>
      <c r="F49" s="395"/>
      <c r="G49" s="396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4" t="s">
        <v>212</v>
      </c>
      <c r="P49" s="395"/>
      <c r="Q49" s="395"/>
      <c r="R49" s="395"/>
      <c r="S49" s="396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7" t="s">
        <v>214</v>
      </c>
      <c r="C50" s="375"/>
      <c r="D50" s="388"/>
      <c r="E50" s="388"/>
      <c r="F50" s="388"/>
      <c r="G50" s="376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77" t="s">
        <v>214</v>
      </c>
      <c r="O50" s="375"/>
      <c r="P50" s="388"/>
      <c r="Q50" s="388"/>
      <c r="R50" s="388"/>
      <c r="S50" s="376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8"/>
      <c r="C51" s="389"/>
      <c r="D51" s="383"/>
      <c r="E51" s="383"/>
      <c r="F51" s="383"/>
      <c r="G51" s="390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78"/>
      <c r="O51" s="389"/>
      <c r="P51" s="383"/>
      <c r="Q51" s="383"/>
      <c r="R51" s="383"/>
      <c r="S51" s="390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8"/>
      <c r="C52" s="389"/>
      <c r="D52" s="383"/>
      <c r="E52" s="383"/>
      <c r="F52" s="383"/>
      <c r="G52" s="390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78"/>
      <c r="O52" s="389"/>
      <c r="P52" s="383"/>
      <c r="Q52" s="383"/>
      <c r="R52" s="383"/>
      <c r="S52" s="390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8"/>
      <c r="C53" s="389"/>
      <c r="D53" s="383"/>
      <c r="E53" s="383"/>
      <c r="F53" s="383"/>
      <c r="G53" s="390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78"/>
      <c r="O53" s="389"/>
      <c r="P53" s="383"/>
      <c r="Q53" s="383"/>
      <c r="R53" s="383"/>
      <c r="S53" s="390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8"/>
      <c r="C54" s="389"/>
      <c r="D54" s="383"/>
      <c r="E54" s="383"/>
      <c r="F54" s="383"/>
      <c r="G54" s="390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78"/>
      <c r="O54" s="389"/>
      <c r="P54" s="383"/>
      <c r="Q54" s="383"/>
      <c r="R54" s="383"/>
      <c r="S54" s="390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8"/>
      <c r="C55" s="389"/>
      <c r="D55" s="383"/>
      <c r="E55" s="383"/>
      <c r="F55" s="383"/>
      <c r="G55" s="390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78"/>
      <c r="O55" s="389"/>
      <c r="P55" s="383"/>
      <c r="Q55" s="383"/>
      <c r="R55" s="383"/>
      <c r="S55" s="390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8"/>
      <c r="C56" s="389"/>
      <c r="D56" s="383"/>
      <c r="E56" s="383"/>
      <c r="F56" s="383"/>
      <c r="G56" s="390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78"/>
      <c r="O56" s="389"/>
      <c r="P56" s="383"/>
      <c r="Q56" s="383"/>
      <c r="R56" s="383"/>
      <c r="S56" s="390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8"/>
      <c r="C57" s="389"/>
      <c r="D57" s="383"/>
      <c r="E57" s="383"/>
      <c r="F57" s="383"/>
      <c r="G57" s="390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78"/>
      <c r="O57" s="389"/>
      <c r="P57" s="383"/>
      <c r="Q57" s="383"/>
      <c r="R57" s="383"/>
      <c r="S57" s="390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8"/>
      <c r="C58" s="389"/>
      <c r="D58" s="383"/>
      <c r="E58" s="383"/>
      <c r="F58" s="383"/>
      <c r="G58" s="390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78"/>
      <c r="O58" s="389"/>
      <c r="P58" s="383"/>
      <c r="Q58" s="383"/>
      <c r="R58" s="383"/>
      <c r="S58" s="390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2"/>
      <c r="C59" s="397"/>
      <c r="D59" s="398"/>
      <c r="E59" s="398"/>
      <c r="F59" s="398"/>
      <c r="G59" s="399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2"/>
      <c r="O59" s="391"/>
      <c r="P59" s="392"/>
      <c r="Q59" s="392"/>
      <c r="R59" s="392"/>
      <c r="S59" s="39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0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05" t="s">
        <v>218</v>
      </c>
      <c r="I60" s="406"/>
      <c r="J60" s="407"/>
      <c r="K60" s="81" t="s">
        <v>219</v>
      </c>
      <c r="L60" s="57">
        <f>K67^2/K68</f>
        <v>1.1707317073170729</v>
      </c>
      <c r="N60" s="387" t="s">
        <v>191</v>
      </c>
      <c r="O60" s="1" t="s">
        <v>220</v>
      </c>
    </row>
    <row r="61" spans="2:24" ht="16.149999999999999" customHeight="1" thickBot="1">
      <c r="B61" s="401"/>
      <c r="C61" s="80" t="s">
        <v>221</v>
      </c>
      <c r="D61" s="82">
        <f>-I50+D60*H50</f>
        <v>23.499999999999979</v>
      </c>
      <c r="E61" s="77"/>
      <c r="F61" s="61"/>
      <c r="G61" s="62"/>
      <c r="H61" s="408"/>
      <c r="I61" s="409"/>
      <c r="J61" s="410"/>
      <c r="K61" s="80"/>
      <c r="L61" s="62"/>
      <c r="N61" s="387"/>
    </row>
    <row r="62" spans="2:24" ht="27.65" customHeight="1">
      <c r="B62" s="401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7"/>
    </row>
    <row r="63" spans="2:24" ht="27.65" customHeight="1">
      <c r="B63" s="401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7"/>
    </row>
    <row r="64" spans="2:24">
      <c r="B64" s="402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7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03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8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03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83"/>
    </row>
    <row r="67" spans="2:19">
      <c r="B67" s="403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8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04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8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87" t="s">
        <v>237</v>
      </c>
      <c r="D69" s="387"/>
      <c r="E69" s="387"/>
      <c r="F69" s="387"/>
      <c r="G69" s="387"/>
      <c r="N69" s="2" t="s">
        <v>199</v>
      </c>
      <c r="O69" s="383" t="s">
        <v>238</v>
      </c>
      <c r="P69" s="383"/>
      <c r="Q69" s="383"/>
      <c r="R69" s="383"/>
      <c r="S69" s="383"/>
    </row>
    <row r="70" spans="2:19">
      <c r="B70" s="383" t="s">
        <v>201</v>
      </c>
      <c r="C70" s="65"/>
      <c r="D70" s="64"/>
      <c r="E70" s="64"/>
      <c r="F70" s="64"/>
      <c r="G70" s="93"/>
      <c r="N70" s="383" t="s">
        <v>201</v>
      </c>
    </row>
    <row r="71" spans="2:19">
      <c r="B71" s="383"/>
      <c r="C71" s="66"/>
      <c r="G71" s="94"/>
      <c r="N71" s="383"/>
    </row>
    <row r="72" spans="2:19">
      <c r="B72" s="383"/>
      <c r="C72" s="67"/>
      <c r="D72" s="68"/>
      <c r="E72" s="68"/>
      <c r="F72" s="68"/>
      <c r="G72" s="95"/>
      <c r="N72" s="383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7" t="s">
        <v>246</v>
      </c>
      <c r="C88" s="375"/>
      <c r="D88" s="388"/>
      <c r="E88" s="388"/>
      <c r="F88" s="388"/>
      <c r="G88" s="376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8"/>
      <c r="C89" s="389"/>
      <c r="D89" s="383"/>
      <c r="E89" s="383"/>
      <c r="F89" s="383"/>
      <c r="G89" s="390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8"/>
      <c r="C90" s="389"/>
      <c r="D90" s="383"/>
      <c r="E90" s="383"/>
      <c r="F90" s="383"/>
      <c r="G90" s="390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8"/>
      <c r="C91" s="389"/>
      <c r="D91" s="383"/>
      <c r="E91" s="383"/>
      <c r="F91" s="383"/>
      <c r="G91" s="390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8"/>
      <c r="C92" s="389"/>
      <c r="D92" s="383"/>
      <c r="E92" s="383"/>
      <c r="F92" s="383"/>
      <c r="G92" s="390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8"/>
      <c r="C93" s="389"/>
      <c r="D93" s="383"/>
      <c r="E93" s="383"/>
      <c r="F93" s="383"/>
      <c r="G93" s="390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8"/>
      <c r="C94" s="389"/>
      <c r="D94" s="383"/>
      <c r="E94" s="383"/>
      <c r="F94" s="383"/>
      <c r="G94" s="390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8"/>
      <c r="C95" s="389"/>
      <c r="D95" s="383"/>
      <c r="E95" s="383"/>
      <c r="F95" s="383"/>
      <c r="G95" s="390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8"/>
      <c r="C96" s="389"/>
      <c r="D96" s="383"/>
      <c r="E96" s="383"/>
      <c r="F96" s="383"/>
      <c r="G96" s="390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2"/>
      <c r="C97" s="391"/>
      <c r="D97" s="392"/>
      <c r="E97" s="392"/>
      <c r="F97" s="392"/>
      <c r="G97" s="39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87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8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8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83" t="s">
        <v>249</v>
      </c>
      <c r="D101" s="383"/>
      <c r="E101" s="383"/>
      <c r="F101" s="383"/>
      <c r="G101" s="383"/>
    </row>
    <row r="102" spans="2:10">
      <c r="B102" s="383" t="s">
        <v>201</v>
      </c>
    </row>
    <row r="103" spans="2:10">
      <c r="B103" s="383"/>
    </row>
    <row r="104" spans="2:10">
      <c r="B104" s="383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14" t="s">
        <v>252</v>
      </c>
      <c r="U15" s="415"/>
      <c r="V15" s="416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17" t="s">
        <v>252</v>
      </c>
      <c r="U23" s="418"/>
      <c r="V23" s="41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0" t="s">
        <v>712</v>
      </c>
      <c r="L33" s="421"/>
      <c r="M33" s="421"/>
      <c r="N33" s="421"/>
      <c r="O33" s="421"/>
      <c r="P33" s="421"/>
      <c r="Q33" s="421"/>
      <c r="R33" s="421"/>
      <c r="S33" s="42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0" t="s">
        <v>713</v>
      </c>
      <c r="L44" s="421"/>
      <c r="M44" s="421"/>
      <c r="N44" s="421"/>
      <c r="O44" s="421"/>
      <c r="P44" s="421"/>
      <c r="Q44" s="421"/>
      <c r="R44" s="421"/>
      <c r="S44" s="422"/>
    </row>
    <row r="45" spans="2:19" ht="15" thickBot="1">
      <c r="B45" s="411" t="s">
        <v>311</v>
      </c>
      <c r="C45" s="412"/>
      <c r="D45" s="412"/>
      <c r="E45" s="412"/>
      <c r="F45" s="41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226"/>
  <sheetViews>
    <sheetView tabSelected="1" view="pageBreakPreview" topLeftCell="A63" zoomScale="85" zoomScaleNormal="100" zoomScaleSheetLayoutView="85" workbookViewId="0">
      <selection activeCell="I72" sqref="I72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714</v>
      </c>
      <c r="F2" s="351"/>
    </row>
    <row r="3" spans="2:13">
      <c r="E3" s="423" t="s">
        <v>728</v>
      </c>
      <c r="F3" s="423"/>
      <c r="G3" s="423"/>
      <c r="H3" s="423"/>
    </row>
    <row r="4" spans="2:13">
      <c r="E4" s="423"/>
      <c r="F4" s="423"/>
      <c r="G4" s="423"/>
      <c r="H4" s="423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769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757</v>
      </c>
    </row>
    <row r="17" spans="2:10">
      <c r="B17" s="358" t="s">
        <v>747</v>
      </c>
      <c r="C17" s="186"/>
      <c r="D17" s="186"/>
      <c r="H17" t="s">
        <v>734</v>
      </c>
      <c r="J17" t="s">
        <v>735</v>
      </c>
    </row>
    <row r="18" spans="2:10">
      <c r="B18" t="s">
        <v>716</v>
      </c>
      <c r="D18" s="14">
        <v>1790</v>
      </c>
      <c r="E18" t="s">
        <v>314</v>
      </c>
      <c r="F18" s="359">
        <v>0.6</v>
      </c>
      <c r="G18" t="s">
        <v>729</v>
      </c>
      <c r="H18">
        <v>4400</v>
      </c>
      <c r="I18" t="s">
        <v>730</v>
      </c>
      <c r="J18" s="362">
        <v>1.7999999999999999E-2</v>
      </c>
    </row>
    <row r="19" spans="2:10">
      <c r="B19" t="s">
        <v>717</v>
      </c>
      <c r="D19" s="14">
        <v>1090</v>
      </c>
      <c r="E19" t="s">
        <v>314</v>
      </c>
      <c r="F19" s="359">
        <f>1-F18</f>
        <v>0.4</v>
      </c>
      <c r="G19" t="s">
        <v>764</v>
      </c>
      <c r="I19" t="s">
        <v>765</v>
      </c>
    </row>
    <row r="20" spans="2:10">
      <c r="B20" t="s">
        <v>748</v>
      </c>
      <c r="D20" s="190">
        <f>(H18/J18)/1000</f>
        <v>244.44444444444446</v>
      </c>
      <c r="E20" t="s">
        <v>758</v>
      </c>
      <c r="F20" s="357"/>
      <c r="G20" t="s">
        <v>732</v>
      </c>
      <c r="H20">
        <v>1.34</v>
      </c>
      <c r="I20" t="s">
        <v>733</v>
      </c>
      <c r="J20" s="363">
        <v>1.9E-2</v>
      </c>
    </row>
    <row r="21" spans="2:10">
      <c r="B21" t="s">
        <v>749</v>
      </c>
      <c r="D21" s="190">
        <f>(H21/J21)/1000</f>
        <v>0.155</v>
      </c>
      <c r="E21" t="s">
        <v>758</v>
      </c>
      <c r="G21" t="s">
        <v>731</v>
      </c>
      <c r="H21">
        <v>4.34</v>
      </c>
      <c r="I21" t="s">
        <v>745</v>
      </c>
      <c r="J21" s="363">
        <f>2.8/100</f>
        <v>2.7999999999999997E-2</v>
      </c>
    </row>
    <row r="22" spans="2:10">
      <c r="D22" s="190"/>
      <c r="G22" t="s">
        <v>739</v>
      </c>
      <c r="H22">
        <v>12.39</v>
      </c>
      <c r="I22" t="s">
        <v>746</v>
      </c>
      <c r="J22" s="363">
        <f>0.4/100</f>
        <v>4.0000000000000001E-3</v>
      </c>
    </row>
    <row r="24" spans="2:10">
      <c r="B24" s="186" t="s">
        <v>727</v>
      </c>
      <c r="C24" s="186"/>
      <c r="D24" s="186"/>
      <c r="G24" s="186" t="s">
        <v>736</v>
      </c>
      <c r="H24" s="186"/>
    </row>
    <row r="25" spans="2:10">
      <c r="B25" t="s">
        <v>718</v>
      </c>
      <c r="D25">
        <f>D18*(F18)+D19*(F19)</f>
        <v>1510</v>
      </c>
      <c r="E25" t="s">
        <v>314</v>
      </c>
      <c r="G25" t="s">
        <v>740</v>
      </c>
      <c r="H25" s="281">
        <f>H26/(H27+H26)</f>
        <v>0.8771929824561403</v>
      </c>
    </row>
    <row r="26" spans="2:10">
      <c r="B26" t="s">
        <v>766</v>
      </c>
      <c r="D26">
        <f>D20*F18+D21*F19</f>
        <v>146.72866666666667</v>
      </c>
      <c r="E26" t="s">
        <v>758</v>
      </c>
      <c r="G26" t="s">
        <v>737</v>
      </c>
      <c r="H26" s="281">
        <v>100</v>
      </c>
      <c r="I26" t="s">
        <v>741</v>
      </c>
    </row>
    <row r="27" spans="2:10">
      <c r="B27" t="s">
        <v>750</v>
      </c>
      <c r="D27">
        <f>IF(J20=J18,C32,IF(J20&lt;J18,B32,D32))</f>
        <v>2641.116</v>
      </c>
      <c r="E27" t="s">
        <v>734</v>
      </c>
      <c r="G27" t="s">
        <v>738</v>
      </c>
      <c r="H27" s="281">
        <v>14</v>
      </c>
      <c r="I27" t="s">
        <v>741</v>
      </c>
    </row>
    <row r="28" spans="2:10">
      <c r="B28" t="s">
        <v>751</v>
      </c>
      <c r="D28">
        <f>H18*F18+H21*F19</f>
        <v>2641.7359999999999</v>
      </c>
      <c r="E28" t="s">
        <v>734</v>
      </c>
      <c r="G28" s="263" t="s">
        <v>742</v>
      </c>
      <c r="H28" s="360">
        <v>1000</v>
      </c>
      <c r="I28" s="263" t="s">
        <v>741</v>
      </c>
      <c r="J28" s="263"/>
    </row>
    <row r="29" spans="2:10">
      <c r="B29" t="s">
        <v>752</v>
      </c>
      <c r="D29">
        <f>H22</f>
        <v>12.39</v>
      </c>
      <c r="E29" t="s">
        <v>734</v>
      </c>
      <c r="H29" s="361">
        <f>H28*H25</f>
        <v>877.19298245614027</v>
      </c>
      <c r="I29" t="s">
        <v>743</v>
      </c>
    </row>
    <row r="30" spans="2:10">
      <c r="H30" s="361">
        <f>H28-H29</f>
        <v>122.80701754385973</v>
      </c>
      <c r="I30" t="s">
        <v>744</v>
      </c>
    </row>
    <row r="31" spans="2:10">
      <c r="B31" t="s">
        <v>763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759</v>
      </c>
      <c r="C34" t="s">
        <v>760</v>
      </c>
      <c r="D34" t="s">
        <v>761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753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754</v>
      </c>
    </row>
    <row r="39" spans="2:4">
      <c r="B39" s="364">
        <f>J20</f>
        <v>1.9E-2</v>
      </c>
      <c r="C39">
        <f>H20</f>
        <v>1.34</v>
      </c>
      <c r="D39" t="s">
        <v>755</v>
      </c>
    </row>
    <row r="40" spans="2:4">
      <c r="B40" s="364">
        <f>J21</f>
        <v>2.7999999999999997E-2</v>
      </c>
      <c r="C40">
        <f>H21</f>
        <v>4.34</v>
      </c>
      <c r="D40" t="s">
        <v>756</v>
      </c>
    </row>
    <row r="41" spans="2:4">
      <c r="B41" s="364">
        <v>0</v>
      </c>
      <c r="C41">
        <v>0</v>
      </c>
      <c r="D41" t="s">
        <v>762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767</v>
      </c>
      <c r="C48" s="186"/>
      <c r="D48" s="186"/>
    </row>
    <row r="57" spans="2:4">
      <c r="B57" s="186" t="s">
        <v>706</v>
      </c>
      <c r="C57" s="186"/>
      <c r="D57" s="186"/>
    </row>
    <row r="58" spans="2:4">
      <c r="B58" t="s">
        <v>815</v>
      </c>
    </row>
    <row r="60" spans="2:4">
      <c r="D60" s="368"/>
    </row>
    <row r="61" spans="2:4">
      <c r="D61" s="368"/>
    </row>
    <row r="62" spans="2:4">
      <c r="D62" s="368"/>
    </row>
    <row r="63" spans="2:4">
      <c r="D63" s="368"/>
    </row>
    <row r="71" spans="2:12">
      <c r="B71" s="306" t="s">
        <v>796</v>
      </c>
      <c r="G71" s="306" t="s">
        <v>797</v>
      </c>
    </row>
    <row r="72" spans="2:12">
      <c r="B72" t="s">
        <v>787</v>
      </c>
      <c r="D72">
        <v>3.5</v>
      </c>
      <c r="E72" t="s">
        <v>770</v>
      </c>
      <c r="G72" t="s">
        <v>205</v>
      </c>
      <c r="I72">
        <v>162</v>
      </c>
      <c r="J72" t="s">
        <v>227</v>
      </c>
    </row>
    <row r="73" spans="2:12">
      <c r="D73" s="281">
        <f>D72*25.4</f>
        <v>88.899999999999991</v>
      </c>
      <c r="E73" t="s">
        <v>227</v>
      </c>
      <c r="G73" t="s">
        <v>226</v>
      </c>
      <c r="I73">
        <v>1.8</v>
      </c>
      <c r="J73" t="s">
        <v>227</v>
      </c>
    </row>
    <row r="74" spans="2:12">
      <c r="B74" t="s">
        <v>788</v>
      </c>
      <c r="D74" t="s">
        <v>774</v>
      </c>
      <c r="G74" t="s">
        <v>707</v>
      </c>
      <c r="I74">
        <f>I75+2*2</f>
        <v>77.024999999999991</v>
      </c>
      <c r="J74" t="s">
        <v>227</v>
      </c>
    </row>
    <row r="75" spans="2:12">
      <c r="B75" t="s">
        <v>795</v>
      </c>
      <c r="D75">
        <v>20</v>
      </c>
      <c r="E75" t="s">
        <v>792</v>
      </c>
      <c r="G75" t="s">
        <v>708</v>
      </c>
      <c r="I75">
        <f>25.4*2.875</f>
        <v>73.024999999999991</v>
      </c>
      <c r="J75" t="s">
        <v>227</v>
      </c>
    </row>
    <row r="76" spans="2:12">
      <c r="B76" t="s">
        <v>791</v>
      </c>
      <c r="D76">
        <v>100</v>
      </c>
      <c r="E76" t="s">
        <v>792</v>
      </c>
      <c r="G76" t="s">
        <v>709</v>
      </c>
      <c r="I76">
        <f>(I74+I75)*0.5</f>
        <v>75.024999999999991</v>
      </c>
      <c r="J76" t="s">
        <v>227</v>
      </c>
    </row>
    <row r="77" spans="2:12">
      <c r="D77">
        <f>CONVERT(D76,"C","F")</f>
        <v>212</v>
      </c>
      <c r="E77" t="s">
        <v>793</v>
      </c>
      <c r="G77" t="s">
        <v>323</v>
      </c>
      <c r="I77">
        <v>60</v>
      </c>
      <c r="J77" t="s">
        <v>227</v>
      </c>
      <c r="L77" t="s">
        <v>811</v>
      </c>
    </row>
    <row r="78" spans="2:12">
      <c r="B78" t="s">
        <v>789</v>
      </c>
      <c r="D78">
        <f>VLOOKUP(D74,B220:C226,2,)</f>
        <v>23.2</v>
      </c>
      <c r="E78" t="s">
        <v>794</v>
      </c>
      <c r="G78" t="s">
        <v>768</v>
      </c>
      <c r="I78">
        <f>((PI()*I74^2)/4)-((PI()*I75^2)/4)</f>
        <v>471.39597767114901</v>
      </c>
      <c r="L78" t="s">
        <v>812</v>
      </c>
    </row>
    <row r="79" spans="2:12">
      <c r="B79" t="s">
        <v>790</v>
      </c>
      <c r="D79">
        <f>D73+((D76-D75)*(D78/1000))</f>
        <v>90.755999999999986</v>
      </c>
      <c r="E79" t="s">
        <v>227</v>
      </c>
      <c r="L79" t="s">
        <v>813</v>
      </c>
    </row>
    <row r="80" spans="2:12">
      <c r="L80" t="s">
        <v>814</v>
      </c>
    </row>
    <row r="81" spans="2:12">
      <c r="B81" s="306" t="s">
        <v>798</v>
      </c>
    </row>
    <row r="82" spans="2:12">
      <c r="B82" s="186" t="s">
        <v>817</v>
      </c>
      <c r="C82" s="186" t="s">
        <v>816</v>
      </c>
      <c r="D82" s="186" t="s">
        <v>800</v>
      </c>
      <c r="E82" s="186" t="s">
        <v>409</v>
      </c>
      <c r="F82" s="186"/>
      <c r="G82" s="186"/>
      <c r="H82" s="186"/>
      <c r="I82" s="186"/>
      <c r="J82" s="186"/>
    </row>
    <row r="83" spans="2:12">
      <c r="B83" t="s">
        <v>799</v>
      </c>
      <c r="D83" t="s">
        <v>801</v>
      </c>
      <c r="E83" t="s">
        <v>802</v>
      </c>
      <c r="L83" t="s">
        <v>829</v>
      </c>
    </row>
    <row r="84" spans="2:12">
      <c r="B84">
        <v>6</v>
      </c>
      <c r="D84">
        <v>0</v>
      </c>
      <c r="E84" t="s">
        <v>803</v>
      </c>
    </row>
    <row r="85" spans="2:12">
      <c r="B85">
        <f>2.5*9.81</f>
        <v>24.525000000000002</v>
      </c>
      <c r="D85">
        <v>0</v>
      </c>
      <c r="E85" t="s">
        <v>804</v>
      </c>
      <c r="I85" s="306" t="s">
        <v>830</v>
      </c>
      <c r="J85" s="306">
        <v>4.62</v>
      </c>
    </row>
    <row r="86" spans="2:12">
      <c r="E86" t="s">
        <v>805</v>
      </c>
      <c r="I86" s="306" t="s">
        <v>830</v>
      </c>
      <c r="J86" s="306">
        <v>4.62</v>
      </c>
    </row>
    <row r="87" spans="2:12">
      <c r="E87" t="s">
        <v>806</v>
      </c>
      <c r="I87" s="306" t="s">
        <v>830</v>
      </c>
      <c r="J87" s="306">
        <v>4.62</v>
      </c>
      <c r="K87" t="s">
        <v>88</v>
      </c>
      <c r="L87" t="s">
        <v>831</v>
      </c>
    </row>
    <row r="88" spans="2:12">
      <c r="D88" t="s">
        <v>88</v>
      </c>
      <c r="E88" t="s">
        <v>807</v>
      </c>
    </row>
    <row r="90" spans="2:12">
      <c r="B90" s="186" t="s">
        <v>818</v>
      </c>
      <c r="C90" s="186" t="s">
        <v>816</v>
      </c>
      <c r="D90" s="186" t="s">
        <v>234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799</v>
      </c>
      <c r="C91" t="s">
        <v>823</v>
      </c>
      <c r="D91" t="s">
        <v>801</v>
      </c>
      <c r="E91" t="s">
        <v>802</v>
      </c>
    </row>
    <row r="92" spans="2:12">
      <c r="B92">
        <v>20</v>
      </c>
      <c r="C92" s="429" t="s">
        <v>822</v>
      </c>
      <c r="D92">
        <v>8.6999999999999993</v>
      </c>
      <c r="E92" t="s">
        <v>808</v>
      </c>
    </row>
    <row r="93" spans="2:12">
      <c r="B93">
        <f>J93*9.81</f>
        <v>45.322200000000002</v>
      </c>
      <c r="C93" s="427" t="s">
        <v>194</v>
      </c>
      <c r="D93">
        <f>I77</f>
        <v>60</v>
      </c>
      <c r="E93" t="s">
        <v>810</v>
      </c>
      <c r="I93" s="306" t="s">
        <v>830</v>
      </c>
      <c r="J93" s="306">
        <v>4.62</v>
      </c>
    </row>
    <row r="94" spans="2:12">
      <c r="B94">
        <v>140</v>
      </c>
      <c r="C94" s="430" t="s">
        <v>822</v>
      </c>
      <c r="D94">
        <v>150</v>
      </c>
      <c r="E94" t="s">
        <v>809</v>
      </c>
    </row>
    <row r="95" spans="2:12">
      <c r="C95" s="432" t="s">
        <v>194</v>
      </c>
      <c r="E95" t="s">
        <v>826</v>
      </c>
      <c r="I95" s="306" t="s">
        <v>830</v>
      </c>
      <c r="J95" s="306">
        <v>0.2</v>
      </c>
    </row>
    <row r="96" spans="2:12">
      <c r="C96" s="428" t="s">
        <v>194</v>
      </c>
      <c r="E96" t="s">
        <v>827</v>
      </c>
      <c r="I96" s="306" t="s">
        <v>830</v>
      </c>
      <c r="J96" s="306">
        <v>1.1000000000000001</v>
      </c>
    </row>
    <row r="97" spans="3:14">
      <c r="C97" s="431" t="s">
        <v>194</v>
      </c>
      <c r="E97" t="s">
        <v>828</v>
      </c>
      <c r="I97" s="306" t="s">
        <v>830</v>
      </c>
      <c r="J97" s="306">
        <v>1.2</v>
      </c>
    </row>
    <row r="106" spans="3:14">
      <c r="L106" t="s">
        <v>824</v>
      </c>
    </row>
    <row r="107" spans="3:14">
      <c r="L107" t="s">
        <v>819</v>
      </c>
      <c r="M107" t="s">
        <v>820</v>
      </c>
    </row>
    <row r="108" spans="3:14">
      <c r="L108">
        <f>D92</f>
        <v>8.6999999999999993</v>
      </c>
      <c r="M108">
        <v>0</v>
      </c>
    </row>
    <row r="109" spans="3:14">
      <c r="L109">
        <f>L108</f>
        <v>8.6999999999999993</v>
      </c>
      <c r="M109">
        <f>B92</f>
        <v>20</v>
      </c>
      <c r="N109" t="s">
        <v>821</v>
      </c>
    </row>
    <row r="110" spans="3:14">
      <c r="L110">
        <f>D93</f>
        <v>60</v>
      </c>
      <c r="M110">
        <f>M109</f>
        <v>20</v>
      </c>
    </row>
    <row r="111" spans="3:14">
      <c r="L111">
        <f>L110</f>
        <v>60</v>
      </c>
      <c r="M111">
        <f>M110-B93</f>
        <v>-25.322200000000002</v>
      </c>
    </row>
    <row r="112" spans="3:14">
      <c r="L112">
        <f>D94</f>
        <v>150</v>
      </c>
      <c r="M112">
        <f>M111</f>
        <v>-25.322200000000002</v>
      </c>
    </row>
    <row r="113" spans="12:13">
      <c r="L113">
        <f>L112</f>
        <v>150</v>
      </c>
      <c r="M113">
        <f>M111+B94</f>
        <v>114.67779999999999</v>
      </c>
    </row>
    <row r="118" spans="12:13">
      <c r="L118" t="s">
        <v>825</v>
      </c>
    </row>
    <row r="119" spans="12:13">
      <c r="L119">
        <f>L108</f>
        <v>8.6999999999999993</v>
      </c>
      <c r="M119">
        <f>M108</f>
        <v>0</v>
      </c>
    </row>
    <row r="156" spans="2:6">
      <c r="B156" s="186" t="s">
        <v>715</v>
      </c>
      <c r="C156" s="186"/>
      <c r="D156" s="186"/>
      <c r="E156" s="186"/>
      <c r="F156" s="186"/>
    </row>
    <row r="157" spans="2:6">
      <c r="D157" s="14"/>
      <c r="F157" s="356"/>
    </row>
    <row r="158" spans="2:6">
      <c r="D158" s="14"/>
      <c r="F158" s="356"/>
    </row>
    <row r="159" spans="2:6">
      <c r="F159" s="357"/>
    </row>
    <row r="165" spans="2:5">
      <c r="B165" t="s">
        <v>719</v>
      </c>
      <c r="E165" t="s">
        <v>197</v>
      </c>
    </row>
    <row r="166" spans="2:5">
      <c r="B166" t="s">
        <v>720</v>
      </c>
      <c r="E166" t="s">
        <v>197</v>
      </c>
    </row>
    <row r="167" spans="2:5">
      <c r="B167" t="s">
        <v>721</v>
      </c>
      <c r="E167" t="s">
        <v>197</v>
      </c>
    </row>
    <row r="168" spans="2:5">
      <c r="B168" t="s">
        <v>722</v>
      </c>
      <c r="E168" t="s">
        <v>223</v>
      </c>
    </row>
    <row r="169" spans="2:5">
      <c r="B169" t="s">
        <v>723</v>
      </c>
      <c r="E169" t="s">
        <v>724</v>
      </c>
    </row>
    <row r="170" spans="2:5">
      <c r="B170" t="s">
        <v>725</v>
      </c>
    </row>
    <row r="171" spans="2:5">
      <c r="B171" t="s">
        <v>726</v>
      </c>
    </row>
    <row r="175" spans="2:5">
      <c r="B175" t="s">
        <v>710</v>
      </c>
    </row>
    <row r="191" spans="2:2">
      <c r="B191" t="s">
        <v>711</v>
      </c>
    </row>
    <row r="203" spans="2:9">
      <c r="B203" s="291" t="s">
        <v>687</v>
      </c>
      <c r="C203" s="186"/>
      <c r="D203" s="186"/>
      <c r="E203" s="186"/>
    </row>
    <row r="204" spans="2:9" ht="43.5">
      <c r="B204" t="s">
        <v>690</v>
      </c>
      <c r="C204" t="s">
        <v>688</v>
      </c>
      <c r="D204" t="s">
        <v>691</v>
      </c>
      <c r="E204" t="s">
        <v>692</v>
      </c>
      <c r="F204" s="353" t="s">
        <v>696</v>
      </c>
      <c r="G204" t="s">
        <v>689</v>
      </c>
      <c r="H204" t="s">
        <v>694</v>
      </c>
      <c r="I204" t="s">
        <v>695</v>
      </c>
    </row>
    <row r="205" spans="2:9">
      <c r="B205">
        <v>2</v>
      </c>
      <c r="C205">
        <v>2.375</v>
      </c>
      <c r="D205">
        <f>C205-2*E205</f>
        <v>2.0670000000000002</v>
      </c>
      <c r="E205">
        <v>0.154</v>
      </c>
      <c r="F205" t="s">
        <v>697</v>
      </c>
      <c r="G205">
        <f>C205*25.4</f>
        <v>60.324999999999996</v>
      </c>
      <c r="H205">
        <f t="shared" ref="H205:I205" si="0">D205*25.4</f>
        <v>52.501800000000003</v>
      </c>
      <c r="I205">
        <f t="shared" si="0"/>
        <v>3.9115999999999995</v>
      </c>
    </row>
    <row r="206" spans="2:9">
      <c r="B206">
        <v>2</v>
      </c>
      <c r="C206">
        <v>2.375</v>
      </c>
      <c r="D206">
        <f t="shared" ref="D206:D214" si="1">C206-2*E206</f>
        <v>1.9390000000000001</v>
      </c>
      <c r="E206">
        <v>0.218</v>
      </c>
      <c r="F206" t="s">
        <v>698</v>
      </c>
      <c r="G206">
        <f t="shared" ref="G206:G214" si="2">C206*25.4</f>
        <v>60.324999999999996</v>
      </c>
      <c r="H206">
        <f t="shared" ref="H206:H214" si="3">D206*25.4</f>
        <v>49.250599999999999</v>
      </c>
      <c r="I206">
        <f t="shared" ref="I206:I214" si="4">E206*25.4</f>
        <v>5.5371999999999995</v>
      </c>
    </row>
    <row r="207" spans="2:9">
      <c r="B207">
        <v>2.5</v>
      </c>
      <c r="C207">
        <v>2.875</v>
      </c>
      <c r="D207">
        <f t="shared" si="1"/>
        <v>2.4689999999999999</v>
      </c>
      <c r="E207">
        <v>0.20300000000000001</v>
      </c>
      <c r="F207" t="s">
        <v>697</v>
      </c>
      <c r="G207">
        <f t="shared" si="2"/>
        <v>73.024999999999991</v>
      </c>
      <c r="H207">
        <f t="shared" si="3"/>
        <v>62.712599999999995</v>
      </c>
      <c r="I207">
        <f t="shared" si="4"/>
        <v>5.1562000000000001</v>
      </c>
    </row>
    <row r="208" spans="2:9">
      <c r="B208">
        <v>2.5</v>
      </c>
      <c r="C208">
        <v>2.875</v>
      </c>
      <c r="D208">
        <f t="shared" si="1"/>
        <v>2.323</v>
      </c>
      <c r="E208">
        <v>0.27600000000000002</v>
      </c>
      <c r="F208" t="s">
        <v>698</v>
      </c>
      <c r="G208">
        <f t="shared" si="2"/>
        <v>73.024999999999991</v>
      </c>
      <c r="H208">
        <f t="shared" si="3"/>
        <v>59.004199999999997</v>
      </c>
      <c r="I208">
        <f t="shared" si="4"/>
        <v>7.0104000000000006</v>
      </c>
    </row>
    <row r="209" spans="2:9">
      <c r="B209">
        <v>3</v>
      </c>
      <c r="C209">
        <v>3.5</v>
      </c>
      <c r="D209">
        <f t="shared" si="1"/>
        <v>3.0680000000000001</v>
      </c>
      <c r="E209">
        <v>0.216</v>
      </c>
      <c r="F209" t="s">
        <v>697</v>
      </c>
      <c r="G209">
        <f t="shared" si="2"/>
        <v>88.899999999999991</v>
      </c>
      <c r="H209">
        <f t="shared" si="3"/>
        <v>77.927199999999999</v>
      </c>
      <c r="I209">
        <f t="shared" si="4"/>
        <v>5.4863999999999997</v>
      </c>
    </row>
    <row r="210" spans="2:9">
      <c r="B210">
        <v>3</v>
      </c>
      <c r="C210">
        <v>3.5</v>
      </c>
      <c r="D210">
        <f t="shared" si="1"/>
        <v>2.9</v>
      </c>
      <c r="E210">
        <v>0.3</v>
      </c>
      <c r="F210" t="s">
        <v>698</v>
      </c>
      <c r="G210">
        <f t="shared" si="2"/>
        <v>88.899999999999991</v>
      </c>
      <c r="H210">
        <f t="shared" si="3"/>
        <v>73.66</v>
      </c>
      <c r="I210">
        <f t="shared" si="4"/>
        <v>7.6199999999999992</v>
      </c>
    </row>
    <row r="211" spans="2:9">
      <c r="B211">
        <v>3.5</v>
      </c>
      <c r="C211">
        <v>4</v>
      </c>
      <c r="D211">
        <f t="shared" si="1"/>
        <v>3.548</v>
      </c>
      <c r="E211">
        <v>0.22600000000000001</v>
      </c>
      <c r="F211" t="s">
        <v>697</v>
      </c>
      <c r="G211">
        <f t="shared" si="2"/>
        <v>101.6</v>
      </c>
      <c r="H211">
        <f t="shared" si="3"/>
        <v>90.119199999999992</v>
      </c>
      <c r="I211">
        <f t="shared" si="4"/>
        <v>5.7404000000000002</v>
      </c>
    </row>
    <row r="212" spans="2:9">
      <c r="B212">
        <v>3.5</v>
      </c>
      <c r="C212">
        <v>4</v>
      </c>
      <c r="D212">
        <f t="shared" si="1"/>
        <v>3.3639999999999999</v>
      </c>
      <c r="E212">
        <v>0.318</v>
      </c>
      <c r="F212" t="s">
        <v>698</v>
      </c>
      <c r="G212">
        <f t="shared" si="2"/>
        <v>101.6</v>
      </c>
      <c r="H212">
        <f t="shared" si="3"/>
        <v>85.445599999999999</v>
      </c>
      <c r="I212">
        <f t="shared" si="4"/>
        <v>8.0771999999999995</v>
      </c>
    </row>
    <row r="213" spans="2:9">
      <c r="B213">
        <v>4</v>
      </c>
      <c r="C213">
        <v>4.5</v>
      </c>
      <c r="D213">
        <f t="shared" si="1"/>
        <v>4.0259999999999998</v>
      </c>
      <c r="E213">
        <v>0.23699999999999999</v>
      </c>
      <c r="F213" t="s">
        <v>697</v>
      </c>
      <c r="G213">
        <f t="shared" si="2"/>
        <v>114.3</v>
      </c>
      <c r="H213">
        <f t="shared" si="3"/>
        <v>102.26039999999999</v>
      </c>
      <c r="I213">
        <f t="shared" si="4"/>
        <v>6.0197999999999992</v>
      </c>
    </row>
    <row r="214" spans="2:9">
      <c r="B214">
        <v>4</v>
      </c>
      <c r="C214">
        <v>4.5</v>
      </c>
      <c r="D214">
        <f t="shared" si="1"/>
        <v>3.8260000000000001</v>
      </c>
      <c r="E214">
        <v>0.33700000000000002</v>
      </c>
      <c r="F214" t="s">
        <v>698</v>
      </c>
      <c r="G214">
        <f t="shared" si="2"/>
        <v>114.3</v>
      </c>
      <c r="H214">
        <f t="shared" si="3"/>
        <v>97.180399999999992</v>
      </c>
      <c r="I214">
        <f t="shared" si="4"/>
        <v>8.5597999999999992</v>
      </c>
    </row>
    <row r="216" spans="2:9">
      <c r="B216" t="s">
        <v>693</v>
      </c>
      <c r="C216" t="s">
        <v>699</v>
      </c>
    </row>
    <row r="217" spans="2:9">
      <c r="B217" t="s">
        <v>704</v>
      </c>
      <c r="C217" t="s">
        <v>700</v>
      </c>
    </row>
    <row r="219" spans="2:9" ht="79" customHeight="1">
      <c r="B219" s="353" t="s">
        <v>771</v>
      </c>
      <c r="C219" s="353" t="s">
        <v>786</v>
      </c>
      <c r="D219" t="s">
        <v>409</v>
      </c>
    </row>
    <row r="220" spans="2:9" ht="29">
      <c r="B220" s="63" t="s">
        <v>772</v>
      </c>
      <c r="C220" s="63">
        <v>23.6</v>
      </c>
      <c r="D220" s="367" t="s">
        <v>773</v>
      </c>
    </row>
    <row r="221" spans="2:9">
      <c r="B221" s="63" t="s">
        <v>774</v>
      </c>
      <c r="C221" s="63">
        <v>23.2</v>
      </c>
      <c r="D221" s="367" t="s">
        <v>775</v>
      </c>
    </row>
    <row r="222" spans="2:9">
      <c r="B222" s="63" t="s">
        <v>776</v>
      </c>
      <c r="C222" s="63">
        <v>22</v>
      </c>
      <c r="D222" s="367" t="s">
        <v>777</v>
      </c>
    </row>
    <row r="223" spans="2:9">
      <c r="B223" s="63" t="s">
        <v>778</v>
      </c>
      <c r="C223" s="63">
        <v>23.6</v>
      </c>
      <c r="D223" s="367" t="s">
        <v>779</v>
      </c>
    </row>
    <row r="224" spans="2:9">
      <c r="B224" s="63" t="s">
        <v>780</v>
      </c>
      <c r="C224" s="63">
        <v>23.5</v>
      </c>
      <c r="D224" s="367" t="s">
        <v>781</v>
      </c>
    </row>
    <row r="225" spans="2:4" ht="29">
      <c r="B225" s="63" t="s">
        <v>782</v>
      </c>
      <c r="C225" s="63">
        <v>21.5</v>
      </c>
      <c r="D225" s="367" t="s">
        <v>783</v>
      </c>
    </row>
    <row r="226" spans="2:4" ht="29">
      <c r="B226" s="63" t="s">
        <v>784</v>
      </c>
      <c r="C226" s="63">
        <v>21.5</v>
      </c>
      <c r="D226" s="367" t="s">
        <v>785</v>
      </c>
    </row>
  </sheetData>
  <mergeCells count="1">
    <mergeCell ref="E3:H4"/>
  </mergeCells>
  <dataValidations disablePrompts="1" count="2">
    <dataValidation type="list" allowBlank="1" showInputMessage="1" showErrorMessage="1" sqref="D72" xr:uid="{AF8D8C63-37EA-4C16-B904-58D924A4F109}">
      <formula1>$C$205:$C$214</formula1>
    </dataValidation>
    <dataValidation type="list" allowBlank="1" showInputMessage="1" showErrorMessage="1" sqref="D74" xr:uid="{A2091772-7E14-4954-AD0A-1DBB76769019}">
      <formula1>$B$220:$B$226</formula1>
    </dataValidation>
  </dataValidations>
  <hyperlinks>
    <hyperlink ref="B13" r:id="rId1" xr:uid="{C26079FB-FD8F-45F1-BE88-6183809A4448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24" t="s">
        <v>539</v>
      </c>
      <c r="B1" s="42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24" t="s">
        <v>540</v>
      </c>
      <c r="B6" s="42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2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2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2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26"/>
      <c r="C5" s="426"/>
      <c r="D5" s="426"/>
      <c r="E5" s="42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2025-09-11T06:40:17Z</cp:lastPrinted>
  <dcterms:created xsi:type="dcterms:W3CDTF">2024-07-02T19:27:32Z</dcterms:created>
  <dcterms:modified xsi:type="dcterms:W3CDTF">2025-09-11T06:40:41Z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