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ustomProperty5.bin" ContentType="application/vnd.openxmlformats-officedocument.spreadsheetml.customProperty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0 Repos\aeroestructures-and-stability\"/>
    </mc:Choice>
  </mc:AlternateContent>
  <bookViews>
    <workbookView xWindow="28635" yWindow="1725" windowWidth="29130" windowHeight="15810" tabRatio="864" firstSheet="1" activeTab="4"/>
  </bookViews>
  <sheets>
    <sheet name="Manual rev.1" sheetId="4" state="hidden" r:id="rId1"/>
    <sheet name="Statistics" sheetId="8" r:id="rId2"/>
    <sheet name="Geometry" sheetId="1" r:id="rId3"/>
    <sheet name="Forces balance" sheetId="16" r:id="rId4"/>
    <sheet name="SimpleComposites" sheetId="25" r:id="rId5"/>
    <sheet name="FinAeroDesign 2.0" sheetId="17" r:id="rId6"/>
    <sheet name="RocketAeroDesign 3.0 " sheetId="24" r:id="rId7"/>
    <sheet name="CFD test1" sheetId="22" r:id="rId8"/>
    <sheet name="Future CFD forebody" sheetId="21" r:id="rId9"/>
    <sheet name="Stability" sheetId="19" r:id="rId10"/>
    <sheet name="RocketData" sheetId="14" r:id="rId11"/>
    <sheet name="CFD fuselage" sheetId="10" state="hidden" r:id="rId12"/>
    <sheet name="CFD boat-tail" sheetId="11" state="hidden" r:id="rId13"/>
    <sheet name="CFD rocket" sheetId="12" state="hidden" r:id="rId14"/>
    <sheet name="OpenRocket" sheetId="6" state="hidden" r:id="rId15"/>
  </sheets>
  <definedNames>
    <definedName name="_xlnm._FilterDatabase" localSheetId="1" hidden="1">Statistics!$A$1:$E$8</definedName>
    <definedName name="Airflow" localSheetId="6">'RocketAeroDesign 3.0 '!$B$2</definedName>
    <definedName name="Airflow">'FinAeroDesign 2.0'!$B$2</definedName>
    <definedName name="AoAfins" localSheetId="6">'RocketAeroDesign 3.0 '!$B$13</definedName>
    <definedName name="AoAfins">'FinAeroDesign 2.0'!$B$9</definedName>
    <definedName name="AoSfins" localSheetId="6">'RocketAeroDesign 3.0 '!$B$14</definedName>
    <definedName name="AoSfins">'FinAeroDesign 2.0'!$B$10</definedName>
    <definedName name="CrossSecAreaRocket">Geometry!$C$8</definedName>
    <definedName name="DiameterRocket">Geometry!$C$4</definedName>
    <definedName name="LargeOgive">Geometry!$P$26</definedName>
    <definedName name="LengthRocket">Geometry!$C$3</definedName>
    <definedName name="Rogive" comment="R for ogive">Geometry!$P$23</definedName>
    <definedName name="Sbending">SimpleComposites!$D$115</definedName>
    <definedName name="ScuComp">SimpleComposites!$B$61</definedName>
    <definedName name="ScyComp">SimpleComposites!$B$60</definedName>
    <definedName name="SsyComp">SimpleComposites!$D$40</definedName>
    <definedName name="StyComp">SimpleComposites!$B$59</definedName>
    <definedName name="tubeZ">SimpleComposites!$I$90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7" i="25" l="1"/>
  <c r="C281" i="25" s="1"/>
  <c r="C279" i="25" l="1"/>
  <c r="S220" i="25" l="1"/>
  <c r="Q226" i="25"/>
  <c r="P224" i="25"/>
  <c r="Q224" i="25"/>
  <c r="Q223" i="25"/>
  <c r="P223" i="25"/>
  <c r="S213" i="25"/>
  <c r="S215" i="25" s="1"/>
  <c r="R221" i="25" s="1"/>
  <c r="S221" i="25" s="1"/>
  <c r="N221" i="25"/>
  <c r="N220" i="25"/>
  <c r="N218" i="25"/>
  <c r="N217" i="25"/>
  <c r="N216" i="25"/>
  <c r="C274" i="25"/>
  <c r="C275" i="25"/>
  <c r="C276" i="25"/>
  <c r="C278" i="25"/>
  <c r="C269" i="25"/>
  <c r="C270" i="25"/>
  <c r="C271" i="25"/>
  <c r="C272" i="25"/>
  <c r="C273" i="25"/>
  <c r="C268" i="25"/>
  <c r="I94" i="25"/>
  <c r="I85" i="25"/>
  <c r="I90" i="25" s="1"/>
  <c r="F202" i="25"/>
  <c r="G192" i="25"/>
  <c r="F192" i="25"/>
  <c r="D191" i="25"/>
  <c r="H22" i="25"/>
  <c r="H31" i="25"/>
  <c r="H29" i="25"/>
  <c r="H165" i="25"/>
  <c r="H164" i="25" s="1"/>
  <c r="G172" i="25" s="1"/>
  <c r="I93" i="25" l="1"/>
  <c r="I95" i="25" s="1"/>
  <c r="D92" i="25" s="1"/>
  <c r="H163" i="25"/>
  <c r="B161" i="25" s="1"/>
  <c r="C141" i="25"/>
  <c r="D22" i="25"/>
  <c r="J30" i="25"/>
  <c r="C52" i="25" s="1"/>
  <c r="C50" i="25"/>
  <c r="H25" i="25"/>
  <c r="H28" i="25"/>
  <c r="E53" i="25"/>
  <c r="E52" i="25" s="1"/>
  <c r="H27" i="25" l="1"/>
  <c r="D52" i="25" s="1"/>
  <c r="H30" i="25"/>
  <c r="D27" i="25" l="1"/>
  <c r="B46" i="25"/>
  <c r="D46" i="25"/>
  <c r="B55" i="25" s="1"/>
  <c r="I88" i="25"/>
  <c r="D107" i="25" l="1"/>
  <c r="D108" i="25"/>
  <c r="M136" i="25"/>
  <c r="L127" i="25"/>
  <c r="L138" i="25" s="1"/>
  <c r="M124" i="25"/>
  <c r="M125" i="25" s="1"/>
  <c r="M126" i="25" s="1"/>
  <c r="M127" i="25" s="1"/>
  <c r="L123" i="25"/>
  <c r="L136" i="25" s="1"/>
  <c r="L125" i="25"/>
  <c r="B50" i="25"/>
  <c r="B52" i="25"/>
  <c r="D89" i="25"/>
  <c r="D93" i="25" s="1"/>
  <c r="D94" i="25" s="1"/>
  <c r="D88" i="25"/>
  <c r="D84" i="25"/>
  <c r="F26" i="25"/>
  <c r="J28" i="25"/>
  <c r="D53" i="25"/>
  <c r="D50" i="25"/>
  <c r="E50" i="25" s="1"/>
  <c r="D90" i="25" l="1"/>
  <c r="D40" i="25"/>
  <c r="D37" i="25"/>
  <c r="B108" i="25"/>
  <c r="B107" i="25" s="1"/>
  <c r="C124" i="25" s="1"/>
  <c r="B132" i="25"/>
  <c r="I108" i="25"/>
  <c r="D122" i="25" s="1"/>
  <c r="B125" i="25" s="1"/>
  <c r="B53" i="25"/>
  <c r="J29" i="25"/>
  <c r="C55" i="25"/>
  <c r="C46" i="25"/>
  <c r="C45" i="25"/>
  <c r="D45" i="25" s="1"/>
  <c r="D39" i="25" s="1"/>
  <c r="D38" i="25" s="1"/>
  <c r="E55" i="25" s="1"/>
  <c r="C44" i="25"/>
  <c r="L137" i="25"/>
  <c r="M137" i="25" s="1"/>
  <c r="M138" i="25" s="1"/>
  <c r="L126" i="25"/>
  <c r="L124" i="25"/>
  <c r="L128" i="25"/>
  <c r="M128" i="25"/>
  <c r="I87" i="25"/>
  <c r="I89" i="25"/>
  <c r="D28" i="25"/>
  <c r="B44" i="25" s="1"/>
  <c r="H34" i="25"/>
  <c r="H38" i="25" s="1"/>
  <c r="H39" i="25" s="1"/>
  <c r="D34" i="25"/>
  <c r="D178" i="25" l="1"/>
  <c r="D181" i="25" s="1"/>
  <c r="D182" i="25" s="1"/>
  <c r="D183" i="25" s="1"/>
  <c r="D185" i="25" s="1"/>
  <c r="I190" i="25"/>
  <c r="I191" i="25"/>
  <c r="I188" i="25"/>
  <c r="I189" i="25"/>
  <c r="D203" i="25"/>
  <c r="D206" i="25" s="1"/>
  <c r="D208" i="25" s="1"/>
  <c r="D189" i="25"/>
  <c r="D192" i="25" s="1"/>
  <c r="D194" i="25" s="1"/>
  <c r="D196" i="25"/>
  <c r="D199" i="25" s="1"/>
  <c r="D201" i="25" s="1"/>
  <c r="D116" i="25"/>
  <c r="D119" i="25" s="1"/>
  <c r="D175" i="25" s="1"/>
  <c r="D179" i="25"/>
  <c r="D180" i="25" s="1"/>
  <c r="D124" i="25"/>
  <c r="D111" i="25"/>
  <c r="D172" i="25" s="1"/>
  <c r="D168" i="25"/>
  <c r="D169" i="25"/>
  <c r="D125" i="25"/>
  <c r="C125" i="25"/>
  <c r="D112" i="25"/>
  <c r="F112" i="25"/>
  <c r="F113" i="25"/>
  <c r="D113" i="25"/>
  <c r="D114" i="25" s="1"/>
  <c r="D132" i="25"/>
  <c r="B126" i="25"/>
  <c r="C53" i="25"/>
  <c r="D30" i="25"/>
  <c r="B45" i="25" s="1"/>
  <c r="B61" i="25"/>
  <c r="B60" i="25"/>
  <c r="D44" i="25"/>
  <c r="D36" i="25" s="1"/>
  <c r="D35" i="25"/>
  <c r="N37" i="16"/>
  <c r="I192" i="25" l="1"/>
  <c r="I193" i="25" s="1"/>
  <c r="G179" i="25" s="1"/>
  <c r="D115" i="25"/>
  <c r="D118" i="25" s="1"/>
  <c r="C132" i="25"/>
  <c r="C126" i="25"/>
  <c r="D126" i="25"/>
  <c r="B127" i="25"/>
  <c r="B59" i="25"/>
  <c r="D117" i="25" s="1"/>
  <c r="D55" i="25"/>
  <c r="C24" i="16"/>
  <c r="C28" i="16" s="1"/>
  <c r="N41" i="16"/>
  <c r="L41" i="16" s="1"/>
  <c r="L36" i="16"/>
  <c r="N36" i="16" s="1"/>
  <c r="G242" i="25"/>
  <c r="I242" i="25"/>
  <c r="G243" i="25"/>
  <c r="I243" i="25"/>
  <c r="G244" i="25"/>
  <c r="I244" i="25"/>
  <c r="G245" i="25"/>
  <c r="I245" i="25"/>
  <c r="G246" i="25"/>
  <c r="I246" i="25"/>
  <c r="G247" i="25"/>
  <c r="I247" i="25"/>
  <c r="G248" i="25"/>
  <c r="I248" i="25"/>
  <c r="G249" i="25"/>
  <c r="I249" i="25"/>
  <c r="G250" i="25"/>
  <c r="I250" i="25"/>
  <c r="I241" i="25"/>
  <c r="G241" i="25"/>
  <c r="D244" i="25"/>
  <c r="H244" i="25" s="1"/>
  <c r="D245" i="25"/>
  <c r="H245" i="25" s="1"/>
  <c r="D246" i="25"/>
  <c r="H246" i="25" s="1"/>
  <c r="D247" i="25"/>
  <c r="H247" i="25" s="1"/>
  <c r="D248" i="25"/>
  <c r="H248" i="25" s="1"/>
  <c r="D249" i="25"/>
  <c r="H249" i="25" s="1"/>
  <c r="D250" i="25"/>
  <c r="H250" i="25" s="1"/>
  <c r="D242" i="25"/>
  <c r="H242" i="25" s="1"/>
  <c r="D243" i="25"/>
  <c r="H243" i="25" s="1"/>
  <c r="D241" i="25"/>
  <c r="H241" i="25" s="1"/>
  <c r="N52" i="16"/>
  <c r="L52" i="16" s="1"/>
  <c r="B7" i="21"/>
  <c r="D7" i="21" s="1"/>
  <c r="I103" i="22"/>
  <c r="I104" i="22" s="1"/>
  <c r="H103" i="22"/>
  <c r="H104" i="22" s="1"/>
  <c r="G103" i="22"/>
  <c r="G104" i="22" s="1"/>
  <c r="F103" i="22"/>
  <c r="F104" i="22" s="1"/>
  <c r="E103" i="22"/>
  <c r="E104" i="22" s="1"/>
  <c r="D103" i="22"/>
  <c r="D104" i="22" s="1"/>
  <c r="C103" i="22"/>
  <c r="C104" i="22" s="1"/>
  <c r="B103" i="22"/>
  <c r="B104" i="22" s="1"/>
  <c r="I102" i="22"/>
  <c r="H102" i="22"/>
  <c r="G102" i="22"/>
  <c r="F102" i="22"/>
  <c r="E102" i="22"/>
  <c r="D102" i="22"/>
  <c r="C102" i="22"/>
  <c r="B102" i="22"/>
  <c r="I101" i="22"/>
  <c r="H101" i="22"/>
  <c r="G101" i="22"/>
  <c r="F101" i="22"/>
  <c r="E101" i="22"/>
  <c r="D101" i="22"/>
  <c r="C101" i="22"/>
  <c r="B101" i="22"/>
  <c r="I100" i="22"/>
  <c r="H100" i="22"/>
  <c r="G100" i="22"/>
  <c r="F100" i="22"/>
  <c r="E100" i="22"/>
  <c r="D100" i="22"/>
  <c r="C100" i="22"/>
  <c r="B100" i="22"/>
  <c r="I99" i="22"/>
  <c r="H99" i="22"/>
  <c r="G99" i="22"/>
  <c r="F99" i="22"/>
  <c r="E99" i="22"/>
  <c r="D99" i="22"/>
  <c r="C99" i="22"/>
  <c r="B99" i="22"/>
  <c r="I86" i="22"/>
  <c r="I87" i="22" s="1"/>
  <c r="H86" i="22"/>
  <c r="H87" i="22" s="1"/>
  <c r="G86" i="22"/>
  <c r="G87" i="22" s="1"/>
  <c r="F86" i="22"/>
  <c r="F87" i="22" s="1"/>
  <c r="E86" i="22"/>
  <c r="E87" i="22" s="1"/>
  <c r="D86" i="22"/>
  <c r="D87" i="22" s="1"/>
  <c r="C86" i="22"/>
  <c r="C87" i="22" s="1"/>
  <c r="B86" i="22"/>
  <c r="B87" i="22" s="1"/>
  <c r="I85" i="22"/>
  <c r="H85" i="22"/>
  <c r="G85" i="22"/>
  <c r="F85" i="22"/>
  <c r="E85" i="22"/>
  <c r="D85" i="22"/>
  <c r="C85" i="22"/>
  <c r="B85" i="22"/>
  <c r="I84" i="22"/>
  <c r="H84" i="22"/>
  <c r="G84" i="22"/>
  <c r="F84" i="22"/>
  <c r="E84" i="22"/>
  <c r="D84" i="22"/>
  <c r="C84" i="22"/>
  <c r="B84" i="22"/>
  <c r="I83" i="22"/>
  <c r="H83" i="22"/>
  <c r="G83" i="22"/>
  <c r="F83" i="22"/>
  <c r="E83" i="22"/>
  <c r="D83" i="22"/>
  <c r="C83" i="22"/>
  <c r="B83" i="22"/>
  <c r="I82" i="22"/>
  <c r="H82" i="22"/>
  <c r="G82" i="22"/>
  <c r="F82" i="22"/>
  <c r="E82" i="22"/>
  <c r="D82" i="22"/>
  <c r="C82" i="22"/>
  <c r="B82" i="22"/>
  <c r="O22" i="22"/>
  <c r="C8" i="1"/>
  <c r="D170" i="25" l="1"/>
  <c r="D171" i="25" s="1"/>
  <c r="D173" i="25" s="1"/>
  <c r="D174" i="25"/>
  <c r="C127" i="25"/>
  <c r="D127" i="25"/>
  <c r="B128" i="25"/>
  <c r="L35" i="16"/>
  <c r="N35" i="16" s="1"/>
  <c r="N39" i="16" s="1"/>
  <c r="N42" i="16" s="1"/>
  <c r="C7" i="21"/>
  <c r="F7" i="21"/>
  <c r="E7" i="21"/>
  <c r="C15" i="24"/>
  <c r="C16" i="24"/>
  <c r="C21" i="24"/>
  <c r="C12" i="24" s="1"/>
  <c r="C2" i="24" s="1"/>
  <c r="C39" i="24"/>
  <c r="C40" i="24" s="1"/>
  <c r="C192" i="24" s="1"/>
  <c r="C44" i="24"/>
  <c r="C111" i="24" s="1"/>
  <c r="C46" i="24"/>
  <c r="C48" i="24"/>
  <c r="C50" i="24"/>
  <c r="C54" i="24"/>
  <c r="C60" i="24" s="1"/>
  <c r="C63" i="24" s="1"/>
  <c r="C61" i="24"/>
  <c r="C101" i="24"/>
  <c r="C108" i="24"/>
  <c r="C169" i="24"/>
  <c r="C170" i="24"/>
  <c r="C171" i="24"/>
  <c r="C172" i="24"/>
  <c r="C173" i="24"/>
  <c r="B543" i="24"/>
  <c r="B303" i="24"/>
  <c r="B271" i="24"/>
  <c r="B544" i="24" s="1"/>
  <c r="B545" i="24" s="1"/>
  <c r="B9" i="24" s="1"/>
  <c r="B17" i="24"/>
  <c r="B306" i="24"/>
  <c r="D15" i="24"/>
  <c r="F15" i="24"/>
  <c r="G15" i="24"/>
  <c r="H15" i="24"/>
  <c r="I15" i="24"/>
  <c r="J15" i="24"/>
  <c r="K15" i="24"/>
  <c r="D16" i="24"/>
  <c r="F16" i="24"/>
  <c r="G16" i="24"/>
  <c r="H16" i="24"/>
  <c r="I16" i="24"/>
  <c r="J16" i="24"/>
  <c r="K16" i="24"/>
  <c r="D21" i="24"/>
  <c r="D22" i="24" s="1"/>
  <c r="F21" i="24"/>
  <c r="F19" i="24" s="1"/>
  <c r="F20" i="24" s="1"/>
  <c r="G21" i="24"/>
  <c r="G23" i="24" s="1"/>
  <c r="H21" i="24"/>
  <c r="H19" i="24" s="1"/>
  <c r="H20" i="24" s="1"/>
  <c r="I21" i="24"/>
  <c r="I19" i="24" s="1"/>
  <c r="I20" i="24" s="1"/>
  <c r="J21" i="24"/>
  <c r="J12" i="24" s="1"/>
  <c r="J2" i="24" s="1"/>
  <c r="J11" i="24" s="1"/>
  <c r="K21" i="24"/>
  <c r="K12" i="24" s="1"/>
  <c r="K2" i="24" s="1"/>
  <c r="D39" i="24"/>
  <c r="D41" i="24" s="1"/>
  <c r="D42" i="24" s="1"/>
  <c r="F39" i="24"/>
  <c r="G39" i="24"/>
  <c r="G41" i="24" s="1"/>
  <c r="G42" i="24" s="1"/>
  <c r="H39" i="24"/>
  <c r="I39" i="24"/>
  <c r="J39" i="24"/>
  <c r="J40" i="24" s="1"/>
  <c r="J192" i="24" s="1"/>
  <c r="K39" i="24"/>
  <c r="K51" i="24" s="1"/>
  <c r="K52" i="24" s="1"/>
  <c r="D44" i="24"/>
  <c r="D111" i="24" s="1"/>
  <c r="F44" i="24"/>
  <c r="F111" i="24" s="1"/>
  <c r="G44" i="24"/>
  <c r="G111" i="24" s="1"/>
  <c r="H44" i="24"/>
  <c r="H111" i="24" s="1"/>
  <c r="I44" i="24"/>
  <c r="I111" i="24" s="1"/>
  <c r="J44" i="24"/>
  <c r="K44" i="24"/>
  <c r="D46" i="24"/>
  <c r="F46" i="24"/>
  <c r="G46" i="24"/>
  <c r="H46" i="24"/>
  <c r="I46" i="24"/>
  <c r="J46" i="24"/>
  <c r="K46" i="24"/>
  <c r="D48" i="24"/>
  <c r="F48" i="24"/>
  <c r="G48" i="24"/>
  <c r="H48" i="24"/>
  <c r="I48" i="24"/>
  <c r="J48" i="24"/>
  <c r="K48" i="24"/>
  <c r="D50" i="24"/>
  <c r="F50" i="24"/>
  <c r="G50" i="24"/>
  <c r="H50" i="24"/>
  <c r="I50" i="24"/>
  <c r="J50" i="24"/>
  <c r="K50" i="24"/>
  <c r="D54" i="24"/>
  <c r="D60" i="24" s="1"/>
  <c r="D63" i="24" s="1"/>
  <c r="F54" i="24"/>
  <c r="F60" i="24" s="1"/>
  <c r="F63" i="24" s="1"/>
  <c r="G54" i="24"/>
  <c r="H54" i="24"/>
  <c r="H60" i="24" s="1"/>
  <c r="H63" i="24" s="1"/>
  <c r="I54" i="24"/>
  <c r="I60" i="24" s="1"/>
  <c r="I63" i="24" s="1"/>
  <c r="J54" i="24"/>
  <c r="J60" i="24" s="1"/>
  <c r="J63" i="24" s="1"/>
  <c r="K54" i="24"/>
  <c r="K60" i="24" s="1"/>
  <c r="K63" i="24" s="1"/>
  <c r="K64" i="24" s="1"/>
  <c r="D61" i="24"/>
  <c r="F61" i="24"/>
  <c r="G61" i="24"/>
  <c r="H61" i="24"/>
  <c r="I61" i="24"/>
  <c r="J61" i="24"/>
  <c r="K61" i="24"/>
  <c r="G100" i="24"/>
  <c r="G133" i="24" s="1"/>
  <c r="H100" i="24"/>
  <c r="H133" i="24" s="1"/>
  <c r="I100" i="24"/>
  <c r="I133" i="24" s="1"/>
  <c r="J100" i="24"/>
  <c r="J190" i="24" s="1"/>
  <c r="K100" i="24"/>
  <c r="K133" i="24" s="1"/>
  <c r="D101" i="24"/>
  <c r="F101" i="24"/>
  <c r="G101" i="24"/>
  <c r="H101" i="24"/>
  <c r="I101" i="24"/>
  <c r="J101" i="24"/>
  <c r="K101" i="24"/>
  <c r="D108" i="24"/>
  <c r="F108" i="24"/>
  <c r="G108" i="24"/>
  <c r="H108" i="24"/>
  <c r="I108" i="24"/>
  <c r="J108" i="24"/>
  <c r="K108" i="24"/>
  <c r="D169" i="24"/>
  <c r="F169" i="24"/>
  <c r="G169" i="24"/>
  <c r="H169" i="24"/>
  <c r="I169" i="24"/>
  <c r="J169" i="24"/>
  <c r="K169" i="24"/>
  <c r="D170" i="24"/>
  <c r="F170" i="24"/>
  <c r="G170" i="24"/>
  <c r="H170" i="24"/>
  <c r="I170" i="24"/>
  <c r="J170" i="24"/>
  <c r="K170" i="24"/>
  <c r="D171" i="24"/>
  <c r="F171" i="24"/>
  <c r="G171" i="24"/>
  <c r="H171" i="24"/>
  <c r="I171" i="24"/>
  <c r="J171" i="24"/>
  <c r="K171" i="24"/>
  <c r="D172" i="24"/>
  <c r="F172" i="24"/>
  <c r="G172" i="24"/>
  <c r="H172" i="24"/>
  <c r="I172" i="24"/>
  <c r="J172" i="24"/>
  <c r="K172" i="24"/>
  <c r="D173" i="24"/>
  <c r="F173" i="24"/>
  <c r="G173" i="24"/>
  <c r="H173" i="24"/>
  <c r="I173" i="24"/>
  <c r="J173" i="24"/>
  <c r="K173" i="24"/>
  <c r="B278" i="24"/>
  <c r="D128" i="25" l="1"/>
  <c r="C128" i="25"/>
  <c r="B129" i="25"/>
  <c r="C23" i="24"/>
  <c r="K23" i="24"/>
  <c r="I22" i="24"/>
  <c r="C41" i="24"/>
  <c r="C42" i="24" s="1"/>
  <c r="C22" i="24"/>
  <c r="C51" i="24"/>
  <c r="C52" i="24" s="1"/>
  <c r="C168" i="24"/>
  <c r="C56" i="24"/>
  <c r="C64" i="24"/>
  <c r="C75" i="24"/>
  <c r="C3" i="24"/>
  <c r="C109" i="24" s="1"/>
  <c r="C4" i="24"/>
  <c r="C5" i="24"/>
  <c r="C11" i="24"/>
  <c r="C19" i="24"/>
  <c r="C20" i="24" s="1"/>
  <c r="C24" i="24" s="1"/>
  <c r="C229" i="24"/>
  <c r="J19" i="24"/>
  <c r="J20" i="24" s="1"/>
  <c r="J33" i="24" s="1"/>
  <c r="D40" i="24"/>
  <c r="D192" i="24" s="1"/>
  <c r="J23" i="24"/>
  <c r="I23" i="24"/>
  <c r="J22" i="24"/>
  <c r="G12" i="24"/>
  <c r="G2" i="24" s="1"/>
  <c r="G4" i="24" s="1"/>
  <c r="G22" i="24"/>
  <c r="G19" i="24"/>
  <c r="G20" i="24" s="1"/>
  <c r="G24" i="24" s="1"/>
  <c r="H23" i="24"/>
  <c r="H24" i="24" s="1"/>
  <c r="H22" i="24"/>
  <c r="D23" i="24"/>
  <c r="D12" i="24"/>
  <c r="D2" i="24" s="1"/>
  <c r="D5" i="24" s="1"/>
  <c r="F229" i="24"/>
  <c r="F56" i="24"/>
  <c r="D229" i="24"/>
  <c r="K41" i="24"/>
  <c r="K42" i="24" s="1"/>
  <c r="K55" i="24" s="1"/>
  <c r="K57" i="24" s="1"/>
  <c r="J51" i="24"/>
  <c r="J52" i="24" s="1"/>
  <c r="J41" i="24"/>
  <c r="J42" i="24" s="1"/>
  <c r="J55" i="24" s="1"/>
  <c r="J57" i="24" s="1"/>
  <c r="D51" i="24"/>
  <c r="D52" i="24" s="1"/>
  <c r="D55" i="24" s="1"/>
  <c r="D57" i="24" s="1"/>
  <c r="K40" i="24"/>
  <c r="K192" i="24" s="1"/>
  <c r="H229" i="24"/>
  <c r="G229" i="24"/>
  <c r="H56" i="24"/>
  <c r="I24" i="24"/>
  <c r="J64" i="24"/>
  <c r="J65" i="24" s="1"/>
  <c r="J66" i="24" s="1"/>
  <c r="J75" i="24"/>
  <c r="I64" i="24"/>
  <c r="I65" i="24" s="1"/>
  <c r="I77" i="24" s="1"/>
  <c r="I75" i="24"/>
  <c r="G56" i="24"/>
  <c r="K75" i="24"/>
  <c r="D168" i="24"/>
  <c r="K168" i="24"/>
  <c r="F168" i="24"/>
  <c r="I190" i="24"/>
  <c r="H190" i="24"/>
  <c r="G190" i="24"/>
  <c r="K190" i="24"/>
  <c r="J133" i="24"/>
  <c r="J244" i="24"/>
  <c r="F64" i="24"/>
  <c r="F75" i="24"/>
  <c r="H64" i="24"/>
  <c r="H75" i="24"/>
  <c r="J111" i="24"/>
  <c r="J56" i="24"/>
  <c r="I40" i="24"/>
  <c r="I192" i="24" s="1"/>
  <c r="I41" i="24"/>
  <c r="I42" i="24" s="1"/>
  <c r="I51" i="24"/>
  <c r="I52" i="24" s="1"/>
  <c r="J5" i="24"/>
  <c r="J3" i="24"/>
  <c r="J195" i="24" s="1"/>
  <c r="J205" i="24" s="1"/>
  <c r="H40" i="24"/>
  <c r="H192" i="24" s="1"/>
  <c r="H41" i="24"/>
  <c r="H42" i="24" s="1"/>
  <c r="H51" i="24"/>
  <c r="H52" i="24" s="1"/>
  <c r="K19" i="24"/>
  <c r="K20" i="24" s="1"/>
  <c r="K22" i="24"/>
  <c r="J4" i="24"/>
  <c r="K5" i="24"/>
  <c r="K4" i="24"/>
  <c r="K3" i="24"/>
  <c r="K76" i="24"/>
  <c r="K65" i="24"/>
  <c r="I56" i="24"/>
  <c r="G60" i="24"/>
  <c r="G63" i="24" s="1"/>
  <c r="F22" i="24"/>
  <c r="F23" i="24"/>
  <c r="F24" i="24" s="1"/>
  <c r="F12" i="24"/>
  <c r="F2" i="24" s="1"/>
  <c r="D64" i="24"/>
  <c r="D75" i="24"/>
  <c r="D56" i="24"/>
  <c r="K229" i="24"/>
  <c r="K111" i="24"/>
  <c r="K56" i="24"/>
  <c r="G51" i="24"/>
  <c r="G52" i="24" s="1"/>
  <c r="G40" i="24"/>
  <c r="G192" i="24" s="1"/>
  <c r="K11" i="24"/>
  <c r="J229" i="24"/>
  <c r="I229" i="24"/>
  <c r="F41" i="24"/>
  <c r="F42" i="24" s="1"/>
  <c r="F51" i="24"/>
  <c r="F52" i="24" s="1"/>
  <c r="F40" i="24"/>
  <c r="F192" i="24" s="1"/>
  <c r="J168" i="24"/>
  <c r="I168" i="24"/>
  <c r="H168" i="24"/>
  <c r="G168" i="24"/>
  <c r="D19" i="24"/>
  <c r="D20" i="24" s="1"/>
  <c r="I12" i="24"/>
  <c r="I2" i="24" s="1"/>
  <c r="H12" i="24"/>
  <c r="H2" i="24" s="1"/>
  <c r="H33" i="24" s="1"/>
  <c r="B509" i="24"/>
  <c r="B508" i="24"/>
  <c r="B507" i="24"/>
  <c r="B506" i="24"/>
  <c r="B505" i="24"/>
  <c r="B504" i="24"/>
  <c r="B503" i="24"/>
  <c r="B502" i="24"/>
  <c r="B501" i="24"/>
  <c r="B270" i="24"/>
  <c r="B268" i="24"/>
  <c r="B266" i="24"/>
  <c r="B263" i="24"/>
  <c r="B260" i="24"/>
  <c r="B264" i="24" s="1"/>
  <c r="G2" i="22"/>
  <c r="G3" i="22" s="1"/>
  <c r="F2" i="22"/>
  <c r="F3" i="22" s="1"/>
  <c r="C129" i="25" l="1"/>
  <c r="D129" i="25"/>
  <c r="B130" i="25"/>
  <c r="C29" i="24"/>
  <c r="C31" i="24" s="1"/>
  <c r="C30" i="24"/>
  <c r="C32" i="24" s="1"/>
  <c r="C55" i="24"/>
  <c r="C57" i="24" s="1"/>
  <c r="J24" i="24"/>
  <c r="C103" i="24"/>
  <c r="C102" i="24"/>
  <c r="K244" i="24"/>
  <c r="G5" i="24"/>
  <c r="G33" i="24"/>
  <c r="C99" i="24"/>
  <c r="C133" i="24" s="1"/>
  <c r="C202" i="24"/>
  <c r="C212" i="24" s="1"/>
  <c r="C198" i="24"/>
  <c r="C208" i="24" s="1"/>
  <c r="C199" i="24"/>
  <c r="C209" i="24" s="1"/>
  <c r="C195" i="24"/>
  <c r="C205" i="24" s="1"/>
  <c r="C200" i="24"/>
  <c r="C210" i="24" s="1"/>
  <c r="C194" i="24"/>
  <c r="C204" i="24" s="1"/>
  <c r="C201" i="24"/>
  <c r="C211" i="24" s="1"/>
  <c r="C197" i="24"/>
  <c r="C207" i="24" s="1"/>
  <c r="C112" i="24"/>
  <c r="C115" i="24"/>
  <c r="C113" i="24"/>
  <c r="C116" i="24"/>
  <c r="C33" i="24"/>
  <c r="C114" i="24"/>
  <c r="C105" i="24"/>
  <c r="C106" i="24"/>
  <c r="C196" i="24"/>
  <c r="C206" i="24" s="1"/>
  <c r="C76" i="24"/>
  <c r="C87" i="24" s="1"/>
  <c r="C65" i="24"/>
  <c r="G3" i="24"/>
  <c r="G109" i="24" s="1"/>
  <c r="G11" i="24"/>
  <c r="K202" i="24"/>
  <c r="K212" i="24" s="1"/>
  <c r="D4" i="24"/>
  <c r="D3" i="24"/>
  <c r="D194" i="24" s="1"/>
  <c r="D204" i="24" s="1"/>
  <c r="D11" i="24"/>
  <c r="B304" i="24"/>
  <c r="B314" i="24"/>
  <c r="J76" i="24"/>
  <c r="J87" i="24" s="1"/>
  <c r="J77" i="24"/>
  <c r="K195" i="24"/>
  <c r="K205" i="24" s="1"/>
  <c r="I55" i="24"/>
  <c r="I57" i="24" s="1"/>
  <c r="I66" i="24"/>
  <c r="I78" i="24" s="1"/>
  <c r="I76" i="24"/>
  <c r="I88" i="24" s="1"/>
  <c r="K200" i="24"/>
  <c r="K210" i="24" s="1"/>
  <c r="J109" i="24"/>
  <c r="J194" i="24"/>
  <c r="J204" i="24" s="1"/>
  <c r="J197" i="24"/>
  <c r="J207" i="24" s="1"/>
  <c r="J201" i="24"/>
  <c r="J211" i="24" s="1"/>
  <c r="J30" i="24"/>
  <c r="J32" i="24" s="1"/>
  <c r="J106" i="24"/>
  <c r="J196" i="24"/>
  <c r="J206" i="24" s="1"/>
  <c r="J199" i="24"/>
  <c r="J209" i="24" s="1"/>
  <c r="J198" i="24"/>
  <c r="J208" i="24" s="1"/>
  <c r="J112" i="24"/>
  <c r="K194" i="24"/>
  <c r="K204" i="24" s="1"/>
  <c r="J103" i="24"/>
  <c r="J102" i="24"/>
  <c r="I11" i="24"/>
  <c r="I3" i="24"/>
  <c r="I197" i="24" s="1"/>
  <c r="I207" i="24" s="1"/>
  <c r="I4" i="24"/>
  <c r="I5" i="24"/>
  <c r="F4" i="24"/>
  <c r="F5" i="24"/>
  <c r="F11" i="24"/>
  <c r="F3" i="24"/>
  <c r="F198" i="24" s="1"/>
  <c r="F208" i="24" s="1"/>
  <c r="F33" i="24"/>
  <c r="D33" i="24"/>
  <c r="K102" i="24"/>
  <c r="K103" i="24"/>
  <c r="F55" i="24"/>
  <c r="F57" i="24" s="1"/>
  <c r="J114" i="24"/>
  <c r="K109" i="24"/>
  <c r="K30" i="24"/>
  <c r="K32" i="24" s="1"/>
  <c r="J67" i="24"/>
  <c r="J78" i="24"/>
  <c r="K196" i="24"/>
  <c r="K206" i="24" s="1"/>
  <c r="G75" i="24"/>
  <c r="G64" i="24"/>
  <c r="K199" i="24"/>
  <c r="K209" i="24" s="1"/>
  <c r="I33" i="24"/>
  <c r="H244" i="24"/>
  <c r="J116" i="24"/>
  <c r="J105" i="24"/>
  <c r="J115" i="24"/>
  <c r="J113" i="24"/>
  <c r="K198" i="24"/>
  <c r="K208" i="24" s="1"/>
  <c r="G55" i="24"/>
  <c r="G57" i="24" s="1"/>
  <c r="K87" i="24"/>
  <c r="H11" i="24"/>
  <c r="H3" i="24"/>
  <c r="H202" i="24" s="1"/>
  <c r="H212" i="24" s="1"/>
  <c r="H4" i="24"/>
  <c r="H5" i="24"/>
  <c r="D65" i="24"/>
  <c r="D76" i="24"/>
  <c r="D87" i="24" s="1"/>
  <c r="I244" i="24"/>
  <c r="H65" i="24"/>
  <c r="H76" i="24"/>
  <c r="H87" i="24" s="1"/>
  <c r="D103" i="24"/>
  <c r="D102" i="24"/>
  <c r="K29" i="24"/>
  <c r="K31" i="24" s="1"/>
  <c r="G244" i="24"/>
  <c r="K197" i="24"/>
  <c r="K207" i="24" s="1"/>
  <c r="K116" i="24"/>
  <c r="K33" i="24"/>
  <c r="K114" i="24"/>
  <c r="K106" i="24"/>
  <c r="K112" i="24"/>
  <c r="K115" i="24"/>
  <c r="K105" i="24"/>
  <c r="K113" i="24"/>
  <c r="K24" i="24"/>
  <c r="K232" i="24"/>
  <c r="H55" i="24"/>
  <c r="H57" i="24" s="1"/>
  <c r="K201" i="24"/>
  <c r="K211" i="24" s="1"/>
  <c r="J200" i="24"/>
  <c r="J210" i="24" s="1"/>
  <c r="J202" i="24"/>
  <c r="J212" i="24" s="1"/>
  <c r="K77" i="24"/>
  <c r="K66" i="24"/>
  <c r="J29" i="24"/>
  <c r="J31" i="24" s="1"/>
  <c r="F76" i="24"/>
  <c r="F65" i="24"/>
  <c r="D24" i="24"/>
  <c r="J232" i="24"/>
  <c r="B272" i="24"/>
  <c r="B281" i="24"/>
  <c r="B320" i="24"/>
  <c r="B321" i="24"/>
  <c r="B322" i="24"/>
  <c r="B323" i="24"/>
  <c r="B305" i="24"/>
  <c r="B261" i="24"/>
  <c r="B173" i="24"/>
  <c r="B172" i="24"/>
  <c r="B171" i="24"/>
  <c r="B170" i="24"/>
  <c r="B169" i="24"/>
  <c r="B108" i="24"/>
  <c r="B101" i="24"/>
  <c r="B61" i="24"/>
  <c r="B54" i="24"/>
  <c r="B60" i="24" s="1"/>
  <c r="B50" i="24"/>
  <c r="B48" i="24"/>
  <c r="B46" i="24"/>
  <c r="B44" i="24"/>
  <c r="B111" i="24" s="1"/>
  <c r="B39" i="24"/>
  <c r="B40" i="24" s="1"/>
  <c r="B192" i="24" s="1"/>
  <c r="B21" i="24"/>
  <c r="B19" i="24" s="1"/>
  <c r="B20" i="24" s="1"/>
  <c r="B16" i="24"/>
  <c r="B15" i="24"/>
  <c r="D130" i="25" l="1"/>
  <c r="C130" i="25"/>
  <c r="B131" i="25"/>
  <c r="G29" i="24"/>
  <c r="G31" i="24" s="1"/>
  <c r="G202" i="24"/>
  <c r="G212" i="24" s="1"/>
  <c r="G194" i="24"/>
  <c r="G204" i="24" s="1"/>
  <c r="G200" i="24"/>
  <c r="G210" i="24" s="1"/>
  <c r="G113" i="24"/>
  <c r="G199" i="24"/>
  <c r="G209" i="24" s="1"/>
  <c r="G105" i="24"/>
  <c r="G115" i="24"/>
  <c r="G201" i="24"/>
  <c r="G211" i="24" s="1"/>
  <c r="G198" i="24"/>
  <c r="G208" i="24" s="1"/>
  <c r="G114" i="24"/>
  <c r="G197" i="24"/>
  <c r="G207" i="24" s="1"/>
  <c r="G195" i="24"/>
  <c r="G205" i="24" s="1"/>
  <c r="D201" i="24"/>
  <c r="D211" i="24" s="1"/>
  <c r="G30" i="24"/>
  <c r="G32" i="24" s="1"/>
  <c r="D199" i="24"/>
  <c r="D209" i="24" s="1"/>
  <c r="G112" i="24"/>
  <c r="G196" i="24"/>
  <c r="G206" i="24" s="1"/>
  <c r="G106" i="24"/>
  <c r="D200" i="24"/>
  <c r="D210" i="24" s="1"/>
  <c r="G232" i="24"/>
  <c r="G116" i="24"/>
  <c r="C100" i="24"/>
  <c r="D109" i="24"/>
  <c r="D113" i="24"/>
  <c r="D105" i="24"/>
  <c r="D115" i="24"/>
  <c r="C190" i="24"/>
  <c r="C244" i="24" s="1"/>
  <c r="D112" i="24"/>
  <c r="D99" i="24"/>
  <c r="D100" i="24" s="1"/>
  <c r="C66" i="24"/>
  <c r="C77" i="24"/>
  <c r="C88" i="24" s="1"/>
  <c r="C135" i="24"/>
  <c r="D29" i="24"/>
  <c r="D31" i="24" s="1"/>
  <c r="K99" i="24"/>
  <c r="D116" i="24"/>
  <c r="D196" i="24"/>
  <c r="D206" i="24" s="1"/>
  <c r="D114" i="24"/>
  <c r="J99" i="24"/>
  <c r="D202" i="24"/>
  <c r="D212" i="24" s="1"/>
  <c r="D195" i="24"/>
  <c r="D205" i="24" s="1"/>
  <c r="D106" i="24"/>
  <c r="D30" i="24"/>
  <c r="D32" i="24" s="1"/>
  <c r="D198" i="24"/>
  <c r="D208" i="24" s="1"/>
  <c r="D197" i="24"/>
  <c r="D207" i="24" s="1"/>
  <c r="I29" i="24"/>
  <c r="I31" i="24" s="1"/>
  <c r="I30" i="24"/>
  <c r="I32" i="24" s="1"/>
  <c r="I232" i="24"/>
  <c r="I67" i="24"/>
  <c r="I79" i="24" s="1"/>
  <c r="I90" i="24" s="1"/>
  <c r="I138" i="24" s="1"/>
  <c r="I149" i="24" s="1"/>
  <c r="I200" i="24"/>
  <c r="I210" i="24" s="1"/>
  <c r="F197" i="24"/>
  <c r="F207" i="24" s="1"/>
  <c r="J88" i="24"/>
  <c r="J136" i="24" s="1"/>
  <c r="J147" i="24" s="1"/>
  <c r="I87" i="24"/>
  <c r="I135" i="24" s="1"/>
  <c r="H197" i="24"/>
  <c r="H207" i="24" s="1"/>
  <c r="F199" i="24"/>
  <c r="F209" i="24" s="1"/>
  <c r="F201" i="24"/>
  <c r="F211" i="24" s="1"/>
  <c r="H29" i="24"/>
  <c r="H31" i="24" s="1"/>
  <c r="H30" i="24"/>
  <c r="H32" i="24" s="1"/>
  <c r="F196" i="24"/>
  <c r="F206" i="24" s="1"/>
  <c r="H103" i="24"/>
  <c r="H102" i="24"/>
  <c r="H99" i="24" s="1"/>
  <c r="F102" i="24"/>
  <c r="F103" i="24"/>
  <c r="H115" i="24"/>
  <c r="H113" i="24"/>
  <c r="H109" i="24"/>
  <c r="H105" i="24"/>
  <c r="H116" i="24"/>
  <c r="H106" i="24"/>
  <c r="H232" i="24"/>
  <c r="H114" i="24"/>
  <c r="H112" i="24"/>
  <c r="H199" i="24"/>
  <c r="H209" i="24" s="1"/>
  <c r="J68" i="24"/>
  <c r="J79" i="24"/>
  <c r="J90" i="24" s="1"/>
  <c r="G102" i="24"/>
  <c r="G103" i="24"/>
  <c r="K135" i="24"/>
  <c r="H195" i="24"/>
  <c r="H205" i="24" s="1"/>
  <c r="F109" i="24"/>
  <c r="F115" i="24"/>
  <c r="F116" i="24"/>
  <c r="F113" i="24"/>
  <c r="F114" i="24"/>
  <c r="F106" i="24"/>
  <c r="F105" i="24"/>
  <c r="F112" i="24"/>
  <c r="F29" i="24"/>
  <c r="F31" i="24" s="1"/>
  <c r="F30" i="24"/>
  <c r="F32" i="24" s="1"/>
  <c r="H200" i="24"/>
  <c r="H210" i="24" s="1"/>
  <c r="J135" i="24"/>
  <c r="I114" i="24"/>
  <c r="I115" i="24"/>
  <c r="I105" i="24"/>
  <c r="I116" i="24"/>
  <c r="I113" i="24"/>
  <c r="I106" i="24"/>
  <c r="I112" i="24"/>
  <c r="I109" i="24"/>
  <c r="I195" i="24"/>
  <c r="I205" i="24" s="1"/>
  <c r="F77" i="24"/>
  <c r="F88" i="24" s="1"/>
  <c r="F66" i="24"/>
  <c r="I199" i="24"/>
  <c r="I209" i="24" s="1"/>
  <c r="K88" i="24"/>
  <c r="I89" i="24"/>
  <c r="I137" i="24" s="1"/>
  <c r="I148" i="24" s="1"/>
  <c r="I196" i="24"/>
  <c r="I206" i="24" s="1"/>
  <c r="I201" i="24"/>
  <c r="I211" i="24" s="1"/>
  <c r="F202" i="24"/>
  <c r="F212" i="24" s="1"/>
  <c r="I198" i="24"/>
  <c r="I208" i="24" s="1"/>
  <c r="G65" i="24"/>
  <c r="G76" i="24"/>
  <c r="G87" i="24" s="1"/>
  <c r="H77" i="24"/>
  <c r="H88" i="24" s="1"/>
  <c r="H66" i="24"/>
  <c r="F200" i="24"/>
  <c r="F210" i="24" s="1"/>
  <c r="K78" i="24"/>
  <c r="K89" i="24" s="1"/>
  <c r="K67" i="24"/>
  <c r="B22" i="24"/>
  <c r="B23" i="24"/>
  <c r="B24" i="24" s="1"/>
  <c r="I103" i="24"/>
  <c r="I102" i="24"/>
  <c r="H201" i="24"/>
  <c r="H211" i="24" s="1"/>
  <c r="H198" i="24"/>
  <c r="H208" i="24" s="1"/>
  <c r="H196" i="24"/>
  <c r="H206" i="24" s="1"/>
  <c r="I136" i="24"/>
  <c r="I147" i="24" s="1"/>
  <c r="I202" i="24"/>
  <c r="I212" i="24" s="1"/>
  <c r="I194" i="24"/>
  <c r="I204" i="24" s="1"/>
  <c r="F194" i="24"/>
  <c r="F204" i="24" s="1"/>
  <c r="F87" i="24"/>
  <c r="H135" i="24"/>
  <c r="J89" i="24"/>
  <c r="F195" i="24"/>
  <c r="F205" i="24" s="1"/>
  <c r="D77" i="24"/>
  <c r="D88" i="24" s="1"/>
  <c r="D66" i="24"/>
  <c r="H194" i="24"/>
  <c r="H204" i="24" s="1"/>
  <c r="B41" i="24"/>
  <c r="B42" i="24" s="1"/>
  <c r="B168" i="24"/>
  <c r="B63" i="24"/>
  <c r="B75" i="24" s="1"/>
  <c r="B12" i="24"/>
  <c r="B2" i="24" s="1"/>
  <c r="B317" i="24"/>
  <c r="B309" i="24"/>
  <c r="B310" i="24" s="1"/>
  <c r="B302" i="24" s="1"/>
  <c r="B308" i="24"/>
  <c r="B51" i="24"/>
  <c r="B52" i="24" s="1"/>
  <c r="B56" i="24"/>
  <c r="B229" i="24"/>
  <c r="N72" i="14"/>
  <c r="D58" i="14"/>
  <c r="B43" i="14"/>
  <c r="B44" i="14"/>
  <c r="E44" i="14"/>
  <c r="P36" i="22"/>
  <c r="C131" i="25" l="1"/>
  <c r="D131" i="25"/>
  <c r="B133" i="25"/>
  <c r="C232" i="24"/>
  <c r="B307" i="24"/>
  <c r="D190" i="24"/>
  <c r="D133" i="24"/>
  <c r="D135" i="24" s="1"/>
  <c r="C78" i="24"/>
  <c r="C67" i="24"/>
  <c r="C146" i="24"/>
  <c r="C136" i="24"/>
  <c r="C147" i="24" s="1"/>
  <c r="I68" i="24"/>
  <c r="I69" i="24" s="1"/>
  <c r="F99" i="24"/>
  <c r="F190" i="24" s="1"/>
  <c r="B4" i="24"/>
  <c r="B11" i="24"/>
  <c r="I99" i="24"/>
  <c r="D136" i="24"/>
  <c r="D147" i="24" s="1"/>
  <c r="K137" i="24"/>
  <c r="K148" i="24" s="1"/>
  <c r="J137" i="24"/>
  <c r="J148" i="24" s="1"/>
  <c r="H146" i="24"/>
  <c r="H136" i="24"/>
  <c r="H147" i="24" s="1"/>
  <c r="K68" i="24"/>
  <c r="K79" i="24"/>
  <c r="K146" i="24"/>
  <c r="H67" i="24"/>
  <c r="H78" i="24"/>
  <c r="H89" i="24" s="1"/>
  <c r="K136" i="24"/>
  <c r="K147" i="24" s="1"/>
  <c r="F67" i="24"/>
  <c r="F78" i="24"/>
  <c r="F89" i="24" s="1"/>
  <c r="J138" i="24"/>
  <c r="J149" i="24" s="1"/>
  <c r="I146" i="24"/>
  <c r="D146" i="24"/>
  <c r="G135" i="24"/>
  <c r="G77" i="24"/>
  <c r="G88" i="24" s="1"/>
  <c r="G66" i="24"/>
  <c r="G99" i="24"/>
  <c r="J69" i="24"/>
  <c r="J80" i="24"/>
  <c r="J91" i="24" s="1"/>
  <c r="J146" i="24"/>
  <c r="D232" i="24"/>
  <c r="D244" i="24"/>
  <c r="D67" i="24"/>
  <c r="D78" i="24"/>
  <c r="B316" i="24"/>
  <c r="B319" i="24" s="1"/>
  <c r="B318" i="24" s="1"/>
  <c r="B315" i="24" s="1"/>
  <c r="B64" i="24"/>
  <c r="B65" i="24" s="1"/>
  <c r="B33" i="24"/>
  <c r="B8" i="24" s="1"/>
  <c r="B3" i="24"/>
  <c r="B116" i="24" s="1"/>
  <c r="C122" i="24" s="1"/>
  <c r="B5" i="24"/>
  <c r="B55" i="24"/>
  <c r="B57" i="24" s="1"/>
  <c r="I115" i="22"/>
  <c r="H115" i="22"/>
  <c r="F115" i="22"/>
  <c r="E115" i="22"/>
  <c r="D115" i="22"/>
  <c r="C115" i="22"/>
  <c r="B115" i="22"/>
  <c r="I107" i="22"/>
  <c r="H107" i="22"/>
  <c r="F107" i="22"/>
  <c r="E107" i="22"/>
  <c r="D107" i="22"/>
  <c r="C107" i="22"/>
  <c r="B107" i="22"/>
  <c r="O26" i="22"/>
  <c r="L2" i="22"/>
  <c r="L3" i="22" s="1"/>
  <c r="K2" i="22"/>
  <c r="K3" i="22" s="1"/>
  <c r="J2" i="22"/>
  <c r="J3" i="22" s="1"/>
  <c r="I2" i="22"/>
  <c r="I3" i="22" s="1"/>
  <c r="H2" i="22"/>
  <c r="H3" i="22" s="1"/>
  <c r="E2" i="22"/>
  <c r="E3" i="22" s="1"/>
  <c r="D2" i="22"/>
  <c r="D3" i="22" s="1"/>
  <c r="C2" i="22"/>
  <c r="C3" i="22" s="1"/>
  <c r="B2" i="22"/>
  <c r="B3" i="22" s="1"/>
  <c r="B9" i="21"/>
  <c r="B8" i="21"/>
  <c r="C133" i="25" l="1"/>
  <c r="D133" i="25"/>
  <c r="B134" i="25"/>
  <c r="C9" i="21"/>
  <c r="D9" i="21"/>
  <c r="E9" i="21"/>
  <c r="F9" i="21"/>
  <c r="F8" i="21"/>
  <c r="C8" i="21"/>
  <c r="D8" i="21"/>
  <c r="E8" i="21"/>
  <c r="I80" i="24"/>
  <c r="C129" i="24"/>
  <c r="C123" i="24" s="1"/>
  <c r="C110" i="24"/>
  <c r="C89" i="24"/>
  <c r="C79" i="24"/>
  <c r="C68" i="24"/>
  <c r="F133" i="24"/>
  <c r="F135" i="24" s="1"/>
  <c r="F146" i="24" s="1"/>
  <c r="F100" i="24"/>
  <c r="B29" i="24"/>
  <c r="B31" i="24" s="1"/>
  <c r="G122" i="24"/>
  <c r="D122" i="24"/>
  <c r="J122" i="24"/>
  <c r="K122" i="24"/>
  <c r="F122" i="24"/>
  <c r="H122" i="24"/>
  <c r="I122" i="24"/>
  <c r="F68" i="24"/>
  <c r="F79" i="24"/>
  <c r="B194" i="24"/>
  <c r="B204" i="24" s="1"/>
  <c r="B114" i="24"/>
  <c r="C120" i="24" s="1"/>
  <c r="C127" i="24" s="1"/>
  <c r="I91" i="24"/>
  <c r="B197" i="24"/>
  <c r="B207" i="24" s="1"/>
  <c r="B112" i="24"/>
  <c r="C118" i="24" s="1"/>
  <c r="C125" i="24" s="1"/>
  <c r="D79" i="24"/>
  <c r="D68" i="24"/>
  <c r="B76" i="24"/>
  <c r="B87" i="24" s="1"/>
  <c r="B113" i="24"/>
  <c r="C119" i="24" s="1"/>
  <c r="C126" i="24" s="1"/>
  <c r="G67" i="24"/>
  <c r="G78" i="24"/>
  <c r="G89" i="24" s="1"/>
  <c r="H79" i="24"/>
  <c r="H68" i="24"/>
  <c r="G146" i="24"/>
  <c r="H137" i="24"/>
  <c r="H148" i="24" s="1"/>
  <c r="K69" i="24"/>
  <c r="K80" i="24"/>
  <c r="K91" i="24" s="1"/>
  <c r="K90" i="24"/>
  <c r="I70" i="24"/>
  <c r="I81" i="24"/>
  <c r="F244" i="24"/>
  <c r="F232" i="24"/>
  <c r="G136" i="24"/>
  <c r="G147" i="24" s="1"/>
  <c r="J139" i="24"/>
  <c r="J150" i="24" s="1"/>
  <c r="B115" i="24"/>
  <c r="C121" i="24" s="1"/>
  <c r="C128" i="24" s="1"/>
  <c r="J70" i="24"/>
  <c r="J81" i="24"/>
  <c r="J92" i="24" s="1"/>
  <c r="D89" i="24"/>
  <c r="B30" i="24"/>
  <c r="B32" i="24" s="1"/>
  <c r="B283" i="24"/>
  <c r="B276" i="24"/>
  <c r="B282" i="24"/>
  <c r="B286" i="24"/>
  <c r="B284" i="24"/>
  <c r="B285" i="24"/>
  <c r="B109" i="24"/>
  <c r="B105" i="24"/>
  <c r="B279" i="24"/>
  <c r="B195" i="24"/>
  <c r="B205" i="24" s="1"/>
  <c r="B200" i="24"/>
  <c r="C215" i="24" s="1"/>
  <c r="B198" i="24"/>
  <c r="B208" i="24" s="1"/>
  <c r="B201" i="24"/>
  <c r="B211" i="24" s="1"/>
  <c r="B196" i="24"/>
  <c r="B202" i="24"/>
  <c r="B212" i="24" s="1"/>
  <c r="B199" i="24"/>
  <c r="B209" i="24" s="1"/>
  <c r="B106" i="24"/>
  <c r="B66" i="24"/>
  <c r="B77" i="24"/>
  <c r="B103" i="24"/>
  <c r="B102" i="24"/>
  <c r="B3" i="21"/>
  <c r="C3" i="21" s="1"/>
  <c r="D3" i="21" s="1"/>
  <c r="E3" i="21" s="1"/>
  <c r="F3" i="21" s="1"/>
  <c r="G3" i="21" s="1"/>
  <c r="B4" i="21"/>
  <c r="C4" i="21" s="1"/>
  <c r="D4" i="21" s="1"/>
  <c r="E4" i="21" s="1"/>
  <c r="F4" i="21" s="1"/>
  <c r="G4" i="21" s="1"/>
  <c r="B2" i="21"/>
  <c r="C2" i="21" s="1"/>
  <c r="D2" i="21" s="1"/>
  <c r="E2" i="21" s="1"/>
  <c r="F2" i="21" s="1"/>
  <c r="G2" i="21" s="1"/>
  <c r="C134" i="25" l="1"/>
  <c r="D134" i="25"/>
  <c r="B135" i="25"/>
  <c r="F137" i="24"/>
  <c r="F148" i="24" s="1"/>
  <c r="F136" i="24"/>
  <c r="F147" i="24" s="1"/>
  <c r="I92" i="24"/>
  <c r="C217" i="24"/>
  <c r="C218" i="24"/>
  <c r="C69" i="24"/>
  <c r="C80" i="24"/>
  <c r="C91" i="24" s="1"/>
  <c r="C137" i="24"/>
  <c r="C219" i="24"/>
  <c r="C90" i="24"/>
  <c r="J140" i="24"/>
  <c r="J151" i="24" s="1"/>
  <c r="I140" i="24"/>
  <c r="I151" i="24" s="1"/>
  <c r="D119" i="24"/>
  <c r="D126" i="24" s="1"/>
  <c r="G119" i="24"/>
  <c r="G126" i="24" s="1"/>
  <c r="J119" i="24"/>
  <c r="J126" i="24" s="1"/>
  <c r="K119" i="24"/>
  <c r="K126" i="24" s="1"/>
  <c r="F119" i="24"/>
  <c r="F126" i="24" s="1"/>
  <c r="H119" i="24"/>
  <c r="H126" i="24" s="1"/>
  <c r="I119" i="24"/>
  <c r="I126" i="24" s="1"/>
  <c r="I82" i="24"/>
  <c r="I71" i="24"/>
  <c r="F69" i="24"/>
  <c r="F80" i="24"/>
  <c r="F91" i="24" s="1"/>
  <c r="H215" i="24"/>
  <c r="G215" i="24"/>
  <c r="G219" i="24" s="1"/>
  <c r="J215" i="24"/>
  <c r="I215" i="24"/>
  <c r="I222" i="24" s="1"/>
  <c r="K215" i="24"/>
  <c r="D215" i="24"/>
  <c r="D219" i="24" s="1"/>
  <c r="D69" i="24"/>
  <c r="D80" i="24"/>
  <c r="D91" i="24" s="1"/>
  <c r="I139" i="24"/>
  <c r="F129" i="24"/>
  <c r="F123" i="24" s="1"/>
  <c r="F110" i="24"/>
  <c r="K139" i="24"/>
  <c r="K150" i="24" s="1"/>
  <c r="I110" i="24"/>
  <c r="I129" i="24"/>
  <c r="I123" i="24" s="1"/>
  <c r="K138" i="24"/>
  <c r="J71" i="24"/>
  <c r="J82" i="24"/>
  <c r="J93" i="24" s="1"/>
  <c r="K70" i="24"/>
  <c r="K81" i="24"/>
  <c r="K92" i="24" s="1"/>
  <c r="G118" i="24"/>
  <c r="G125" i="24" s="1"/>
  <c r="D118" i="24"/>
  <c r="D125" i="24" s="1"/>
  <c r="J118" i="24"/>
  <c r="J125" i="24" s="1"/>
  <c r="K118" i="24"/>
  <c r="K125" i="24" s="1"/>
  <c r="I118" i="24"/>
  <c r="I125" i="24" s="1"/>
  <c r="F118" i="24"/>
  <c r="F125" i="24" s="1"/>
  <c r="H118" i="24"/>
  <c r="H125" i="24" s="1"/>
  <c r="J120" i="24"/>
  <c r="J127" i="24" s="1"/>
  <c r="G120" i="24"/>
  <c r="G127" i="24" s="1"/>
  <c r="D120" i="24"/>
  <c r="D127" i="24" s="1"/>
  <c r="K120" i="24"/>
  <c r="K127" i="24" s="1"/>
  <c r="H120" i="24"/>
  <c r="H127" i="24" s="1"/>
  <c r="I120" i="24"/>
  <c r="I127" i="24" s="1"/>
  <c r="F120" i="24"/>
  <c r="F127" i="24" s="1"/>
  <c r="K129" i="24"/>
  <c r="K123" i="24" s="1"/>
  <c r="K110" i="24"/>
  <c r="G137" i="24"/>
  <c r="H69" i="24"/>
  <c r="H80" i="24"/>
  <c r="H91" i="24" s="1"/>
  <c r="B88" i="24"/>
  <c r="F215" i="24"/>
  <c r="G79" i="24"/>
  <c r="G68" i="24"/>
  <c r="G121" i="24"/>
  <c r="G128" i="24" s="1"/>
  <c r="J121" i="24"/>
  <c r="J128" i="24" s="1"/>
  <c r="D121" i="24"/>
  <c r="D128" i="24" s="1"/>
  <c r="K121" i="24"/>
  <c r="K128" i="24" s="1"/>
  <c r="F121" i="24"/>
  <c r="F128" i="24" s="1"/>
  <c r="H121" i="24"/>
  <c r="H128" i="24" s="1"/>
  <c r="I121" i="24"/>
  <c r="I128" i="24" s="1"/>
  <c r="F90" i="24"/>
  <c r="D90" i="24"/>
  <c r="H129" i="24"/>
  <c r="H123" i="24" s="1"/>
  <c r="H110" i="24"/>
  <c r="J110" i="24"/>
  <c r="J129" i="24"/>
  <c r="J123" i="24" s="1"/>
  <c r="D129" i="24"/>
  <c r="D123" i="24" s="1"/>
  <c r="D110" i="24"/>
  <c r="G129" i="24"/>
  <c r="G123" i="24" s="1"/>
  <c r="G110" i="24"/>
  <c r="H90" i="24"/>
  <c r="D137" i="24"/>
  <c r="B291" i="24"/>
  <c r="B298" i="24" s="1"/>
  <c r="B288" i="24"/>
  <c r="B295" i="24" s="1"/>
  <c r="B290" i="24"/>
  <c r="B297" i="24" s="1"/>
  <c r="B292" i="24"/>
  <c r="B299" i="24" s="1"/>
  <c r="B99" i="24"/>
  <c r="B100" i="24" s="1"/>
  <c r="B289" i="24"/>
  <c r="B296" i="24" s="1"/>
  <c r="B120" i="24"/>
  <c r="B127" i="24" s="1"/>
  <c r="B206" i="24"/>
  <c r="B210" i="24"/>
  <c r="B122" i="24"/>
  <c r="B118" i="24"/>
  <c r="B125" i="24" s="1"/>
  <c r="B119" i="24"/>
  <c r="B126" i="24" s="1"/>
  <c r="B121" i="24"/>
  <c r="B128" i="24" s="1"/>
  <c r="B78" i="24"/>
  <c r="B89" i="24" s="1"/>
  <c r="B67" i="24"/>
  <c r="D135" i="25" l="1"/>
  <c r="C135" i="25"/>
  <c r="B136" i="25"/>
  <c r="C138" i="24"/>
  <c r="C149" i="24" s="1"/>
  <c r="C220" i="24"/>
  <c r="C148" i="24"/>
  <c r="C139" i="24"/>
  <c r="C150" i="24" s="1"/>
  <c r="C221" i="24"/>
  <c r="C70" i="24"/>
  <c r="C81" i="24"/>
  <c r="I221" i="24"/>
  <c r="F221" i="24"/>
  <c r="F139" i="24"/>
  <c r="F150" i="24" s="1"/>
  <c r="J83" i="24"/>
  <c r="J94" i="24" s="1"/>
  <c r="J72" i="24"/>
  <c r="D217" i="24"/>
  <c r="D218" i="24"/>
  <c r="G148" i="24"/>
  <c r="I150" i="24"/>
  <c r="D81" i="24"/>
  <c r="D92" i="24" s="1"/>
  <c r="D70" i="24"/>
  <c r="B190" i="24"/>
  <c r="B215" i="24" s="1"/>
  <c r="B219" i="24" s="1"/>
  <c r="K217" i="24"/>
  <c r="K219" i="24"/>
  <c r="K218" i="24"/>
  <c r="H139" i="24"/>
  <c r="H150" i="24" s="1"/>
  <c r="H221" i="24"/>
  <c r="J223" i="24"/>
  <c r="J141" i="24"/>
  <c r="K71" i="24"/>
  <c r="K82" i="24"/>
  <c r="I83" i="24"/>
  <c r="I94" i="24" s="1"/>
  <c r="I72" i="24"/>
  <c r="K140" i="24"/>
  <c r="K151" i="24" s="1"/>
  <c r="K222" i="24"/>
  <c r="F138" i="24"/>
  <c r="F220" i="24"/>
  <c r="J218" i="24"/>
  <c r="J217" i="24"/>
  <c r="J220" i="24"/>
  <c r="J219" i="24"/>
  <c r="J221" i="24"/>
  <c r="G217" i="24"/>
  <c r="G218" i="24"/>
  <c r="H217" i="24"/>
  <c r="H218" i="24"/>
  <c r="H219" i="24"/>
  <c r="F81" i="24"/>
  <c r="F70" i="24"/>
  <c r="D139" i="24"/>
  <c r="D150" i="24" s="1"/>
  <c r="D221" i="24"/>
  <c r="G69" i="24"/>
  <c r="G80" i="24"/>
  <c r="G91" i="24" s="1"/>
  <c r="B133" i="24"/>
  <c r="B135" i="24" s="1"/>
  <c r="B146" i="24" s="1"/>
  <c r="F217" i="24"/>
  <c r="F218" i="24"/>
  <c r="F219" i="24"/>
  <c r="D148" i="24"/>
  <c r="K149" i="24"/>
  <c r="H220" i="24"/>
  <c r="H138" i="24"/>
  <c r="D138" i="24"/>
  <c r="D149" i="24" s="1"/>
  <c r="D220" i="24"/>
  <c r="K220" i="24"/>
  <c r="I217" i="24"/>
  <c r="I218" i="24"/>
  <c r="I220" i="24"/>
  <c r="I219" i="24"/>
  <c r="B520" i="24"/>
  <c r="J222" i="24"/>
  <c r="G90" i="24"/>
  <c r="H70" i="24"/>
  <c r="H81" i="24"/>
  <c r="H92" i="24" s="1"/>
  <c r="K221" i="24"/>
  <c r="I93" i="24"/>
  <c r="B521" i="24"/>
  <c r="B519" i="24"/>
  <c r="B293" i="24"/>
  <c r="B280" i="24"/>
  <c r="B514" i="24"/>
  <c r="B512" i="24"/>
  <c r="B513" i="24"/>
  <c r="B515" i="24"/>
  <c r="B516" i="24"/>
  <c r="B522" i="24"/>
  <c r="B524" i="24"/>
  <c r="B526" i="24"/>
  <c r="B525" i="24"/>
  <c r="B511" i="24"/>
  <c r="B527" i="24"/>
  <c r="B517" i="24"/>
  <c r="B129" i="24"/>
  <c r="B123" i="24" s="1"/>
  <c r="B110" i="24"/>
  <c r="B79" i="24"/>
  <c r="B68" i="24"/>
  <c r="B17" i="17"/>
  <c r="K168" i="17"/>
  <c r="J168" i="17"/>
  <c r="K167" i="17"/>
  <c r="J167" i="17"/>
  <c r="K166" i="17"/>
  <c r="J166" i="17"/>
  <c r="K165" i="17"/>
  <c r="J165" i="17"/>
  <c r="K164" i="17"/>
  <c r="J164" i="17"/>
  <c r="K102" i="17"/>
  <c r="J102" i="17"/>
  <c r="K95" i="17"/>
  <c r="J95" i="17"/>
  <c r="K55" i="17"/>
  <c r="J55" i="17"/>
  <c r="K48" i="17"/>
  <c r="K54" i="17" s="1"/>
  <c r="K57" i="17" s="1"/>
  <c r="J48" i="17"/>
  <c r="J54" i="17" s="1"/>
  <c r="J57" i="17" s="1"/>
  <c r="K44" i="17"/>
  <c r="J44" i="17"/>
  <c r="K42" i="17"/>
  <c r="J42" i="17"/>
  <c r="K40" i="17"/>
  <c r="J40" i="17"/>
  <c r="K38" i="17"/>
  <c r="J38" i="17"/>
  <c r="K17" i="17"/>
  <c r="K19" i="17" s="1"/>
  <c r="J17" i="17"/>
  <c r="J18" i="17" s="1"/>
  <c r="K12" i="17"/>
  <c r="J12" i="17"/>
  <c r="K11" i="17"/>
  <c r="J11" i="17"/>
  <c r="I168" i="17"/>
  <c r="H168" i="17"/>
  <c r="G168" i="17"/>
  <c r="F168" i="17"/>
  <c r="E168" i="17"/>
  <c r="D168" i="17"/>
  <c r="C168" i="17"/>
  <c r="I167" i="17"/>
  <c r="H167" i="17"/>
  <c r="G167" i="17"/>
  <c r="F167" i="17"/>
  <c r="E167" i="17"/>
  <c r="D167" i="17"/>
  <c r="C167" i="17"/>
  <c r="I166" i="17"/>
  <c r="H166" i="17"/>
  <c r="G166" i="17"/>
  <c r="F166" i="17"/>
  <c r="E166" i="17"/>
  <c r="D166" i="17"/>
  <c r="C166" i="17"/>
  <c r="I165" i="17"/>
  <c r="H165" i="17"/>
  <c r="G165" i="17"/>
  <c r="F165" i="17"/>
  <c r="E165" i="17"/>
  <c r="D165" i="17"/>
  <c r="C165" i="17"/>
  <c r="I164" i="17"/>
  <c r="H164" i="17"/>
  <c r="G164" i="17"/>
  <c r="F164" i="17"/>
  <c r="E164" i="17"/>
  <c r="D164" i="17"/>
  <c r="C164" i="17"/>
  <c r="I102" i="17"/>
  <c r="H102" i="17"/>
  <c r="G102" i="17"/>
  <c r="F102" i="17"/>
  <c r="E102" i="17"/>
  <c r="D102" i="17"/>
  <c r="C102" i="17"/>
  <c r="I95" i="17"/>
  <c r="H95" i="17"/>
  <c r="G95" i="17"/>
  <c r="F95" i="17"/>
  <c r="E95" i="17"/>
  <c r="D95" i="17"/>
  <c r="C95" i="17"/>
  <c r="I55" i="17"/>
  <c r="H55" i="17"/>
  <c r="G55" i="17"/>
  <c r="F55" i="17"/>
  <c r="E55" i="17"/>
  <c r="D55" i="17"/>
  <c r="C55" i="17"/>
  <c r="I48" i="17"/>
  <c r="I54" i="17" s="1"/>
  <c r="I57" i="17" s="1"/>
  <c r="H48" i="17"/>
  <c r="H54" i="17" s="1"/>
  <c r="H57" i="17" s="1"/>
  <c r="G48" i="17"/>
  <c r="G54" i="17" s="1"/>
  <c r="G57" i="17" s="1"/>
  <c r="F48" i="17"/>
  <c r="F54" i="17" s="1"/>
  <c r="F57" i="17" s="1"/>
  <c r="E48" i="17"/>
  <c r="E54" i="17" s="1"/>
  <c r="E57" i="17" s="1"/>
  <c r="D48" i="17"/>
  <c r="D54" i="17" s="1"/>
  <c r="D57" i="17" s="1"/>
  <c r="D58" i="17" s="1"/>
  <c r="C48" i="17"/>
  <c r="C54" i="17" s="1"/>
  <c r="C57" i="17" s="1"/>
  <c r="I44" i="17"/>
  <c r="H44" i="17"/>
  <c r="G44" i="17"/>
  <c r="F44" i="17"/>
  <c r="E44" i="17"/>
  <c r="D44" i="17"/>
  <c r="C44" i="17"/>
  <c r="I42" i="17"/>
  <c r="H42" i="17"/>
  <c r="G42" i="17"/>
  <c r="F42" i="17"/>
  <c r="E42" i="17"/>
  <c r="D42" i="17"/>
  <c r="C42" i="17"/>
  <c r="I40" i="17"/>
  <c r="H40" i="17"/>
  <c r="G40" i="17"/>
  <c r="F40" i="17"/>
  <c r="E40" i="17"/>
  <c r="D40" i="17"/>
  <c r="C40" i="17"/>
  <c r="I38" i="17"/>
  <c r="H38" i="17"/>
  <c r="G38" i="17"/>
  <c r="G105" i="17" s="1"/>
  <c r="F38" i="17"/>
  <c r="E38" i="17"/>
  <c r="D38" i="17"/>
  <c r="D105" i="17" s="1"/>
  <c r="C38" i="17"/>
  <c r="I17" i="17"/>
  <c r="I19" i="17" s="1"/>
  <c r="H17" i="17"/>
  <c r="H19" i="17" s="1"/>
  <c r="G17" i="17"/>
  <c r="G19" i="17" s="1"/>
  <c r="F17" i="17"/>
  <c r="E17" i="17"/>
  <c r="E8" i="17" s="1"/>
  <c r="E2" i="17" s="1"/>
  <c r="E4" i="17" s="1"/>
  <c r="D17" i="17"/>
  <c r="D18" i="17" s="1"/>
  <c r="C17" i="17"/>
  <c r="C18" i="17" s="1"/>
  <c r="I12" i="17"/>
  <c r="H12" i="17"/>
  <c r="G12" i="17"/>
  <c r="F12" i="17"/>
  <c r="E12" i="17"/>
  <c r="D12" i="17"/>
  <c r="C12" i="17"/>
  <c r="I11" i="17"/>
  <c r="H11" i="17"/>
  <c r="G11" i="17"/>
  <c r="F11" i="17"/>
  <c r="E11" i="17"/>
  <c r="D11" i="17"/>
  <c r="C11" i="17"/>
  <c r="C136" i="25" l="1"/>
  <c r="D136" i="25"/>
  <c r="B137" i="25"/>
  <c r="E18" i="17"/>
  <c r="C71" i="24"/>
  <c r="C82" i="24"/>
  <c r="C93" i="24" s="1"/>
  <c r="C92" i="24"/>
  <c r="B232" i="24"/>
  <c r="B244" i="24"/>
  <c r="B136" i="24"/>
  <c r="B147" i="24" s="1"/>
  <c r="G139" i="24"/>
  <c r="G150" i="24" s="1"/>
  <c r="G221" i="24"/>
  <c r="I142" i="24"/>
  <c r="I153" i="24" s="1"/>
  <c r="I224" i="24"/>
  <c r="F82" i="24"/>
  <c r="F93" i="24" s="1"/>
  <c r="F71" i="24"/>
  <c r="J224" i="24"/>
  <c r="J142" i="24"/>
  <c r="J153" i="24" s="1"/>
  <c r="G220" i="24"/>
  <c r="G138" i="24"/>
  <c r="K83" i="24"/>
  <c r="K72" i="24"/>
  <c r="H71" i="24"/>
  <c r="H82" i="24"/>
  <c r="I73" i="24"/>
  <c r="I85" i="24" s="1"/>
  <c r="I84" i="24"/>
  <c r="I95" i="24" s="1"/>
  <c r="G81" i="24"/>
  <c r="G92" i="24" s="1"/>
  <c r="G70" i="24"/>
  <c r="J73" i="24"/>
  <c r="J85" i="24" s="1"/>
  <c r="J84" i="24"/>
  <c r="D140" i="24"/>
  <c r="D222" i="24"/>
  <c r="D71" i="24"/>
  <c r="D82" i="24"/>
  <c r="D93" i="24" s="1"/>
  <c r="H222" i="24"/>
  <c r="H140" i="24"/>
  <c r="H151" i="24" s="1"/>
  <c r="F92" i="24"/>
  <c r="K93" i="24"/>
  <c r="J152" i="24"/>
  <c r="H149" i="24"/>
  <c r="B137" i="24"/>
  <c r="B148" i="24" s="1"/>
  <c r="I223" i="24"/>
  <c r="I141" i="24"/>
  <c r="F149" i="24"/>
  <c r="B69" i="24"/>
  <c r="B80" i="24"/>
  <c r="B90" i="24"/>
  <c r="B217" i="24"/>
  <c r="B218" i="24"/>
  <c r="J224" i="17"/>
  <c r="C8" i="17"/>
  <c r="C2" i="17" s="1"/>
  <c r="C3" i="17" s="1"/>
  <c r="K8" i="17"/>
  <c r="K2" i="17" s="1"/>
  <c r="K4" i="17" s="1"/>
  <c r="K224" i="17"/>
  <c r="G8" i="17"/>
  <c r="G2" i="17" s="1"/>
  <c r="G7" i="17" s="1"/>
  <c r="I15" i="17"/>
  <c r="I16" i="17" s="1"/>
  <c r="I20" i="17" s="1"/>
  <c r="H163" i="17"/>
  <c r="I8" i="17"/>
  <c r="I2" i="17" s="1"/>
  <c r="I7" i="17" s="1"/>
  <c r="K18" i="17"/>
  <c r="H15" i="17"/>
  <c r="H16" i="17" s="1"/>
  <c r="H20" i="17" s="1"/>
  <c r="G163" i="17"/>
  <c r="I18" i="17"/>
  <c r="K50" i="17"/>
  <c r="E69" i="17"/>
  <c r="C15" i="17"/>
  <c r="C16" i="17" s="1"/>
  <c r="D70" i="17"/>
  <c r="D8" i="17"/>
  <c r="D2" i="17" s="1"/>
  <c r="D4" i="17" s="1"/>
  <c r="F50" i="17"/>
  <c r="G18" i="17"/>
  <c r="D163" i="17"/>
  <c r="C19" i="17"/>
  <c r="D224" i="17"/>
  <c r="J19" i="17"/>
  <c r="D50" i="17"/>
  <c r="K163" i="17"/>
  <c r="G15" i="17"/>
  <c r="G16" i="17" s="1"/>
  <c r="G20" i="17" s="1"/>
  <c r="J8" i="17"/>
  <c r="J2" i="17" s="1"/>
  <c r="J7" i="17" s="1"/>
  <c r="K15" i="17"/>
  <c r="K16" i="17" s="1"/>
  <c r="K29" i="17" s="1"/>
  <c r="J163" i="17"/>
  <c r="E3" i="17"/>
  <c r="E26" i="17" s="1"/>
  <c r="E28" i="17" s="1"/>
  <c r="E5" i="17"/>
  <c r="E7" i="17"/>
  <c r="J58" i="17"/>
  <c r="J69" i="17"/>
  <c r="K58" i="17"/>
  <c r="K69" i="17"/>
  <c r="J15" i="17"/>
  <c r="J16" i="17" s="1"/>
  <c r="J50" i="17"/>
  <c r="J105" i="17"/>
  <c r="K105" i="17"/>
  <c r="H69" i="17"/>
  <c r="H58" i="17"/>
  <c r="C58" i="17"/>
  <c r="C69" i="17"/>
  <c r="I58" i="17"/>
  <c r="I69" i="17"/>
  <c r="F18" i="17"/>
  <c r="F8" i="17"/>
  <c r="F2" i="17" s="1"/>
  <c r="G50" i="17"/>
  <c r="H18" i="17"/>
  <c r="H8" i="17"/>
  <c r="H2" i="17" s="1"/>
  <c r="C224" i="17"/>
  <c r="C105" i="17"/>
  <c r="C50" i="17"/>
  <c r="I224" i="17"/>
  <c r="I105" i="17"/>
  <c r="I50" i="17"/>
  <c r="G69" i="17"/>
  <c r="G58" i="17"/>
  <c r="E58" i="17"/>
  <c r="D69" i="17"/>
  <c r="G4" i="17"/>
  <c r="D19" i="17"/>
  <c r="D59" i="17"/>
  <c r="D15" i="17"/>
  <c r="D16" i="17" s="1"/>
  <c r="E15" i="17"/>
  <c r="E16" i="17" s="1"/>
  <c r="E19" i="17"/>
  <c r="F19" i="17"/>
  <c r="F224" i="17"/>
  <c r="F105" i="17"/>
  <c r="F69" i="17"/>
  <c r="F58" i="17"/>
  <c r="F15" i="17"/>
  <c r="F16" i="17" s="1"/>
  <c r="H224" i="17"/>
  <c r="H105" i="17"/>
  <c r="H50" i="17"/>
  <c r="E224" i="17"/>
  <c r="E105" i="17"/>
  <c r="G224" i="17"/>
  <c r="E50" i="17"/>
  <c r="C163" i="17"/>
  <c r="I163" i="17"/>
  <c r="F163" i="17"/>
  <c r="E163" i="17"/>
  <c r="B11" i="17"/>
  <c r="B12" i="17"/>
  <c r="B18" i="17"/>
  <c r="C137" i="25" l="1"/>
  <c r="D137" i="25"/>
  <c r="B138" i="25"/>
  <c r="C7" i="17"/>
  <c r="C4" i="17"/>
  <c r="C26" i="17" s="1"/>
  <c r="C28" i="17" s="1"/>
  <c r="J96" i="24"/>
  <c r="K5" i="17"/>
  <c r="K3" i="17"/>
  <c r="K103" i="17" s="1"/>
  <c r="K7" i="17"/>
  <c r="G3" i="17"/>
  <c r="G100" i="17" s="1"/>
  <c r="C222" i="24"/>
  <c r="C140" i="24"/>
  <c r="C141" i="24"/>
  <c r="C152" i="24" s="1"/>
  <c r="C223" i="24"/>
  <c r="C83" i="24"/>
  <c r="C72" i="24"/>
  <c r="J95" i="24"/>
  <c r="J225" i="24" s="1"/>
  <c r="H83" i="24"/>
  <c r="H72" i="24"/>
  <c r="G149" i="24"/>
  <c r="J226" i="24"/>
  <c r="J144" i="24"/>
  <c r="J155" i="24" s="1"/>
  <c r="G222" i="24"/>
  <c r="G140" i="24"/>
  <c r="G151" i="24" s="1"/>
  <c r="K84" i="24"/>
  <c r="K95" i="24" s="1"/>
  <c r="K73" i="24"/>
  <c r="K85" i="24" s="1"/>
  <c r="K223" i="24"/>
  <c r="K141" i="24"/>
  <c r="D151" i="24"/>
  <c r="K94" i="24"/>
  <c r="H93" i="24"/>
  <c r="F222" i="24"/>
  <c r="F140" i="24"/>
  <c r="F223" i="24"/>
  <c r="F141" i="24"/>
  <c r="F152" i="24" s="1"/>
  <c r="F72" i="24"/>
  <c r="F83" i="24"/>
  <c r="I143" i="24"/>
  <c r="I154" i="24" s="1"/>
  <c r="I225" i="24"/>
  <c r="I152" i="24"/>
  <c r="D141" i="24"/>
  <c r="D152" i="24" s="1"/>
  <c r="D223" i="24"/>
  <c r="G71" i="24"/>
  <c r="G82" i="24"/>
  <c r="D83" i="24"/>
  <c r="D94" i="24" s="1"/>
  <c r="D72" i="24"/>
  <c r="I96" i="24"/>
  <c r="B81" i="24"/>
  <c r="B70" i="24"/>
  <c r="B138" i="24"/>
  <c r="B220" i="24"/>
  <c r="B91" i="24"/>
  <c r="G5" i="17"/>
  <c r="H29" i="17"/>
  <c r="C5" i="17"/>
  <c r="C25" i="17" s="1"/>
  <c r="C27" i="17" s="1"/>
  <c r="C29" i="17"/>
  <c r="I3" i="17"/>
  <c r="I110" i="17" s="1"/>
  <c r="I5" i="17"/>
  <c r="I4" i="17"/>
  <c r="I26" i="17" s="1"/>
  <c r="I28" i="17" s="1"/>
  <c r="I29" i="17"/>
  <c r="E20" i="17"/>
  <c r="D3" i="17"/>
  <c r="D106" i="17" s="1"/>
  <c r="D5" i="17"/>
  <c r="D7" i="17"/>
  <c r="D81" i="17"/>
  <c r="C107" i="17"/>
  <c r="K20" i="17"/>
  <c r="G29" i="17"/>
  <c r="C20" i="17"/>
  <c r="C103" i="17"/>
  <c r="C99" i="17"/>
  <c r="C100" i="17"/>
  <c r="C106" i="17"/>
  <c r="F20" i="17"/>
  <c r="J4" i="17"/>
  <c r="G99" i="17"/>
  <c r="D20" i="17"/>
  <c r="J3" i="17"/>
  <c r="J109" i="17" s="1"/>
  <c r="J5" i="17"/>
  <c r="E103" i="17"/>
  <c r="E25" i="17"/>
  <c r="E27" i="17" s="1"/>
  <c r="I109" i="17"/>
  <c r="G108" i="17"/>
  <c r="J29" i="17"/>
  <c r="K59" i="17"/>
  <c r="K70" i="17"/>
  <c r="K81" i="17" s="1"/>
  <c r="J70" i="17"/>
  <c r="J81" i="17" s="1"/>
  <c r="J59" i="17"/>
  <c r="K107" i="17"/>
  <c r="K26" i="17"/>
  <c r="K28" i="17" s="1"/>
  <c r="K110" i="17"/>
  <c r="K99" i="17"/>
  <c r="K109" i="17"/>
  <c r="K106" i="17"/>
  <c r="K108" i="17"/>
  <c r="J20" i="17"/>
  <c r="K100" i="17"/>
  <c r="D60" i="17"/>
  <c r="D71" i="17"/>
  <c r="C70" i="17"/>
  <c r="C81" i="17" s="1"/>
  <c r="C59" i="17"/>
  <c r="F70" i="17"/>
  <c r="F59" i="17"/>
  <c r="C109" i="17"/>
  <c r="F29" i="17"/>
  <c r="E109" i="17"/>
  <c r="E108" i="17"/>
  <c r="E106" i="17"/>
  <c r="E99" i="17"/>
  <c r="E107" i="17"/>
  <c r="E100" i="17"/>
  <c r="E29" i="17"/>
  <c r="E110" i="17"/>
  <c r="C108" i="17"/>
  <c r="D29" i="17"/>
  <c r="C110" i="17"/>
  <c r="E70" i="17"/>
  <c r="E59" i="17"/>
  <c r="H70" i="17"/>
  <c r="H81" i="17" s="1"/>
  <c r="H59" i="17"/>
  <c r="G59" i="17"/>
  <c r="G70" i="17"/>
  <c r="H5" i="17"/>
  <c r="H3" i="17"/>
  <c r="H4" i="17"/>
  <c r="H7" i="17"/>
  <c r="F3" i="17"/>
  <c r="F103" i="17" s="1"/>
  <c r="F4" i="17"/>
  <c r="F5" i="17"/>
  <c r="F7" i="17"/>
  <c r="I70" i="17"/>
  <c r="I81" i="17" s="1"/>
  <c r="I59" i="17"/>
  <c r="B19" i="17"/>
  <c r="B15" i="17"/>
  <c r="B16" i="17" s="1"/>
  <c r="B8" i="17"/>
  <c r="C138" i="25" l="1"/>
  <c r="D138" i="25"/>
  <c r="B139" i="25"/>
  <c r="K25" i="17"/>
  <c r="K27" i="17" s="1"/>
  <c r="G106" i="17"/>
  <c r="I25" i="17"/>
  <c r="I27" i="17" s="1"/>
  <c r="G109" i="17"/>
  <c r="G26" i="17"/>
  <c r="G28" i="17" s="1"/>
  <c r="J97" i="24"/>
  <c r="G110" i="17"/>
  <c r="G25" i="17"/>
  <c r="G27" i="17" s="1"/>
  <c r="I108" i="17"/>
  <c r="I107" i="17"/>
  <c r="J107" i="17"/>
  <c r="I106" i="17"/>
  <c r="I100" i="17"/>
  <c r="J143" i="24"/>
  <c r="J156" i="24" s="1"/>
  <c r="J158" i="24" s="1"/>
  <c r="G107" i="17"/>
  <c r="G103" i="17"/>
  <c r="I99" i="17"/>
  <c r="I103" i="17"/>
  <c r="C84" i="24"/>
  <c r="C95" i="24" s="1"/>
  <c r="C73" i="24"/>
  <c r="C85" i="24" s="1"/>
  <c r="C94" i="24"/>
  <c r="C151" i="24"/>
  <c r="J108" i="17"/>
  <c r="J25" i="17"/>
  <c r="J27" i="17" s="1"/>
  <c r="D25" i="17"/>
  <c r="D27" i="17" s="1"/>
  <c r="J227" i="24"/>
  <c r="J228" i="24" s="1"/>
  <c r="J231" i="24" s="1"/>
  <c r="K96" i="24"/>
  <c r="K225" i="24"/>
  <c r="K143" i="24"/>
  <c r="K154" i="24" s="1"/>
  <c r="G72" i="24"/>
  <c r="G83" i="24"/>
  <c r="G94" i="24" s="1"/>
  <c r="F94" i="24"/>
  <c r="K224" i="24"/>
  <c r="K142" i="24"/>
  <c r="K153" i="24" s="1"/>
  <c r="F73" i="24"/>
  <c r="F85" i="24" s="1"/>
  <c r="F84" i="24"/>
  <c r="F95" i="24" s="1"/>
  <c r="H73" i="24"/>
  <c r="H85" i="24" s="1"/>
  <c r="H84" i="24"/>
  <c r="D224" i="24"/>
  <c r="D142" i="24"/>
  <c r="D153" i="24" s="1"/>
  <c r="K152" i="24"/>
  <c r="I226" i="24"/>
  <c r="I227" i="24" s="1"/>
  <c r="I228" i="24" s="1"/>
  <c r="I144" i="24"/>
  <c r="I97" i="24"/>
  <c r="G93" i="24"/>
  <c r="F151" i="24"/>
  <c r="H141" i="24"/>
  <c r="H152" i="24" s="1"/>
  <c r="H223" i="24"/>
  <c r="H94" i="24"/>
  <c r="D73" i="24"/>
  <c r="D85" i="24" s="1"/>
  <c r="D84" i="24"/>
  <c r="B139" i="24"/>
  <c r="B150" i="24" s="1"/>
  <c r="B221" i="24"/>
  <c r="B149" i="24"/>
  <c r="B92" i="24"/>
  <c r="B82" i="24"/>
  <c r="B71" i="24"/>
  <c r="D108" i="17"/>
  <c r="D100" i="17"/>
  <c r="D107" i="17"/>
  <c r="D109" i="17"/>
  <c r="J103" i="17"/>
  <c r="D103" i="17"/>
  <c r="D26" i="17"/>
  <c r="D28" i="17" s="1"/>
  <c r="D99" i="17"/>
  <c r="D110" i="17"/>
  <c r="J26" i="17"/>
  <c r="J28" i="17" s="1"/>
  <c r="J100" i="17"/>
  <c r="J110" i="17"/>
  <c r="J106" i="17"/>
  <c r="J99" i="17"/>
  <c r="F25" i="17"/>
  <c r="F27" i="17" s="1"/>
  <c r="F109" i="17"/>
  <c r="F26" i="17"/>
  <c r="F28" i="17" s="1"/>
  <c r="H26" i="17"/>
  <c r="H28" i="17" s="1"/>
  <c r="F100" i="17"/>
  <c r="F110" i="17"/>
  <c r="H25" i="17"/>
  <c r="H27" i="17" s="1"/>
  <c r="F108" i="17"/>
  <c r="K94" i="17"/>
  <c r="K185" i="17" s="1"/>
  <c r="J71" i="17"/>
  <c r="J82" i="17" s="1"/>
  <c r="J60" i="17"/>
  <c r="J94" i="17"/>
  <c r="J128" i="17" s="1"/>
  <c r="J130" i="17" s="1"/>
  <c r="K71" i="17"/>
  <c r="K82" i="17" s="1"/>
  <c r="K60" i="17"/>
  <c r="I94" i="17"/>
  <c r="I185" i="17" s="1"/>
  <c r="D72" i="17"/>
  <c r="D61" i="17"/>
  <c r="F71" i="17"/>
  <c r="F82" i="17" s="1"/>
  <c r="F60" i="17"/>
  <c r="G60" i="17"/>
  <c r="G71" i="17"/>
  <c r="E71" i="17"/>
  <c r="E82" i="17" s="1"/>
  <c r="E60" i="17"/>
  <c r="F99" i="17"/>
  <c r="C71" i="17"/>
  <c r="C82" i="17" s="1"/>
  <c r="C60" i="17"/>
  <c r="G81" i="17"/>
  <c r="I60" i="17"/>
  <c r="I71" i="17"/>
  <c r="I82" i="17" s="1"/>
  <c r="E81" i="17"/>
  <c r="F106" i="17"/>
  <c r="H103" i="17"/>
  <c r="H100" i="17"/>
  <c r="H108" i="17"/>
  <c r="H106" i="17"/>
  <c r="H107" i="17"/>
  <c r="H99" i="17"/>
  <c r="H109" i="17"/>
  <c r="H110" i="17"/>
  <c r="H60" i="17"/>
  <c r="H71" i="17"/>
  <c r="F81" i="17"/>
  <c r="F107" i="17"/>
  <c r="D82" i="17"/>
  <c r="B20" i="17"/>
  <c r="D139" i="25" l="1"/>
  <c r="C139" i="25"/>
  <c r="B140" i="25"/>
  <c r="J154" i="24"/>
  <c r="J157" i="24" s="1"/>
  <c r="J159" i="24" s="1"/>
  <c r="H96" i="24"/>
  <c r="C96" i="24"/>
  <c r="C224" i="24"/>
  <c r="C142" i="24"/>
  <c r="C143" i="24"/>
  <c r="C154" i="24" s="1"/>
  <c r="C225" i="24"/>
  <c r="C226" i="24"/>
  <c r="C227" i="24" s="1"/>
  <c r="C228" i="24" s="1"/>
  <c r="C144" i="24"/>
  <c r="C155" i="24" s="1"/>
  <c r="C97" i="24"/>
  <c r="D96" i="24"/>
  <c r="D226" i="24" s="1"/>
  <c r="D95" i="24"/>
  <c r="D97" i="24" s="1"/>
  <c r="I231" i="24"/>
  <c r="H95" i="24"/>
  <c r="H97" i="24" s="1"/>
  <c r="D143" i="24"/>
  <c r="H224" i="24"/>
  <c r="H142" i="24"/>
  <c r="H153" i="24" s="1"/>
  <c r="F142" i="24"/>
  <c r="F224" i="24"/>
  <c r="G142" i="24"/>
  <c r="G153" i="24" s="1"/>
  <c r="G224" i="24"/>
  <c r="I155" i="24"/>
  <c r="I157" i="24" s="1"/>
  <c r="I156" i="24"/>
  <c r="I158" i="24" s="1"/>
  <c r="G73" i="24"/>
  <c r="G85" i="24" s="1"/>
  <c r="G84" i="24"/>
  <c r="H144" i="24"/>
  <c r="H226" i="24"/>
  <c r="G223" i="24"/>
  <c r="G141" i="24"/>
  <c r="F143" i="24"/>
  <c r="F154" i="24" s="1"/>
  <c r="F225" i="24"/>
  <c r="K226" i="24"/>
  <c r="K227" i="24" s="1"/>
  <c r="K228" i="24" s="1"/>
  <c r="K144" i="24"/>
  <c r="K155" i="24" s="1"/>
  <c r="K157" i="24" s="1"/>
  <c r="K97" i="24"/>
  <c r="F96" i="24"/>
  <c r="B83" i="24"/>
  <c r="B94" i="24" s="1"/>
  <c r="B72" i="24"/>
  <c r="B93" i="24"/>
  <c r="B140" i="24"/>
  <c r="B222" i="24"/>
  <c r="K128" i="17"/>
  <c r="K130" i="17" s="1"/>
  <c r="K141" i="17" s="1"/>
  <c r="I128" i="17"/>
  <c r="I130" i="17" s="1"/>
  <c r="I141" i="17" s="1"/>
  <c r="J185" i="17"/>
  <c r="K61" i="17"/>
  <c r="K72" i="17"/>
  <c r="J61" i="17"/>
  <c r="J72" i="17"/>
  <c r="J83" i="17" s="1"/>
  <c r="J141" i="17"/>
  <c r="J131" i="17"/>
  <c r="J142" i="17" s="1"/>
  <c r="H94" i="17"/>
  <c r="H128" i="17" s="1"/>
  <c r="H130" i="17" s="1"/>
  <c r="C72" i="17"/>
  <c r="C83" i="17" s="1"/>
  <c r="C61" i="17"/>
  <c r="G61" i="17"/>
  <c r="G72" i="17"/>
  <c r="F61" i="17"/>
  <c r="F72" i="17"/>
  <c r="D62" i="17"/>
  <c r="D73" i="17"/>
  <c r="D83" i="17"/>
  <c r="H61" i="17"/>
  <c r="H72" i="17"/>
  <c r="H83" i="17" s="1"/>
  <c r="I72" i="17"/>
  <c r="I61" i="17"/>
  <c r="E61" i="17"/>
  <c r="E72" i="17"/>
  <c r="G82" i="17"/>
  <c r="H82" i="17"/>
  <c r="B102" i="17"/>
  <c r="B168" i="17"/>
  <c r="B38" i="17"/>
  <c r="B105" i="17" s="1"/>
  <c r="B40" i="17"/>
  <c r="B42" i="17"/>
  <c r="B44" i="17"/>
  <c r="B48" i="17"/>
  <c r="B54" i="17" s="1"/>
  <c r="B57" i="17" s="1"/>
  <c r="B55" i="17"/>
  <c r="B95" i="17"/>
  <c r="B165" i="17"/>
  <c r="B166" i="17"/>
  <c r="B167" i="17"/>
  <c r="B164" i="17"/>
  <c r="B141" i="25" l="1"/>
  <c r="D141" i="25" s="1"/>
  <c r="C140" i="25"/>
  <c r="D140" i="25"/>
  <c r="H143" i="24"/>
  <c r="H154" i="24" s="1"/>
  <c r="D225" i="24"/>
  <c r="D144" i="24"/>
  <c r="D155" i="24" s="1"/>
  <c r="C231" i="24"/>
  <c r="C153" i="24"/>
  <c r="C157" i="24" s="1"/>
  <c r="C156" i="24"/>
  <c r="C158" i="24" s="1"/>
  <c r="D227" i="24"/>
  <c r="D228" i="24" s="1"/>
  <c r="K156" i="24"/>
  <c r="K158" i="24" s="1"/>
  <c r="H225" i="24"/>
  <c r="G96" i="24"/>
  <c r="G226" i="24" s="1"/>
  <c r="K231" i="24"/>
  <c r="H227" i="24"/>
  <c r="H228" i="24" s="1"/>
  <c r="H231" i="24" s="1"/>
  <c r="G95" i="24"/>
  <c r="D231" i="24"/>
  <c r="G152" i="24"/>
  <c r="G144" i="24"/>
  <c r="G155" i="24" s="1"/>
  <c r="I159" i="24"/>
  <c r="F153" i="24"/>
  <c r="D154" i="24"/>
  <c r="D157" i="24" s="1"/>
  <c r="D156" i="24"/>
  <c r="D158" i="24" s="1"/>
  <c r="F226" i="24"/>
  <c r="F227" i="24" s="1"/>
  <c r="F228" i="24" s="1"/>
  <c r="F144" i="24"/>
  <c r="F155" i="24" s="1"/>
  <c r="F97" i="24"/>
  <c r="H155" i="24"/>
  <c r="H157" i="24" s="1"/>
  <c r="H156" i="24"/>
  <c r="H158" i="24" s="1"/>
  <c r="B141" i="24"/>
  <c r="B152" i="24" s="1"/>
  <c r="B223" i="24"/>
  <c r="B142" i="24"/>
  <c r="B153" i="24" s="1"/>
  <c r="B224" i="24"/>
  <c r="B84" i="24"/>
  <c r="B73" i="24"/>
  <c r="B85" i="24" s="1"/>
  <c r="B151" i="24"/>
  <c r="K131" i="17"/>
  <c r="K142" i="17" s="1"/>
  <c r="H185" i="17"/>
  <c r="I131" i="17"/>
  <c r="I142" i="17" s="1"/>
  <c r="K73" i="17"/>
  <c r="K62" i="17"/>
  <c r="K83" i="17"/>
  <c r="J132" i="17"/>
  <c r="J62" i="17"/>
  <c r="J73" i="17"/>
  <c r="H132" i="17"/>
  <c r="H143" i="17" s="1"/>
  <c r="I83" i="17"/>
  <c r="D63" i="17"/>
  <c r="D74" i="17"/>
  <c r="D85" i="17" s="1"/>
  <c r="F73" i="17"/>
  <c r="F84" i="17" s="1"/>
  <c r="F62" i="17"/>
  <c r="H141" i="17"/>
  <c r="E62" i="17"/>
  <c r="E73" i="17"/>
  <c r="E84" i="17" s="1"/>
  <c r="F83" i="17"/>
  <c r="H131" i="17"/>
  <c r="H142" i="17" s="1"/>
  <c r="H62" i="17"/>
  <c r="H73" i="17"/>
  <c r="G62" i="17"/>
  <c r="G73" i="17"/>
  <c r="G83" i="17"/>
  <c r="C73" i="17"/>
  <c r="C84" i="17" s="1"/>
  <c r="C62" i="17"/>
  <c r="E83" i="17"/>
  <c r="I73" i="17"/>
  <c r="I84" i="17" s="1"/>
  <c r="I62" i="17"/>
  <c r="D84" i="17"/>
  <c r="G94" i="17"/>
  <c r="G128" i="17" s="1"/>
  <c r="G130" i="17" s="1"/>
  <c r="B224" i="17"/>
  <c r="B2" i="17"/>
  <c r="B50" i="17"/>
  <c r="B58" i="17"/>
  <c r="B69" i="17"/>
  <c r="B163" i="17"/>
  <c r="F156" i="24" l="1"/>
  <c r="F158" i="24" s="1"/>
  <c r="C159" i="24"/>
  <c r="K159" i="24"/>
  <c r="F231" i="24"/>
  <c r="D159" i="24"/>
  <c r="F157" i="24"/>
  <c r="F159" i="24" s="1"/>
  <c r="G143" i="24"/>
  <c r="G154" i="24" s="1"/>
  <c r="G157" i="24" s="1"/>
  <c r="G225" i="24"/>
  <c r="G227" i="24" s="1"/>
  <c r="G228" i="24" s="1"/>
  <c r="H159" i="24"/>
  <c r="G156" i="24"/>
  <c r="G97" i="24"/>
  <c r="B96" i="24"/>
  <c r="B95" i="24"/>
  <c r="G185" i="17"/>
  <c r="J143" i="17"/>
  <c r="K132" i="17"/>
  <c r="K74" i="17"/>
  <c r="K85" i="17" s="1"/>
  <c r="K63" i="17"/>
  <c r="J74" i="17"/>
  <c r="J63" i="17"/>
  <c r="K84" i="17"/>
  <c r="J84" i="17"/>
  <c r="E63" i="17"/>
  <c r="E74" i="17"/>
  <c r="E85" i="17" s="1"/>
  <c r="D64" i="17"/>
  <c r="D75" i="17"/>
  <c r="G132" i="17"/>
  <c r="G143" i="17" s="1"/>
  <c r="I63" i="17"/>
  <c r="I74" i="17"/>
  <c r="I85" i="17" s="1"/>
  <c r="C74" i="17"/>
  <c r="C63" i="17"/>
  <c r="G84" i="17"/>
  <c r="I132" i="17"/>
  <c r="G74" i="17"/>
  <c r="G63" i="17"/>
  <c r="F63" i="17"/>
  <c r="F74" i="17"/>
  <c r="I133" i="17"/>
  <c r="I144" i="17" s="1"/>
  <c r="H84" i="17"/>
  <c r="G141" i="17"/>
  <c r="G131" i="17"/>
  <c r="G142" i="17" s="1"/>
  <c r="H74" i="17"/>
  <c r="H63" i="17"/>
  <c r="B29" i="17"/>
  <c r="B7" i="17"/>
  <c r="B4" i="17"/>
  <c r="B3" i="17"/>
  <c r="B70" i="17"/>
  <c r="B59" i="17"/>
  <c r="G231" i="24" l="1"/>
  <c r="G159" i="24"/>
  <c r="G158" i="24"/>
  <c r="B143" i="24"/>
  <c r="B225" i="24"/>
  <c r="B144" i="24"/>
  <c r="B155" i="24" s="1"/>
  <c r="B226" i="24"/>
  <c r="B97" i="24"/>
  <c r="B103" i="17"/>
  <c r="B106" i="17"/>
  <c r="J133" i="17"/>
  <c r="K64" i="17"/>
  <c r="K75" i="17"/>
  <c r="K133" i="17"/>
  <c r="K144" i="17" s="1"/>
  <c r="J64" i="17"/>
  <c r="J75" i="17"/>
  <c r="K134" i="17"/>
  <c r="K145" i="17" s="1"/>
  <c r="K143" i="17"/>
  <c r="J85" i="17"/>
  <c r="I143" i="17"/>
  <c r="F85" i="17"/>
  <c r="F75" i="17"/>
  <c r="F86" i="17" s="1"/>
  <c r="F64" i="17"/>
  <c r="G133" i="17"/>
  <c r="G144" i="17" s="1"/>
  <c r="I64" i="17"/>
  <c r="I75" i="17"/>
  <c r="I86" i="17" s="1"/>
  <c r="E64" i="17"/>
  <c r="E75" i="17"/>
  <c r="E86" i="17" s="1"/>
  <c r="H64" i="17"/>
  <c r="H75" i="17"/>
  <c r="H86" i="17" s="1"/>
  <c r="D65" i="17"/>
  <c r="D76" i="17"/>
  <c r="D87" i="17" s="1"/>
  <c r="I134" i="17"/>
  <c r="I145" i="17" s="1"/>
  <c r="G75" i="17"/>
  <c r="G64" i="17"/>
  <c r="H133" i="17"/>
  <c r="G85" i="17"/>
  <c r="D86" i="17"/>
  <c r="H85" i="17"/>
  <c r="C85" i="17"/>
  <c r="C64" i="17"/>
  <c r="C75" i="17"/>
  <c r="B26" i="17"/>
  <c r="B28" i="17" s="1"/>
  <c r="B108" i="17"/>
  <c r="B109" i="17"/>
  <c r="B107" i="17"/>
  <c r="B100" i="17"/>
  <c r="B110" i="17"/>
  <c r="B99" i="17"/>
  <c r="B81" i="17"/>
  <c r="B71" i="17"/>
  <c r="B60" i="17"/>
  <c r="L23" i="16"/>
  <c r="M23" i="16"/>
  <c r="N49" i="16"/>
  <c r="N46" i="16"/>
  <c r="C12" i="8"/>
  <c r="D12" i="8"/>
  <c r="E12" i="8"/>
  <c r="F12" i="8"/>
  <c r="G12" i="8"/>
  <c r="H12" i="8"/>
  <c r="I12" i="8"/>
  <c r="J12" i="8"/>
  <c r="K12" i="8"/>
  <c r="B12" i="8"/>
  <c r="C13" i="8"/>
  <c r="D13" i="8"/>
  <c r="E13" i="8"/>
  <c r="F13" i="8"/>
  <c r="G13" i="8"/>
  <c r="H13" i="8"/>
  <c r="I13" i="8"/>
  <c r="J13" i="8"/>
  <c r="K13" i="8"/>
  <c r="B13" i="8"/>
  <c r="C14" i="8"/>
  <c r="D14" i="8"/>
  <c r="E14" i="8"/>
  <c r="F14" i="8"/>
  <c r="G14" i="8"/>
  <c r="G15" i="8" s="1"/>
  <c r="H14" i="8"/>
  <c r="H15" i="8" s="1"/>
  <c r="I14" i="8"/>
  <c r="I15" i="8" s="1"/>
  <c r="J14" i="8"/>
  <c r="J15" i="8" s="1"/>
  <c r="K14" i="8"/>
  <c r="K15" i="8" s="1"/>
  <c r="B14" i="8"/>
  <c r="B15" i="8" s="1"/>
  <c r="D16" i="8"/>
  <c r="E16" i="8"/>
  <c r="F16" i="8"/>
  <c r="G16" i="8"/>
  <c r="H16" i="8"/>
  <c r="I16" i="8"/>
  <c r="J16" i="8"/>
  <c r="K16" i="8"/>
  <c r="C16" i="8"/>
  <c r="B16" i="8"/>
  <c r="J17" i="8"/>
  <c r="K17" i="8"/>
  <c r="D17" i="8"/>
  <c r="E17" i="8"/>
  <c r="F17" i="8"/>
  <c r="G17" i="8"/>
  <c r="H17" i="8"/>
  <c r="I17" i="8"/>
  <c r="C17" i="8"/>
  <c r="B17" i="8"/>
  <c r="N10" i="8"/>
  <c r="M10" i="8"/>
  <c r="N9" i="8"/>
  <c r="M9" i="8"/>
  <c r="N7" i="8"/>
  <c r="M7" i="8"/>
  <c r="N6" i="8"/>
  <c r="M6" i="8"/>
  <c r="N5" i="8"/>
  <c r="M5" i="8"/>
  <c r="N4" i="8"/>
  <c r="M4" i="8"/>
  <c r="N3" i="8"/>
  <c r="M3" i="8"/>
  <c r="N2" i="8"/>
  <c r="M2" i="8"/>
  <c r="L2" i="8"/>
  <c r="X2" i="8" s="1"/>
  <c r="L3" i="8"/>
  <c r="P3" i="8" s="1"/>
  <c r="L4" i="8"/>
  <c r="U4" i="8" s="1"/>
  <c r="L5" i="8"/>
  <c r="U5" i="8" s="1"/>
  <c r="L6" i="8"/>
  <c r="X6" i="8" s="1"/>
  <c r="L7" i="8"/>
  <c r="V7" i="8" s="1"/>
  <c r="L9" i="8"/>
  <c r="V9" i="8" s="1"/>
  <c r="L10" i="8"/>
  <c r="R10" i="8" s="1"/>
  <c r="L8" i="8"/>
  <c r="X8" i="8" s="1"/>
  <c r="K17" i="19"/>
  <c r="C60" i="14"/>
  <c r="C61" i="14"/>
  <c r="C62" i="14"/>
  <c r="C63" i="14"/>
  <c r="C64" i="14"/>
  <c r="C59" i="14"/>
  <c r="D59" i="14" s="1"/>
  <c r="D62" i="1"/>
  <c r="C34" i="24" s="1"/>
  <c r="B5" i="17"/>
  <c r="D67" i="1"/>
  <c r="D65" i="1"/>
  <c r="D64" i="1"/>
  <c r="I64" i="1" s="1"/>
  <c r="P67" i="1"/>
  <c r="P65" i="1"/>
  <c r="P64" i="1"/>
  <c r="C3" i="1"/>
  <c r="T22" i="1"/>
  <c r="F15" i="8"/>
  <c r="E15" i="8"/>
  <c r="D15" i="8"/>
  <c r="C15" i="8"/>
  <c r="D60" i="14" l="1"/>
  <c r="D64" i="14"/>
  <c r="L42" i="16"/>
  <c r="D63" i="14"/>
  <c r="D34" i="24"/>
  <c r="F34" i="24"/>
  <c r="G34" i="24"/>
  <c r="H34" i="24"/>
  <c r="I34" i="24"/>
  <c r="J34" i="24"/>
  <c r="K34" i="24"/>
  <c r="B273" i="24"/>
  <c r="B227" i="24"/>
  <c r="B228" i="24" s="1"/>
  <c r="B231" i="24" s="1"/>
  <c r="B313" i="24" s="1"/>
  <c r="B312" i="24" s="1"/>
  <c r="B34" i="24"/>
  <c r="B7" i="24" s="1"/>
  <c r="B301" i="24" s="1"/>
  <c r="B154" i="24"/>
  <c r="B157" i="24" s="1"/>
  <c r="B156" i="24"/>
  <c r="B158" i="24" s="1"/>
  <c r="D62" i="14"/>
  <c r="D61" i="14"/>
  <c r="C65" i="14"/>
  <c r="O24" i="22"/>
  <c r="E30" i="17"/>
  <c r="C30" i="17"/>
  <c r="G30" i="17"/>
  <c r="K30" i="17"/>
  <c r="I30" i="17"/>
  <c r="J30" i="17"/>
  <c r="H30" i="17"/>
  <c r="F30" i="17"/>
  <c r="D30" i="17"/>
  <c r="B30" i="17"/>
  <c r="P6" i="8"/>
  <c r="Q6" i="8"/>
  <c r="R2" i="8"/>
  <c r="S6" i="8"/>
  <c r="T3" i="8"/>
  <c r="U2" i="8"/>
  <c r="U6" i="8"/>
  <c r="D99" i="1"/>
  <c r="I33" i="17"/>
  <c r="H33" i="17"/>
  <c r="C33" i="17"/>
  <c r="G33" i="17"/>
  <c r="F33" i="17"/>
  <c r="E33" i="17"/>
  <c r="K33" i="17"/>
  <c r="D33" i="17"/>
  <c r="J33" i="17"/>
  <c r="B33" i="17"/>
  <c r="W2" i="8"/>
  <c r="W6" i="8"/>
  <c r="V6" i="8"/>
  <c r="O6" i="8"/>
  <c r="P2" i="8"/>
  <c r="C114" i="17"/>
  <c r="C121" i="17" s="1"/>
  <c r="K114" i="17"/>
  <c r="K121" i="17" s="1"/>
  <c r="E114" i="17"/>
  <c r="E121" i="17" s="1"/>
  <c r="G114" i="17"/>
  <c r="G121" i="17" s="1"/>
  <c r="J114" i="17"/>
  <c r="J121" i="17" s="1"/>
  <c r="D114" i="17"/>
  <c r="D121" i="17" s="1"/>
  <c r="I114" i="17"/>
  <c r="I121" i="17" s="1"/>
  <c r="F114" i="17"/>
  <c r="F121" i="17" s="1"/>
  <c r="H114" i="17"/>
  <c r="H121" i="17" s="1"/>
  <c r="G113" i="17"/>
  <c r="G120" i="17" s="1"/>
  <c r="C113" i="17"/>
  <c r="C120" i="17" s="1"/>
  <c r="E113" i="17"/>
  <c r="E120" i="17" s="1"/>
  <c r="K113" i="17"/>
  <c r="K120" i="17" s="1"/>
  <c r="J113" i="17"/>
  <c r="J120" i="17" s="1"/>
  <c r="D113" i="17"/>
  <c r="D120" i="17" s="1"/>
  <c r="F113" i="17"/>
  <c r="F120" i="17" s="1"/>
  <c r="I113" i="17"/>
  <c r="I120" i="17" s="1"/>
  <c r="H113" i="17"/>
  <c r="H120" i="17" s="1"/>
  <c r="K115" i="17"/>
  <c r="K122" i="17" s="1"/>
  <c r="C115" i="17"/>
  <c r="C122" i="17" s="1"/>
  <c r="G115" i="17"/>
  <c r="G122" i="17" s="1"/>
  <c r="E115" i="17"/>
  <c r="E122" i="17" s="1"/>
  <c r="F115" i="17"/>
  <c r="F122" i="17" s="1"/>
  <c r="D115" i="17"/>
  <c r="D122" i="17" s="1"/>
  <c r="J115" i="17"/>
  <c r="J122" i="17" s="1"/>
  <c r="I115" i="17"/>
  <c r="I122" i="17" s="1"/>
  <c r="H115" i="17"/>
  <c r="H122" i="17" s="1"/>
  <c r="K112" i="17"/>
  <c r="K119" i="17" s="1"/>
  <c r="G112" i="17"/>
  <c r="G119" i="17" s="1"/>
  <c r="E112" i="17"/>
  <c r="E119" i="17" s="1"/>
  <c r="C112" i="17"/>
  <c r="C119" i="17" s="1"/>
  <c r="I112" i="17"/>
  <c r="I119" i="17" s="1"/>
  <c r="J112" i="17"/>
  <c r="J119" i="17" s="1"/>
  <c r="F112" i="17"/>
  <c r="F119" i="17" s="1"/>
  <c r="D112" i="17"/>
  <c r="D119" i="17" s="1"/>
  <c r="H112" i="17"/>
  <c r="H119" i="17" s="1"/>
  <c r="K116" i="17"/>
  <c r="C116" i="17"/>
  <c r="G116" i="17"/>
  <c r="E116" i="17"/>
  <c r="F116" i="17"/>
  <c r="I116" i="17"/>
  <c r="J116" i="17"/>
  <c r="D116" i="17"/>
  <c r="H116" i="17"/>
  <c r="J134" i="17"/>
  <c r="J145" i="17" s="1"/>
  <c r="K76" i="17"/>
  <c r="K87" i="17" s="1"/>
  <c r="K65" i="17"/>
  <c r="J86" i="17"/>
  <c r="J76" i="17"/>
  <c r="J65" i="17"/>
  <c r="K86" i="17"/>
  <c r="J144" i="17"/>
  <c r="H144" i="17"/>
  <c r="C86" i="17"/>
  <c r="D77" i="17"/>
  <c r="D66" i="17"/>
  <c r="G134" i="17"/>
  <c r="I65" i="17"/>
  <c r="I76" i="17"/>
  <c r="I87" i="17" s="1"/>
  <c r="I135" i="17"/>
  <c r="I146" i="17" s="1"/>
  <c r="E65" i="17"/>
  <c r="E76" i="17"/>
  <c r="E87" i="17" s="1"/>
  <c r="F76" i="17"/>
  <c r="F87" i="17" s="1"/>
  <c r="F65" i="17"/>
  <c r="C76" i="17"/>
  <c r="C65" i="17"/>
  <c r="H134" i="17"/>
  <c r="H145" i="17" s="1"/>
  <c r="G86" i="17"/>
  <c r="G76" i="17"/>
  <c r="G87" i="17" s="1"/>
  <c r="G65" i="17"/>
  <c r="H65" i="17"/>
  <c r="H76" i="17"/>
  <c r="H87" i="17" s="1"/>
  <c r="H135" i="17"/>
  <c r="H146" i="17" s="1"/>
  <c r="B25" i="17"/>
  <c r="B27" i="17" s="1"/>
  <c r="B112" i="17"/>
  <c r="B119" i="17" s="1"/>
  <c r="B114" i="17"/>
  <c r="B121" i="17" s="1"/>
  <c r="B116" i="17"/>
  <c r="B113" i="17"/>
  <c r="B120" i="17" s="1"/>
  <c r="B115" i="17"/>
  <c r="B122" i="17" s="1"/>
  <c r="B82" i="17"/>
  <c r="B72" i="17"/>
  <c r="B61" i="17"/>
  <c r="Q2" i="8"/>
  <c r="O10" i="8"/>
  <c r="Q10" i="8"/>
  <c r="V2" i="8"/>
  <c r="R5" i="8"/>
  <c r="R4" i="8"/>
  <c r="O5" i="8"/>
  <c r="Q5" i="8"/>
  <c r="T6" i="8"/>
  <c r="V5" i="8"/>
  <c r="X5" i="8"/>
  <c r="W8" i="8"/>
  <c r="V8" i="8"/>
  <c r="U7" i="8"/>
  <c r="P5" i="8"/>
  <c r="S4" i="8"/>
  <c r="R3" i="8"/>
  <c r="O4" i="8"/>
  <c r="Q4" i="8"/>
  <c r="T5" i="8"/>
  <c r="V4" i="8"/>
  <c r="X4" i="8"/>
  <c r="O3" i="8"/>
  <c r="Q3" i="8"/>
  <c r="T4" i="8"/>
  <c r="V3" i="8"/>
  <c r="X3" i="8"/>
  <c r="U8" i="8"/>
  <c r="T8" i="8"/>
  <c r="S8" i="8"/>
  <c r="Q8" i="8"/>
  <c r="P9" i="8"/>
  <c r="S9" i="8"/>
  <c r="U10" i="8"/>
  <c r="W9" i="8"/>
  <c r="P7" i="8"/>
  <c r="S7" i="8"/>
  <c r="U9" i="8"/>
  <c r="W7" i="8"/>
  <c r="P8" i="8"/>
  <c r="O8" i="8"/>
  <c r="S10" i="8"/>
  <c r="S5" i="8"/>
  <c r="W5" i="8"/>
  <c r="S3" i="8"/>
  <c r="W3" i="8"/>
  <c r="O2" i="8"/>
  <c r="S2" i="8"/>
  <c r="U3" i="8"/>
  <c r="R9" i="8"/>
  <c r="R7" i="8"/>
  <c r="O9" i="8"/>
  <c r="Q9" i="8"/>
  <c r="T10" i="8"/>
  <c r="V10" i="8"/>
  <c r="X9" i="8"/>
  <c r="P10" i="8"/>
  <c r="P4" i="8"/>
  <c r="W4" i="8"/>
  <c r="T2" i="8"/>
  <c r="X10" i="8"/>
  <c r="R6" i="8"/>
  <c r="O7" i="8"/>
  <c r="Q7" i="8"/>
  <c r="T9" i="8"/>
  <c r="X7" i="8"/>
  <c r="W10" i="8"/>
  <c r="T7" i="8"/>
  <c r="F60" i="1"/>
  <c r="D25" i="1"/>
  <c r="P25" i="1"/>
  <c r="P23" i="1" s="1"/>
  <c r="U22" i="1" s="1"/>
  <c r="V22" i="1" s="1"/>
  <c r="D42" i="1"/>
  <c r="I67" i="1" s="1"/>
  <c r="G89" i="22" l="1"/>
  <c r="G98" i="22" s="1"/>
  <c r="C58" i="22"/>
  <c r="G60" i="22"/>
  <c r="G72" i="22"/>
  <c r="G81" i="22" s="1"/>
  <c r="D58" i="22"/>
  <c r="H60" i="22"/>
  <c r="B72" i="22"/>
  <c r="B81" i="22" s="1"/>
  <c r="B79" i="22" s="1"/>
  <c r="E58" i="22"/>
  <c r="I60" i="22"/>
  <c r="B56" i="22"/>
  <c r="F58" i="22"/>
  <c r="B61" i="22"/>
  <c r="B69" i="22" s="1"/>
  <c r="C56" i="22"/>
  <c r="G58" i="22"/>
  <c r="C61" i="22"/>
  <c r="C69" i="22" s="1"/>
  <c r="C70" i="22" s="1"/>
  <c r="D56" i="22"/>
  <c r="D61" i="22"/>
  <c r="E56" i="22"/>
  <c r="I58" i="22"/>
  <c r="E61" i="22"/>
  <c r="F56" i="22"/>
  <c r="B59" i="22"/>
  <c r="F61" i="22"/>
  <c r="G56" i="22"/>
  <c r="C59" i="22"/>
  <c r="C67" i="22" s="1"/>
  <c r="G61" i="22"/>
  <c r="G69" i="22" s="1"/>
  <c r="G70" i="22" s="1"/>
  <c r="H56" i="22"/>
  <c r="D59" i="22"/>
  <c r="D67" i="22" s="1"/>
  <c r="H61" i="22"/>
  <c r="H69" i="22" s="1"/>
  <c r="H70" i="22" s="1"/>
  <c r="I56" i="22"/>
  <c r="E59" i="22"/>
  <c r="E67" i="22" s="1"/>
  <c r="I61" i="22"/>
  <c r="I69" i="22" s="1"/>
  <c r="I70" i="22" s="1"/>
  <c r="B57" i="22"/>
  <c r="I55" i="22"/>
  <c r="C57" i="22"/>
  <c r="H55" i="22"/>
  <c r="D57" i="22"/>
  <c r="G55" i="22"/>
  <c r="I59" i="22"/>
  <c r="F57" i="22"/>
  <c r="B60" i="22"/>
  <c r="E55" i="22"/>
  <c r="C60" i="22"/>
  <c r="H57" i="22"/>
  <c r="B55" i="22"/>
  <c r="B58" i="22"/>
  <c r="H58" i="22"/>
  <c r="H66" i="22" s="1"/>
  <c r="F59" i="22"/>
  <c r="G59" i="22"/>
  <c r="H59" i="22"/>
  <c r="E57" i="22"/>
  <c r="F55" i="22"/>
  <c r="G57" i="22"/>
  <c r="D55" i="22"/>
  <c r="I57" i="22"/>
  <c r="E60" i="22"/>
  <c r="F60" i="22"/>
  <c r="D60" i="22"/>
  <c r="C55" i="22"/>
  <c r="Y6" i="8"/>
  <c r="B159" i="24"/>
  <c r="B89" i="22"/>
  <c r="B98" i="22" s="1"/>
  <c r="B96" i="22" s="1"/>
  <c r="F72" i="22"/>
  <c r="F81" i="22" s="1"/>
  <c r="F89" i="22"/>
  <c r="F98" i="22" s="1"/>
  <c r="C89" i="22"/>
  <c r="C98" i="22" s="1"/>
  <c r="E89" i="22"/>
  <c r="E98" i="22" s="1"/>
  <c r="C72" i="22"/>
  <c r="C81" i="22" s="1"/>
  <c r="D89" i="22"/>
  <c r="D98" i="22" s="1"/>
  <c r="I72" i="22"/>
  <c r="I81" i="22" s="1"/>
  <c r="H89" i="22"/>
  <c r="H98" i="22" s="1"/>
  <c r="D72" i="22"/>
  <c r="D81" i="22" s="1"/>
  <c r="I89" i="22"/>
  <c r="I98" i="22" s="1"/>
  <c r="H72" i="22"/>
  <c r="H81" i="22" s="1"/>
  <c r="E72" i="22"/>
  <c r="E81" i="22" s="1"/>
  <c r="I39" i="1"/>
  <c r="I35" i="1"/>
  <c r="I34" i="1"/>
  <c r="I33" i="1"/>
  <c r="B34" i="17"/>
  <c r="B187" i="17" s="1"/>
  <c r="B45" i="17"/>
  <c r="B46" i="17" s="1"/>
  <c r="B35" i="17"/>
  <c r="B36" i="17" s="1"/>
  <c r="J45" i="17"/>
  <c r="J46" i="17" s="1"/>
  <c r="J35" i="17"/>
  <c r="J36" i="17" s="1"/>
  <c r="J34" i="17"/>
  <c r="J187" i="17" s="1"/>
  <c r="D34" i="17"/>
  <c r="D187" i="17" s="1"/>
  <c r="D45" i="17"/>
  <c r="D46" i="17" s="1"/>
  <c r="D35" i="17"/>
  <c r="D36" i="17" s="1"/>
  <c r="D49" i="17" s="1"/>
  <c r="D51" i="17" s="1"/>
  <c r="K45" i="17"/>
  <c r="K46" i="17" s="1"/>
  <c r="K35" i="17"/>
  <c r="K36" i="17" s="1"/>
  <c r="K34" i="17"/>
  <c r="K187" i="17" s="1"/>
  <c r="E34" i="17"/>
  <c r="E187" i="17" s="1"/>
  <c r="E35" i="17"/>
  <c r="E36" i="17" s="1"/>
  <c r="E45" i="17"/>
  <c r="E46" i="17" s="1"/>
  <c r="F45" i="17"/>
  <c r="F46" i="17" s="1"/>
  <c r="F35" i="17"/>
  <c r="F36" i="17" s="1"/>
  <c r="F34" i="17"/>
  <c r="F187" i="17" s="1"/>
  <c r="G35" i="17"/>
  <c r="G36" i="17" s="1"/>
  <c r="G34" i="17"/>
  <c r="G187" i="17" s="1"/>
  <c r="G45" i="17"/>
  <c r="G46" i="17" s="1"/>
  <c r="C45" i="17"/>
  <c r="C46" i="17" s="1"/>
  <c r="C35" i="17"/>
  <c r="C36" i="17" s="1"/>
  <c r="C34" i="17"/>
  <c r="C187" i="17" s="1"/>
  <c r="Z6" i="8"/>
  <c r="H34" i="17"/>
  <c r="H187" i="17" s="1"/>
  <c r="H35" i="17"/>
  <c r="H36" i="17" s="1"/>
  <c r="H45" i="17"/>
  <c r="H46" i="17" s="1"/>
  <c r="I45" i="17"/>
  <c r="I46" i="17" s="1"/>
  <c r="I34" i="17"/>
  <c r="I187" i="17" s="1"/>
  <c r="I35" i="17"/>
  <c r="I36" i="17" s="1"/>
  <c r="C104" i="17"/>
  <c r="C123" i="17"/>
  <c r="C117" i="17" s="1"/>
  <c r="J104" i="17"/>
  <c r="J123" i="17"/>
  <c r="J117" i="17" s="1"/>
  <c r="I104" i="17"/>
  <c r="I123" i="17"/>
  <c r="I117" i="17" s="1"/>
  <c r="H123" i="17"/>
  <c r="H117" i="17" s="1"/>
  <c r="H104" i="17"/>
  <c r="G104" i="17"/>
  <c r="G123" i="17"/>
  <c r="G117" i="17" s="1"/>
  <c r="D104" i="17"/>
  <c r="D123" i="17"/>
  <c r="D117" i="17" s="1"/>
  <c r="F104" i="17"/>
  <c r="F123" i="17"/>
  <c r="F117" i="17" s="1"/>
  <c r="K123" i="17"/>
  <c r="K117" i="17" s="1"/>
  <c r="K104" i="17"/>
  <c r="E123" i="17"/>
  <c r="E117" i="17" s="1"/>
  <c r="E104" i="17"/>
  <c r="J77" i="17"/>
  <c r="J66" i="17"/>
  <c r="K136" i="17"/>
  <c r="K147" i="17" s="1"/>
  <c r="J135" i="17"/>
  <c r="K77" i="17"/>
  <c r="K66" i="17"/>
  <c r="K135" i="17"/>
  <c r="K88" i="17"/>
  <c r="J87" i="17"/>
  <c r="G136" i="17"/>
  <c r="G147" i="17" s="1"/>
  <c r="H66" i="17"/>
  <c r="H77" i="17"/>
  <c r="H88" i="17" s="1"/>
  <c r="H136" i="17"/>
  <c r="G66" i="17"/>
  <c r="G77" i="17"/>
  <c r="G88" i="17" s="1"/>
  <c r="C66" i="17"/>
  <c r="C77" i="17"/>
  <c r="C88" i="17" s="1"/>
  <c r="G135" i="17"/>
  <c r="G146" i="17" s="1"/>
  <c r="F66" i="17"/>
  <c r="F77" i="17"/>
  <c r="F88" i="17" s="1"/>
  <c r="I136" i="17"/>
  <c r="I147" i="17" s="1"/>
  <c r="G145" i="17"/>
  <c r="D88" i="17"/>
  <c r="C87" i="17"/>
  <c r="E77" i="17"/>
  <c r="E66" i="17"/>
  <c r="I66" i="17"/>
  <c r="I77" i="17"/>
  <c r="D78" i="17"/>
  <c r="D67" i="17"/>
  <c r="D79" i="17" s="1"/>
  <c r="B123" i="17"/>
  <c r="B117" i="17" s="1"/>
  <c r="B104" i="17"/>
  <c r="B73" i="17"/>
  <c r="B84" i="17" s="1"/>
  <c r="B62" i="17"/>
  <c r="B83" i="17"/>
  <c r="Y3" i="8"/>
  <c r="Z3" i="8"/>
  <c r="Y4" i="8"/>
  <c r="Z4" i="8"/>
  <c r="Z9" i="8"/>
  <c r="Y9" i="8"/>
  <c r="Z10" i="8"/>
  <c r="Y10" i="8"/>
  <c r="Z5" i="8"/>
  <c r="Y5" i="8"/>
  <c r="Y8" i="8"/>
  <c r="AA8" i="8" s="1"/>
  <c r="Z8" i="8"/>
  <c r="Z7" i="8"/>
  <c r="Y7" i="8"/>
  <c r="Z2" i="8"/>
  <c r="Y2" i="8"/>
  <c r="I32" i="1"/>
  <c r="I40" i="1"/>
  <c r="I36" i="1"/>
  <c r="I38" i="1"/>
  <c r="I31" i="1"/>
  <c r="I37" i="1"/>
  <c r="AA6" i="8" l="1"/>
  <c r="F65" i="22"/>
  <c r="B70" i="22"/>
  <c r="D68" i="22"/>
  <c r="B64" i="22"/>
  <c r="F68" i="22"/>
  <c r="AA9" i="8"/>
  <c r="I65" i="22"/>
  <c r="G65" i="22"/>
  <c r="D65" i="22"/>
  <c r="E69" i="22"/>
  <c r="E70" i="22" s="1"/>
  <c r="C65" i="22"/>
  <c r="H67" i="22"/>
  <c r="E64" i="22"/>
  <c r="B65" i="22"/>
  <c r="B97" i="22"/>
  <c r="B80" i="22"/>
  <c r="I66" i="22"/>
  <c r="G66" i="22"/>
  <c r="I67" i="22"/>
  <c r="F67" i="22"/>
  <c r="D69" i="22"/>
  <c r="D70" i="22" s="1"/>
  <c r="I64" i="22"/>
  <c r="D64" i="22"/>
  <c r="D66" i="22"/>
  <c r="C68" i="22"/>
  <c r="F69" i="22"/>
  <c r="F70" i="22" s="1"/>
  <c r="G68" i="22"/>
  <c r="E68" i="22"/>
  <c r="E65" i="22"/>
  <c r="G67" i="22"/>
  <c r="E66" i="22"/>
  <c r="H64" i="22"/>
  <c r="H68" i="22"/>
  <c r="H65" i="22"/>
  <c r="B67" i="22"/>
  <c r="C66" i="22"/>
  <c r="C64" i="22"/>
  <c r="F66" i="22"/>
  <c r="I68" i="22"/>
  <c r="B66" i="22"/>
  <c r="G64" i="22"/>
  <c r="B68" i="22"/>
  <c r="F64" i="22"/>
  <c r="F63" i="22" s="1"/>
  <c r="AA5" i="8"/>
  <c r="I49" i="17"/>
  <c r="I51" i="17" s="1"/>
  <c r="I97" i="17" s="1"/>
  <c r="AA2" i="8"/>
  <c r="AA7" i="8"/>
  <c r="K49" i="17"/>
  <c r="K51" i="17" s="1"/>
  <c r="K97" i="17" s="1"/>
  <c r="J49" i="17"/>
  <c r="J51" i="17" s="1"/>
  <c r="J97" i="17" s="1"/>
  <c r="B49" i="17"/>
  <c r="B51" i="17" s="1"/>
  <c r="B97" i="17" s="1"/>
  <c r="C49" i="17"/>
  <c r="C51" i="17" s="1"/>
  <c r="C96" i="17" s="1"/>
  <c r="E49" i="17"/>
  <c r="E51" i="17" s="1"/>
  <c r="F49" i="17"/>
  <c r="F51" i="17" s="1"/>
  <c r="AA4" i="8"/>
  <c r="AA3" i="8"/>
  <c r="E192" i="17"/>
  <c r="E202" i="17" s="1"/>
  <c r="E195" i="17"/>
  <c r="E205" i="17" s="1"/>
  <c r="E191" i="17"/>
  <c r="E201" i="17" s="1"/>
  <c r="E193" i="17"/>
  <c r="E203" i="17" s="1"/>
  <c r="E194" i="17"/>
  <c r="E204" i="17" s="1"/>
  <c r="E189" i="17"/>
  <c r="E199" i="17" s="1"/>
  <c r="E197" i="17"/>
  <c r="E207" i="17" s="1"/>
  <c r="E190" i="17"/>
  <c r="E200" i="17" s="1"/>
  <c r="E196" i="17"/>
  <c r="E206" i="17" s="1"/>
  <c r="D194" i="17"/>
  <c r="D204" i="17" s="1"/>
  <c r="D189" i="17"/>
  <c r="D199" i="17" s="1"/>
  <c r="D193" i="17"/>
  <c r="D203" i="17" s="1"/>
  <c r="D196" i="17"/>
  <c r="D206" i="17" s="1"/>
  <c r="D195" i="17"/>
  <c r="D205" i="17" s="1"/>
  <c r="D197" i="17"/>
  <c r="D207" i="17" s="1"/>
  <c r="D191" i="17"/>
  <c r="D201" i="17" s="1"/>
  <c r="D192" i="17"/>
  <c r="D202" i="17" s="1"/>
  <c r="D190" i="17"/>
  <c r="D200" i="17" s="1"/>
  <c r="D97" i="17"/>
  <c r="D96" i="17"/>
  <c r="J191" i="17"/>
  <c r="J201" i="17" s="1"/>
  <c r="J193" i="17"/>
  <c r="J203" i="17" s="1"/>
  <c r="J195" i="17"/>
  <c r="J205" i="17" s="1"/>
  <c r="J192" i="17"/>
  <c r="J202" i="17" s="1"/>
  <c r="J190" i="17"/>
  <c r="J200" i="17" s="1"/>
  <c r="J194" i="17"/>
  <c r="J204" i="17" s="1"/>
  <c r="J197" i="17"/>
  <c r="J207" i="17" s="1"/>
  <c r="J189" i="17"/>
  <c r="J199" i="17" s="1"/>
  <c r="J196" i="17"/>
  <c r="J206" i="17" s="1"/>
  <c r="J239" i="17"/>
  <c r="J227" i="17"/>
  <c r="G190" i="17"/>
  <c r="G200" i="17" s="1"/>
  <c r="G192" i="17"/>
  <c r="G202" i="17" s="1"/>
  <c r="G193" i="17"/>
  <c r="G203" i="17" s="1"/>
  <c r="G194" i="17"/>
  <c r="G204" i="17" s="1"/>
  <c r="G191" i="17"/>
  <c r="G201" i="17" s="1"/>
  <c r="G197" i="17"/>
  <c r="G207" i="17" s="1"/>
  <c r="G196" i="17"/>
  <c r="G206" i="17" s="1"/>
  <c r="G195" i="17"/>
  <c r="G205" i="17" s="1"/>
  <c r="G189" i="17"/>
  <c r="G199" i="17" s="1"/>
  <c r="G239" i="17"/>
  <c r="G227" i="17"/>
  <c r="H49" i="17"/>
  <c r="H51" i="17" s="1"/>
  <c r="C97" i="17"/>
  <c r="G49" i="17"/>
  <c r="G51" i="17" s="1"/>
  <c r="I191" i="17"/>
  <c r="I201" i="17" s="1"/>
  <c r="I197" i="17"/>
  <c r="I207" i="17" s="1"/>
  <c r="I193" i="17"/>
  <c r="I203" i="17" s="1"/>
  <c r="I195" i="17"/>
  <c r="I205" i="17" s="1"/>
  <c r="I196" i="17"/>
  <c r="I206" i="17" s="1"/>
  <c r="I189" i="17"/>
  <c r="I199" i="17" s="1"/>
  <c r="I190" i="17"/>
  <c r="I200" i="17" s="1"/>
  <c r="I192" i="17"/>
  <c r="I202" i="17" s="1"/>
  <c r="I194" i="17"/>
  <c r="I204" i="17" s="1"/>
  <c r="I239" i="17"/>
  <c r="I227" i="17"/>
  <c r="K195" i="17"/>
  <c r="K205" i="17" s="1"/>
  <c r="K189" i="17"/>
  <c r="K199" i="17" s="1"/>
  <c r="K192" i="17"/>
  <c r="K202" i="17" s="1"/>
  <c r="K196" i="17"/>
  <c r="K206" i="17" s="1"/>
  <c r="K193" i="17"/>
  <c r="K203" i="17" s="1"/>
  <c r="K191" i="17"/>
  <c r="K201" i="17" s="1"/>
  <c r="K190" i="17"/>
  <c r="K200" i="17" s="1"/>
  <c r="K194" i="17"/>
  <c r="K204" i="17" s="1"/>
  <c r="K197" i="17"/>
  <c r="K207" i="17" s="1"/>
  <c r="K239" i="17"/>
  <c r="K227" i="17"/>
  <c r="F194" i="17"/>
  <c r="F204" i="17" s="1"/>
  <c r="F196" i="17"/>
  <c r="F206" i="17" s="1"/>
  <c r="F197" i="17"/>
  <c r="F207" i="17" s="1"/>
  <c r="F189" i="17"/>
  <c r="F199" i="17" s="1"/>
  <c r="F192" i="17"/>
  <c r="F202" i="17" s="1"/>
  <c r="F195" i="17"/>
  <c r="F205" i="17" s="1"/>
  <c r="F191" i="17"/>
  <c r="F201" i="17" s="1"/>
  <c r="F193" i="17"/>
  <c r="F203" i="17" s="1"/>
  <c r="F190" i="17"/>
  <c r="F200" i="17" s="1"/>
  <c r="H189" i="17"/>
  <c r="H199" i="17" s="1"/>
  <c r="H197" i="17"/>
  <c r="H207" i="17" s="1"/>
  <c r="H194" i="17"/>
  <c r="H204" i="17" s="1"/>
  <c r="H190" i="17"/>
  <c r="H200" i="17" s="1"/>
  <c r="H193" i="17"/>
  <c r="H203" i="17" s="1"/>
  <c r="H196" i="17"/>
  <c r="H206" i="17" s="1"/>
  <c r="H192" i="17"/>
  <c r="H202" i="17" s="1"/>
  <c r="H191" i="17"/>
  <c r="H201" i="17" s="1"/>
  <c r="H195" i="17"/>
  <c r="H205" i="17" s="1"/>
  <c r="H227" i="17"/>
  <c r="H239" i="17"/>
  <c r="C196" i="17"/>
  <c r="C206" i="17" s="1"/>
  <c r="C189" i="17"/>
  <c r="C199" i="17" s="1"/>
  <c r="C193" i="17"/>
  <c r="C203" i="17" s="1"/>
  <c r="C197" i="17"/>
  <c r="C207" i="17" s="1"/>
  <c r="C195" i="17"/>
  <c r="C205" i="17" s="1"/>
  <c r="C191" i="17"/>
  <c r="C201" i="17" s="1"/>
  <c r="C194" i="17"/>
  <c r="C204" i="17" s="1"/>
  <c r="C190" i="17"/>
  <c r="C200" i="17" s="1"/>
  <c r="C192" i="17"/>
  <c r="C202" i="17" s="1"/>
  <c r="AA10" i="8"/>
  <c r="B191" i="17"/>
  <c r="B201" i="17" s="1"/>
  <c r="B189" i="17"/>
  <c r="B199" i="17" s="1"/>
  <c r="B192" i="17"/>
  <c r="B202" i="17" s="1"/>
  <c r="B193" i="17"/>
  <c r="B203" i="17" s="1"/>
  <c r="B194" i="17"/>
  <c r="B204" i="17" s="1"/>
  <c r="B190" i="17"/>
  <c r="B200" i="17" s="1"/>
  <c r="B197" i="17"/>
  <c r="B207" i="17" s="1"/>
  <c r="B195" i="17"/>
  <c r="B196" i="17"/>
  <c r="B206" i="17" s="1"/>
  <c r="K146" i="17"/>
  <c r="K137" i="17"/>
  <c r="K148" i="17" s="1"/>
  <c r="J146" i="17"/>
  <c r="K67" i="17"/>
  <c r="K79" i="17" s="1"/>
  <c r="K78" i="17"/>
  <c r="J88" i="17"/>
  <c r="J136" i="17"/>
  <c r="J147" i="17" s="1"/>
  <c r="J67" i="17"/>
  <c r="J79" i="17" s="1"/>
  <c r="J78" i="17"/>
  <c r="E67" i="17"/>
  <c r="E79" i="17" s="1"/>
  <c r="E78" i="17"/>
  <c r="E89" i="17" s="1"/>
  <c r="D90" i="17"/>
  <c r="I67" i="17"/>
  <c r="I79" i="17" s="1"/>
  <c r="I78" i="17"/>
  <c r="H147" i="17"/>
  <c r="C78" i="17"/>
  <c r="C89" i="17" s="1"/>
  <c r="C67" i="17"/>
  <c r="C79" i="17" s="1"/>
  <c r="E88" i="17"/>
  <c r="G78" i="17"/>
  <c r="G67" i="17"/>
  <c r="G79" i="17" s="1"/>
  <c r="H67" i="17"/>
  <c r="H79" i="17" s="1"/>
  <c r="H78" i="17"/>
  <c r="I88" i="17"/>
  <c r="G137" i="17"/>
  <c r="H137" i="17"/>
  <c r="H148" i="17" s="1"/>
  <c r="F67" i="17"/>
  <c r="F79" i="17" s="1"/>
  <c r="F78" i="17"/>
  <c r="D89" i="17"/>
  <c r="B63" i="17"/>
  <c r="B74" i="17"/>
  <c r="B85" i="17" s="1"/>
  <c r="M20" i="16"/>
  <c r="A196" i="4"/>
  <c r="A197" i="4" s="1"/>
  <c r="A198" i="4" s="1"/>
  <c r="A199" i="4" s="1"/>
  <c r="A200" i="4" s="1"/>
  <c r="A201" i="4" s="1"/>
  <c r="A202" i="4" s="1"/>
  <c r="A203" i="4" s="1"/>
  <c r="A204" i="4" s="1"/>
  <c r="B196" i="4"/>
  <c r="B197" i="4"/>
  <c r="B198" i="4"/>
  <c r="B199" i="4"/>
  <c r="B200" i="4"/>
  <c r="B201" i="4"/>
  <c r="B202" i="4"/>
  <c r="B203" i="4"/>
  <c r="B204" i="4"/>
  <c r="B205" i="4"/>
  <c r="B195" i="4"/>
  <c r="D195" i="4" s="1"/>
  <c r="C167" i="4"/>
  <c r="B167" i="4"/>
  <c r="A168" i="4"/>
  <c r="A169" i="4" s="1"/>
  <c r="F90" i="17" l="1"/>
  <c r="E63" i="22"/>
  <c r="E62" i="22"/>
  <c r="F62" i="22"/>
  <c r="D63" i="22"/>
  <c r="C63" i="22"/>
  <c r="D62" i="22"/>
  <c r="I96" i="17"/>
  <c r="B62" i="22"/>
  <c r="C62" i="22"/>
  <c r="C93" i="17"/>
  <c r="B63" i="22"/>
  <c r="I90" i="17"/>
  <c r="K96" i="17"/>
  <c r="K93" i="17" s="1"/>
  <c r="B96" i="17"/>
  <c r="B93" i="17" s="1"/>
  <c r="J96" i="17"/>
  <c r="J93" i="17" s="1"/>
  <c r="H90" i="17"/>
  <c r="H139" i="17" s="1"/>
  <c r="H150" i="17" s="1"/>
  <c r="K90" i="17"/>
  <c r="K139" i="17" s="1"/>
  <c r="J90" i="17"/>
  <c r="J139" i="17" s="1"/>
  <c r="J150" i="17" s="1"/>
  <c r="B169" i="4"/>
  <c r="A170" i="4"/>
  <c r="A171" i="4" s="1"/>
  <c r="A172" i="4" s="1"/>
  <c r="A173" i="4" s="1"/>
  <c r="A174" i="4" s="1"/>
  <c r="A175" i="4" s="1"/>
  <c r="A176" i="4" s="1"/>
  <c r="A177" i="4" s="1"/>
  <c r="B177" i="4" s="1"/>
  <c r="F96" i="17"/>
  <c r="F97" i="17"/>
  <c r="G96" i="17"/>
  <c r="G97" i="17"/>
  <c r="D93" i="17"/>
  <c r="B168" i="4"/>
  <c r="I93" i="17"/>
  <c r="C168" i="4"/>
  <c r="C185" i="17"/>
  <c r="C94" i="17"/>
  <c r="C128" i="17"/>
  <c r="C138" i="17" s="1"/>
  <c r="C149" i="17" s="1"/>
  <c r="B205" i="17"/>
  <c r="K210" i="17"/>
  <c r="I210" i="17"/>
  <c r="J210" i="17"/>
  <c r="J219" i="17" s="1"/>
  <c r="H210" i="17"/>
  <c r="G210" i="17"/>
  <c r="E96" i="17"/>
  <c r="E97" i="17"/>
  <c r="H96" i="17"/>
  <c r="H97" i="17"/>
  <c r="G90" i="17"/>
  <c r="G139" i="17" s="1"/>
  <c r="G150" i="17" s="1"/>
  <c r="K89" i="17"/>
  <c r="J137" i="17"/>
  <c r="J89" i="17"/>
  <c r="I139" i="17"/>
  <c r="I137" i="17"/>
  <c r="I148" i="17" s="1"/>
  <c r="G89" i="17"/>
  <c r="H89" i="17"/>
  <c r="D91" i="17"/>
  <c r="E90" i="17"/>
  <c r="G148" i="17"/>
  <c r="I89" i="17"/>
  <c r="F89" i="17"/>
  <c r="C90" i="17"/>
  <c r="B64" i="17"/>
  <c r="B75" i="17"/>
  <c r="C195" i="4"/>
  <c r="C169" i="4"/>
  <c r="I91" i="17" l="1"/>
  <c r="H221" i="17"/>
  <c r="I221" i="17"/>
  <c r="C174" i="4"/>
  <c r="B171" i="4"/>
  <c r="K91" i="17"/>
  <c r="B170" i="4"/>
  <c r="C175" i="4"/>
  <c r="B172" i="4"/>
  <c r="B174" i="4"/>
  <c r="C176" i="4"/>
  <c r="B173" i="4"/>
  <c r="A178" i="4"/>
  <c r="A179" i="4" s="1"/>
  <c r="J91" i="17"/>
  <c r="C171" i="4"/>
  <c r="B175" i="4"/>
  <c r="C170" i="4"/>
  <c r="B176" i="4"/>
  <c r="C177" i="4"/>
  <c r="C172" i="4"/>
  <c r="C173" i="4"/>
  <c r="K138" i="17"/>
  <c r="K149" i="17" s="1"/>
  <c r="G221" i="17"/>
  <c r="F93" i="17"/>
  <c r="F128" i="17" s="1"/>
  <c r="J221" i="17"/>
  <c r="I219" i="17"/>
  <c r="K214" i="17"/>
  <c r="K216" i="17"/>
  <c r="K218" i="17"/>
  <c r="K217" i="17"/>
  <c r="K212" i="17"/>
  <c r="K213" i="17"/>
  <c r="K215" i="17"/>
  <c r="K219" i="17"/>
  <c r="K220" i="17"/>
  <c r="H93" i="17"/>
  <c r="D128" i="17"/>
  <c r="D94" i="17"/>
  <c r="D185" i="17"/>
  <c r="K221" i="17"/>
  <c r="C227" i="17"/>
  <c r="C239" i="17"/>
  <c r="C210" i="17"/>
  <c r="C221" i="17" s="1"/>
  <c r="E93" i="17"/>
  <c r="G93" i="17"/>
  <c r="G216" i="17"/>
  <c r="G213" i="17"/>
  <c r="G217" i="17"/>
  <c r="G214" i="17"/>
  <c r="G212" i="17"/>
  <c r="G215" i="17"/>
  <c r="G218" i="17"/>
  <c r="G219" i="17"/>
  <c r="H216" i="17"/>
  <c r="H212" i="17"/>
  <c r="H217" i="17"/>
  <c r="H214" i="17"/>
  <c r="H213" i="17"/>
  <c r="H218" i="17"/>
  <c r="H215" i="17"/>
  <c r="H219" i="17"/>
  <c r="J215" i="17"/>
  <c r="J212" i="17"/>
  <c r="J214" i="17"/>
  <c r="J217" i="17"/>
  <c r="J213" i="17"/>
  <c r="J216" i="17"/>
  <c r="J218" i="17"/>
  <c r="C130" i="17"/>
  <c r="C141" i="17" s="1"/>
  <c r="C131" i="17"/>
  <c r="C142" i="17" s="1"/>
  <c r="C132" i="17"/>
  <c r="C143" i="17" s="1"/>
  <c r="C133" i="17"/>
  <c r="C144" i="17" s="1"/>
  <c r="C134" i="17"/>
  <c r="C145" i="17" s="1"/>
  <c r="C135" i="17"/>
  <c r="C146" i="17" s="1"/>
  <c r="C136" i="17"/>
  <c r="C147" i="17" s="1"/>
  <c r="C137" i="17"/>
  <c r="C148" i="17" s="1"/>
  <c r="B94" i="17"/>
  <c r="B185" i="17" s="1"/>
  <c r="B128" i="17"/>
  <c r="B130" i="17" s="1"/>
  <c r="B141" i="17" s="1"/>
  <c r="I217" i="17"/>
  <c r="I212" i="17"/>
  <c r="I218" i="17"/>
  <c r="I213" i="17"/>
  <c r="I215" i="17"/>
  <c r="I214" i="17"/>
  <c r="I216" i="17"/>
  <c r="J138" i="17"/>
  <c r="J149" i="17" s="1"/>
  <c r="J220" i="17"/>
  <c r="J148" i="17"/>
  <c r="K150" i="17"/>
  <c r="F91" i="17"/>
  <c r="H220" i="17"/>
  <c r="H138" i="17"/>
  <c r="H91" i="17"/>
  <c r="I220" i="17"/>
  <c r="I138" i="17"/>
  <c r="I149" i="17" s="1"/>
  <c r="G220" i="17"/>
  <c r="G138" i="17"/>
  <c r="I150" i="17"/>
  <c r="C139" i="17"/>
  <c r="C91" i="17"/>
  <c r="E91" i="17"/>
  <c r="G91" i="17"/>
  <c r="B86" i="17"/>
  <c r="B65" i="17"/>
  <c r="B76" i="17"/>
  <c r="E257" i="4"/>
  <c r="E256" i="4"/>
  <c r="F248" i="4"/>
  <c r="F249" i="4" s="1"/>
  <c r="E248" i="4"/>
  <c r="E249" i="4" s="1"/>
  <c r="F246" i="4"/>
  <c r="E246" i="4"/>
  <c r="F237" i="4"/>
  <c r="G237" i="4" s="1"/>
  <c r="F236" i="4"/>
  <c r="G236" i="4" s="1"/>
  <c r="F235" i="4"/>
  <c r="G235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28" i="4"/>
  <c r="G228" i="4" s="1"/>
  <c r="B178" i="4" l="1"/>
  <c r="C178" i="4"/>
  <c r="K151" i="17"/>
  <c r="K153" i="17" s="1"/>
  <c r="K152" i="17"/>
  <c r="F185" i="17"/>
  <c r="F227" i="17" s="1"/>
  <c r="F94" i="17"/>
  <c r="K222" i="17"/>
  <c r="K223" i="17" s="1"/>
  <c r="K226" i="17" s="1"/>
  <c r="D239" i="17"/>
  <c r="D227" i="17"/>
  <c r="D210" i="17"/>
  <c r="D130" i="17"/>
  <c r="D131" i="17"/>
  <c r="D142" i="17" s="1"/>
  <c r="D132" i="17"/>
  <c r="D143" i="17" s="1"/>
  <c r="D133" i="17"/>
  <c r="D144" i="17" s="1"/>
  <c r="D134" i="17"/>
  <c r="D145" i="17" s="1"/>
  <c r="D136" i="17"/>
  <c r="D147" i="17" s="1"/>
  <c r="D135" i="17"/>
  <c r="D146" i="17" s="1"/>
  <c r="D137" i="17"/>
  <c r="D148" i="17" s="1"/>
  <c r="D139" i="17"/>
  <c r="D150" i="17" s="1"/>
  <c r="D138" i="17"/>
  <c r="D149" i="17" s="1"/>
  <c r="B239" i="17"/>
  <c r="B227" i="17"/>
  <c r="B210" i="17"/>
  <c r="F131" i="17"/>
  <c r="F142" i="17" s="1"/>
  <c r="F130" i="17"/>
  <c r="F141" i="17" s="1"/>
  <c r="F132" i="17"/>
  <c r="F143" i="17" s="1"/>
  <c r="F133" i="17"/>
  <c r="F144" i="17" s="1"/>
  <c r="F134" i="17"/>
  <c r="F145" i="17" s="1"/>
  <c r="F135" i="17"/>
  <c r="F146" i="17" s="1"/>
  <c r="F136" i="17"/>
  <c r="F147" i="17" s="1"/>
  <c r="F137" i="17"/>
  <c r="F148" i="17" s="1"/>
  <c r="F139" i="17"/>
  <c r="F150" i="17" s="1"/>
  <c r="H222" i="17"/>
  <c r="H223" i="17" s="1"/>
  <c r="H226" i="17" s="1"/>
  <c r="F138" i="17"/>
  <c r="F149" i="17" s="1"/>
  <c r="I222" i="17"/>
  <c r="I223" i="17" s="1"/>
  <c r="I226" i="17" s="1"/>
  <c r="J222" i="17"/>
  <c r="J223" i="17" s="1"/>
  <c r="J226" i="17" s="1"/>
  <c r="E128" i="17"/>
  <c r="E94" i="17"/>
  <c r="E185" i="17"/>
  <c r="G222" i="17"/>
  <c r="G223" i="17" s="1"/>
  <c r="G226" i="17" s="1"/>
  <c r="C212" i="17"/>
  <c r="C215" i="17"/>
  <c r="C216" i="17"/>
  <c r="C217" i="17"/>
  <c r="C213" i="17"/>
  <c r="C214" i="17"/>
  <c r="C219" i="17"/>
  <c r="C218" i="17"/>
  <c r="C220" i="17"/>
  <c r="I152" i="17"/>
  <c r="J152" i="17"/>
  <c r="I151" i="17"/>
  <c r="I153" i="17" s="1"/>
  <c r="K154" i="17"/>
  <c r="J151" i="17"/>
  <c r="J153" i="17" s="1"/>
  <c r="G149" i="17"/>
  <c r="G152" i="17" s="1"/>
  <c r="G151" i="17"/>
  <c r="G153" i="17" s="1"/>
  <c r="H149" i="17"/>
  <c r="H152" i="17" s="1"/>
  <c r="H151" i="17"/>
  <c r="H153" i="17" s="1"/>
  <c r="C150" i="17"/>
  <c r="C152" i="17" s="1"/>
  <c r="C151" i="17"/>
  <c r="C153" i="17" s="1"/>
  <c r="B87" i="17"/>
  <c r="B77" i="17"/>
  <c r="B66" i="17"/>
  <c r="B133" i="17"/>
  <c r="B144" i="17" s="1"/>
  <c r="B131" i="17"/>
  <c r="B142" i="17" s="1"/>
  <c r="B132" i="17"/>
  <c r="B143" i="17" s="1"/>
  <c r="A180" i="4"/>
  <c r="C179" i="4"/>
  <c r="B179" i="4"/>
  <c r="E250" i="4"/>
  <c r="F250" i="4"/>
  <c r="D66" i="1"/>
  <c r="D60" i="1"/>
  <c r="L50" i="1"/>
  <c r="L59" i="1" s="1"/>
  <c r="R26" i="1"/>
  <c r="R25" i="1"/>
  <c r="T14" i="1"/>
  <c r="V13" i="1"/>
  <c r="R68" i="1"/>
  <c r="R67" i="1"/>
  <c r="R65" i="1"/>
  <c r="R64" i="1"/>
  <c r="W50" i="1"/>
  <c r="I27" i="16"/>
  <c r="H27" i="16"/>
  <c r="G27" i="16"/>
  <c r="H17" i="16"/>
  <c r="I17" i="16"/>
  <c r="H18" i="16"/>
  <c r="I18" i="16"/>
  <c r="H19" i="16"/>
  <c r="I19" i="16"/>
  <c r="H20" i="16"/>
  <c r="I20" i="16"/>
  <c r="H21" i="16"/>
  <c r="I21" i="16"/>
  <c r="H22" i="16"/>
  <c r="I22" i="16"/>
  <c r="H23" i="16"/>
  <c r="I23" i="16"/>
  <c r="H24" i="16"/>
  <c r="I24" i="16"/>
  <c r="H25" i="16"/>
  <c r="I25" i="16"/>
  <c r="H26" i="16"/>
  <c r="I26" i="16"/>
  <c r="G26" i="16"/>
  <c r="G25" i="16"/>
  <c r="G24" i="16"/>
  <c r="G23" i="16"/>
  <c r="G22" i="16"/>
  <c r="G21" i="16"/>
  <c r="G20" i="16"/>
  <c r="G19" i="16"/>
  <c r="G18" i="16"/>
  <c r="G17" i="16"/>
  <c r="L20" i="16"/>
  <c r="L21" i="16"/>
  <c r="L22" i="16"/>
  <c r="L19" i="16"/>
  <c r="N20" i="16"/>
  <c r="O20" i="16"/>
  <c r="M21" i="16"/>
  <c r="N21" i="16"/>
  <c r="O21" i="16"/>
  <c r="M22" i="16"/>
  <c r="N22" i="16"/>
  <c r="O22" i="16"/>
  <c r="N19" i="16"/>
  <c r="O19" i="16"/>
  <c r="M19" i="16"/>
  <c r="C57" i="16"/>
  <c r="I56" i="16"/>
  <c r="H56" i="16"/>
  <c r="G56" i="16"/>
  <c r="I52" i="16"/>
  <c r="H52" i="16"/>
  <c r="G52" i="16"/>
  <c r="I48" i="16"/>
  <c r="H48" i="16"/>
  <c r="G48" i="16"/>
  <c r="I47" i="16"/>
  <c r="H47" i="16"/>
  <c r="G47" i="16"/>
  <c r="L18" i="16"/>
  <c r="L24" i="16"/>
  <c r="L25" i="16"/>
  <c r="L26" i="16"/>
  <c r="L27" i="16"/>
  <c r="L17" i="16"/>
  <c r="M18" i="16"/>
  <c r="N18" i="16"/>
  <c r="O18" i="16"/>
  <c r="N23" i="16"/>
  <c r="O23" i="16"/>
  <c r="M24" i="16"/>
  <c r="N24" i="16"/>
  <c r="O24" i="16"/>
  <c r="M25" i="16"/>
  <c r="N25" i="16"/>
  <c r="O25" i="16"/>
  <c r="M26" i="16"/>
  <c r="N26" i="16"/>
  <c r="O26" i="16"/>
  <c r="M27" i="16"/>
  <c r="N27" i="16"/>
  <c r="O27" i="16"/>
  <c r="N17" i="16"/>
  <c r="O17" i="16"/>
  <c r="M17" i="16"/>
  <c r="I98" i="1"/>
  <c r="J98" i="1" s="1"/>
  <c r="I97" i="1"/>
  <c r="J97" i="1" s="1"/>
  <c r="F67" i="1"/>
  <c r="F64" i="1"/>
  <c r="F100" i="1"/>
  <c r="F68" i="1"/>
  <c r="F65" i="1"/>
  <c r="H14" i="1"/>
  <c r="H15" i="1" s="1"/>
  <c r="H22" i="1"/>
  <c r="J32" i="1"/>
  <c r="J33" i="1"/>
  <c r="J34" i="1"/>
  <c r="J35" i="1"/>
  <c r="J36" i="1"/>
  <c r="J37" i="1"/>
  <c r="J38" i="1"/>
  <c r="J39" i="1"/>
  <c r="J40" i="1"/>
  <c r="J13" i="1"/>
  <c r="F43" i="1"/>
  <c r="F42" i="1"/>
  <c r="F26" i="1"/>
  <c r="F25" i="1"/>
  <c r="F210" i="17" l="1"/>
  <c r="F217" i="17" s="1"/>
  <c r="F239" i="17"/>
  <c r="F152" i="17"/>
  <c r="C222" i="17"/>
  <c r="C223" i="17" s="1"/>
  <c r="C226" i="17" s="1"/>
  <c r="F151" i="17"/>
  <c r="F153" i="17" s="1"/>
  <c r="B212" i="17"/>
  <c r="B213" i="17"/>
  <c r="B214" i="17"/>
  <c r="B216" i="17"/>
  <c r="B215" i="17"/>
  <c r="B218" i="17"/>
  <c r="E239" i="17"/>
  <c r="E227" i="17"/>
  <c r="E210" i="17"/>
  <c r="D141" i="17"/>
  <c r="D152" i="17" s="1"/>
  <c r="D151" i="17"/>
  <c r="D153" i="17" s="1"/>
  <c r="D218" i="17"/>
  <c r="D217" i="17"/>
  <c r="D216" i="17"/>
  <c r="D215" i="17"/>
  <c r="D214" i="17"/>
  <c r="D213" i="17"/>
  <c r="D212" i="17"/>
  <c r="D219" i="17"/>
  <c r="D221" i="17"/>
  <c r="D220" i="17"/>
  <c r="E131" i="17"/>
  <c r="E142" i="17" s="1"/>
  <c r="E130" i="17"/>
  <c r="E132" i="17"/>
  <c r="E143" i="17" s="1"/>
  <c r="E133" i="17"/>
  <c r="E144" i="17" s="1"/>
  <c r="E134" i="17"/>
  <c r="E145" i="17" s="1"/>
  <c r="E135" i="17"/>
  <c r="E146" i="17" s="1"/>
  <c r="E136" i="17"/>
  <c r="E147" i="17" s="1"/>
  <c r="E137" i="17"/>
  <c r="E148" i="17" s="1"/>
  <c r="E138" i="17"/>
  <c r="E149" i="17" s="1"/>
  <c r="E139" i="17"/>
  <c r="E150" i="17" s="1"/>
  <c r="F212" i="17"/>
  <c r="F215" i="17"/>
  <c r="F219" i="17"/>
  <c r="F221" i="17"/>
  <c r="F220" i="17"/>
  <c r="B217" i="17"/>
  <c r="I154" i="17"/>
  <c r="J154" i="17"/>
  <c r="C154" i="17"/>
  <c r="G154" i="17"/>
  <c r="H154" i="17"/>
  <c r="B78" i="17"/>
  <c r="B67" i="17"/>
  <c r="B79" i="17" s="1"/>
  <c r="B88" i="17"/>
  <c r="B219" i="17" s="1"/>
  <c r="B134" i="17"/>
  <c r="B145" i="17" s="1"/>
  <c r="P26" i="16"/>
  <c r="P24" i="16"/>
  <c r="P19" i="16"/>
  <c r="K64" i="1"/>
  <c r="D77" i="1" s="1"/>
  <c r="C77" i="1"/>
  <c r="T15" i="1"/>
  <c r="U15" i="1" s="1"/>
  <c r="V15" i="1" s="1"/>
  <c r="U14" i="1"/>
  <c r="V14" i="1" s="1"/>
  <c r="G28" i="16"/>
  <c r="D28" i="16" s="1"/>
  <c r="I28" i="16"/>
  <c r="F28" i="16" s="1"/>
  <c r="H28" i="16"/>
  <c r="E28" i="16" s="1"/>
  <c r="Q22" i="16"/>
  <c r="P20" i="16"/>
  <c r="P21" i="16"/>
  <c r="P22" i="16"/>
  <c r="P17" i="16"/>
  <c r="P27" i="16"/>
  <c r="Q19" i="16"/>
  <c r="R25" i="16"/>
  <c r="P25" i="16"/>
  <c r="P23" i="16"/>
  <c r="P18" i="16"/>
  <c r="A181" i="4"/>
  <c r="C180" i="4"/>
  <c r="B180" i="4"/>
  <c r="F99" i="1"/>
  <c r="I57" i="16"/>
  <c r="F57" i="16" s="1"/>
  <c r="R20" i="16"/>
  <c r="Q20" i="16"/>
  <c r="R19" i="16"/>
  <c r="G57" i="16"/>
  <c r="D57" i="16" s="1"/>
  <c r="R22" i="16"/>
  <c r="H57" i="16"/>
  <c r="E57" i="16" s="1"/>
  <c r="Q24" i="16"/>
  <c r="R23" i="16"/>
  <c r="Q21" i="16"/>
  <c r="Q18" i="16"/>
  <c r="Q23" i="16"/>
  <c r="Q27" i="16"/>
  <c r="R21" i="16"/>
  <c r="R27" i="16"/>
  <c r="R26" i="16"/>
  <c r="Q26" i="16"/>
  <c r="R18" i="16"/>
  <c r="Q25" i="16"/>
  <c r="R24" i="16"/>
  <c r="R17" i="16"/>
  <c r="Q17" i="16"/>
  <c r="L28" i="16"/>
  <c r="H40" i="1"/>
  <c r="T50" i="1" s="1"/>
  <c r="J31" i="1"/>
  <c r="H16" i="1"/>
  <c r="H17" i="1" s="1"/>
  <c r="H18" i="1" s="1"/>
  <c r="H19" i="1" s="1"/>
  <c r="H20" i="1" s="1"/>
  <c r="H21" i="1" s="1"/>
  <c r="H31" i="1"/>
  <c r="H32" i="1" s="1"/>
  <c r="H33" i="1" s="1"/>
  <c r="H34" i="1" s="1"/>
  <c r="H35" i="1" s="1"/>
  <c r="H36" i="1" s="1"/>
  <c r="H37" i="1" s="1"/>
  <c r="H38" i="1" s="1"/>
  <c r="H39" i="1" s="1"/>
  <c r="D24" i="1"/>
  <c r="F213" i="17" l="1"/>
  <c r="F218" i="17"/>
  <c r="F216" i="17"/>
  <c r="F214" i="17"/>
  <c r="F222" i="17"/>
  <c r="F223" i="17" s="1"/>
  <c r="F226" i="17" s="1"/>
  <c r="F154" i="17"/>
  <c r="E217" i="17"/>
  <c r="E214" i="17"/>
  <c r="E218" i="17"/>
  <c r="E213" i="17"/>
  <c r="E212" i="17"/>
  <c r="E216" i="17"/>
  <c r="E215" i="17"/>
  <c r="E219" i="17"/>
  <c r="E220" i="17"/>
  <c r="E221" i="17"/>
  <c r="E141" i="17"/>
  <c r="E152" i="17" s="1"/>
  <c r="E151" i="17"/>
  <c r="E153" i="17" s="1"/>
  <c r="T16" i="1"/>
  <c r="U16" i="1" s="1"/>
  <c r="V16" i="1" s="1"/>
  <c r="D222" i="17"/>
  <c r="D223" i="17" s="1"/>
  <c r="D226" i="17" s="1"/>
  <c r="D154" i="17"/>
  <c r="B89" i="17"/>
  <c r="B220" i="17" s="1"/>
  <c r="B90" i="17"/>
  <c r="B221" i="17" s="1"/>
  <c r="B135" i="17"/>
  <c r="B146" i="17" s="1"/>
  <c r="Q28" i="16"/>
  <c r="N28" i="16" s="1"/>
  <c r="K67" i="1"/>
  <c r="D80" i="1" s="1"/>
  <c r="C80" i="1"/>
  <c r="R28" i="16"/>
  <c r="O28" i="16" s="1"/>
  <c r="P28" i="16"/>
  <c r="M28" i="16" s="1"/>
  <c r="A182" i="4"/>
  <c r="C181" i="4"/>
  <c r="B181" i="4"/>
  <c r="I88" i="1"/>
  <c r="J88" i="1" s="1"/>
  <c r="H50" i="1"/>
  <c r="K51" i="1" s="1"/>
  <c r="H88" i="1"/>
  <c r="I15" i="1"/>
  <c r="J15" i="1" s="1"/>
  <c r="I14" i="1"/>
  <c r="J14" i="1" s="1"/>
  <c r="I16" i="1"/>
  <c r="J16" i="1" s="1"/>
  <c r="I17" i="1"/>
  <c r="J17" i="1" s="1"/>
  <c r="I18" i="1"/>
  <c r="J18" i="1" s="1"/>
  <c r="I22" i="1"/>
  <c r="J22" i="1" s="1"/>
  <c r="I19" i="1"/>
  <c r="J19" i="1" s="1"/>
  <c r="I20" i="1"/>
  <c r="J20" i="1" s="1"/>
  <c r="I21" i="1"/>
  <c r="J21" i="1" s="1"/>
  <c r="E222" i="17" l="1"/>
  <c r="E223" i="17" s="1"/>
  <c r="E226" i="17" s="1"/>
  <c r="E154" i="17"/>
  <c r="T17" i="1"/>
  <c r="B222" i="17"/>
  <c r="B91" i="17"/>
  <c r="B139" i="17"/>
  <c r="B150" i="17" s="1"/>
  <c r="B136" i="17"/>
  <c r="B147" i="17" s="1"/>
  <c r="T18" i="1"/>
  <c r="U18" i="1" s="1"/>
  <c r="V18" i="1" s="1"/>
  <c r="U17" i="1"/>
  <c r="V17" i="1" s="1"/>
  <c r="A183" i="4"/>
  <c r="C182" i="4"/>
  <c r="B182" i="4"/>
  <c r="H58" i="1"/>
  <c r="T58" i="1"/>
  <c r="U50" i="1"/>
  <c r="V50" i="1" s="1"/>
  <c r="I50" i="1"/>
  <c r="D61" i="1" s="1"/>
  <c r="K50" i="1" s="1"/>
  <c r="H89" i="1"/>
  <c r="H90" i="1" s="1"/>
  <c r="H91" i="1" s="1"/>
  <c r="H92" i="1" s="1"/>
  <c r="H93" i="1" s="1"/>
  <c r="H94" i="1" s="1"/>
  <c r="H95" i="1" s="1"/>
  <c r="H96" i="1" s="1"/>
  <c r="H97" i="1"/>
  <c r="B223" i="17" l="1"/>
  <c r="B226" i="17" s="1"/>
  <c r="B137" i="17"/>
  <c r="B148" i="17" s="1"/>
  <c r="A184" i="4"/>
  <c r="B183" i="4"/>
  <c r="C183" i="4"/>
  <c r="H51" i="1"/>
  <c r="K52" i="1" s="1"/>
  <c r="K58" i="1"/>
  <c r="K59" i="1" s="1"/>
  <c r="J50" i="1"/>
  <c r="T19" i="1"/>
  <c r="U19" i="1" s="1"/>
  <c r="V19" i="1" s="1"/>
  <c r="U58" i="1"/>
  <c r="V58" i="1" s="1"/>
  <c r="T51" i="1"/>
  <c r="U51" i="1" s="1"/>
  <c r="V51" i="1" s="1"/>
  <c r="T59" i="1"/>
  <c r="U59" i="1" s="1"/>
  <c r="V59" i="1" s="1"/>
  <c r="H59" i="1"/>
  <c r="I59" i="1" s="1"/>
  <c r="J59" i="1" s="1"/>
  <c r="I58" i="1"/>
  <c r="J58" i="1" s="1"/>
  <c r="I96" i="1"/>
  <c r="J96" i="1" s="1"/>
  <c r="H98" i="1"/>
  <c r="I89" i="1"/>
  <c r="J89" i="1" s="1"/>
  <c r="I94" i="1"/>
  <c r="J94" i="1" s="1"/>
  <c r="I90" i="1"/>
  <c r="J90" i="1" s="1"/>
  <c r="I91" i="1"/>
  <c r="J91" i="1" s="1"/>
  <c r="I92" i="1"/>
  <c r="J92" i="1" s="1"/>
  <c r="I93" i="1"/>
  <c r="J93" i="1" s="1"/>
  <c r="I95" i="1"/>
  <c r="J95" i="1" s="1"/>
  <c r="B138" i="17" l="1"/>
  <c r="B149" i="17" s="1"/>
  <c r="I65" i="1"/>
  <c r="I68" i="1" s="1"/>
  <c r="A185" i="4"/>
  <c r="B184" i="4"/>
  <c r="C184" i="4"/>
  <c r="T52" i="1"/>
  <c r="U52" i="1" s="1"/>
  <c r="V52" i="1" s="1"/>
  <c r="L58" i="1"/>
  <c r="T20" i="1"/>
  <c r="U20" i="1" s="1"/>
  <c r="V20" i="1" s="1"/>
  <c r="H52" i="1"/>
  <c r="K53" i="1" s="1"/>
  <c r="I51" i="1"/>
  <c r="B151" i="17" l="1"/>
  <c r="B153" i="17" s="1"/>
  <c r="B152" i="17"/>
  <c r="C78" i="1"/>
  <c r="A186" i="4"/>
  <c r="B185" i="4"/>
  <c r="C185" i="4"/>
  <c r="T53" i="1"/>
  <c r="T54" i="1" s="1"/>
  <c r="U54" i="1" s="1"/>
  <c r="V54" i="1" s="1"/>
  <c r="J51" i="1"/>
  <c r="L52" i="1"/>
  <c r="T21" i="1"/>
  <c r="U21" i="1" s="1"/>
  <c r="V21" i="1" s="1"/>
  <c r="H53" i="1"/>
  <c r="K54" i="1" s="1"/>
  <c r="I52" i="1"/>
  <c r="B154" i="17" l="1"/>
  <c r="A187" i="4"/>
  <c r="B187" i="4" s="1"/>
  <c r="B186" i="4"/>
  <c r="C186" i="4"/>
  <c r="T55" i="1"/>
  <c r="T56" i="1" s="1"/>
  <c r="U53" i="1"/>
  <c r="V53" i="1" s="1"/>
  <c r="J52" i="1"/>
  <c r="L53" i="1"/>
  <c r="H54" i="1"/>
  <c r="K55" i="1" s="1"/>
  <c r="I53" i="1"/>
  <c r="U55" i="1" l="1"/>
  <c r="V55" i="1" s="1"/>
  <c r="J53" i="1"/>
  <c r="L54" i="1"/>
  <c r="U56" i="1"/>
  <c r="V56" i="1" s="1"/>
  <c r="T57" i="1"/>
  <c r="U57" i="1" s="1"/>
  <c r="V57" i="1" s="1"/>
  <c r="H55" i="1"/>
  <c r="K56" i="1" s="1"/>
  <c r="I54" i="1"/>
  <c r="J54" i="1" l="1"/>
  <c r="L55" i="1"/>
  <c r="H56" i="1"/>
  <c r="I55" i="1"/>
  <c r="H57" i="1" l="1"/>
  <c r="K57" i="1"/>
  <c r="J55" i="1"/>
  <c r="L56" i="1"/>
  <c r="I56" i="1"/>
  <c r="J56" i="1" l="1"/>
  <c r="L57" i="1"/>
  <c r="I57" i="1"/>
  <c r="J57" i="1" s="1"/>
  <c r="K65" i="1"/>
  <c r="I66" i="1"/>
  <c r="C81" i="1"/>
  <c r="K68" i="1" l="1"/>
  <c r="D78" i="1"/>
  <c r="K66" i="1"/>
  <c r="D79" i="1" s="1"/>
  <c r="C79" i="1"/>
  <c r="L60" i="1" l="1"/>
  <c r="D81" i="1"/>
  <c r="D196" i="4" l="1"/>
  <c r="C196" i="4"/>
  <c r="C197" i="4"/>
  <c r="D197" i="4" l="1"/>
  <c r="C198" i="4" l="1"/>
  <c r="D198" i="4"/>
  <c r="D199" i="4" l="1"/>
  <c r="C199" i="4"/>
  <c r="C200" i="4" l="1"/>
  <c r="D200" i="4"/>
  <c r="D201" i="4" l="1"/>
  <c r="C201" i="4"/>
  <c r="D202" i="4" l="1"/>
  <c r="C202" i="4"/>
  <c r="D203" i="4" l="1"/>
  <c r="C203" i="4"/>
  <c r="D204" i="4" l="1"/>
  <c r="C204" i="4"/>
  <c r="C205" i="4" l="1"/>
  <c r="D205" i="4"/>
  <c r="N47" i="16"/>
  <c r="N48" i="16"/>
  <c r="N50" i="16" l="1"/>
  <c r="N53" i="16" s="1"/>
  <c r="L53" i="16" l="1"/>
  <c r="N55" i="16"/>
  <c r="L55" i="16" s="1"/>
</calcChain>
</file>

<file path=xl/comments1.xml><?xml version="1.0" encoding="utf-8"?>
<comments xmlns="http://schemas.openxmlformats.org/spreadsheetml/2006/main">
  <authors>
    <author>Archimedean2345</author>
  </authors>
  <commentList>
    <comment ref="F227" authorId="0" shapeId="0">
      <text>
        <r>
          <rPr>
            <b/>
            <sz val="9"/>
            <color indexed="81"/>
            <rFont val="Tahoma"/>
            <family val="2"/>
          </rPr>
          <t>Archimedean2345:</t>
        </r>
        <r>
          <rPr>
            <sz val="9"/>
            <color indexed="81"/>
            <rFont val="Tahoma"/>
            <family val="2"/>
          </rPr>
          <t xml:space="preserve">
Es el inverso de la ecuacacion no. 1.</t>
        </r>
      </text>
    </comment>
  </commentList>
</comments>
</file>

<file path=xl/comments2.xml><?xml version="1.0" encoding="utf-8"?>
<comments xmlns="http://schemas.openxmlformats.org/spreadsheetml/2006/main">
  <authors>
    <author>Juan Leonardo Valadez Ortiz</author>
  </authors>
  <commentList>
    <comment ref="A12" authorId="0" shapeId="0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Slimness "delgadez" que tan delgado es el cohete en relación a su largo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F=ma</t>
        </r>
      </text>
    </comment>
  </commentList>
</comments>
</file>

<file path=xl/comments3.xml><?xml version="1.0" encoding="utf-8"?>
<comments xmlns="http://schemas.openxmlformats.org/spreadsheetml/2006/main">
  <authors>
    <author>Archimedean2345</author>
    <author>Juan Leonardo Valadez Ortiz</author>
  </authors>
  <commentList>
    <comment ref="T22" authorId="0" shapeId="0">
      <text>
        <r>
          <rPr>
            <b/>
            <sz val="9"/>
            <color indexed="81"/>
            <rFont val="Tahoma"/>
            <family val="2"/>
          </rPr>
          <t>Archimedean2345:</t>
        </r>
        <r>
          <rPr>
            <sz val="9"/>
            <color indexed="81"/>
            <rFont val="Tahoma"/>
            <family val="2"/>
          </rPr>
          <t xml:space="preserve">
Ixx= Σm(y^2 + z^2)
Iyy= Σm(x^2 + z^2)
Izz= Σm(x^2 + y^2)
Ixy= Iyx= Σmxy
Ixz= Izx= Σmxz
Iyz= Izy= Σmyz</t>
        </r>
      </text>
    </comment>
    <comment ref="K35" authorId="1" shapeId="0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Multiplicar por 2.54 para usar pulgadas</t>
        </r>
      </text>
    </comment>
  </commentList>
</comments>
</file>

<file path=xl/comments4.xml><?xml version="1.0" encoding="utf-8"?>
<comments xmlns="http://schemas.openxmlformats.org/spreadsheetml/2006/main">
  <authors>
    <author>Leonardo Valadez Ortiz</author>
    <author>Juan Leonardo Valadez Ortiz</author>
  </authors>
  <commentList>
    <comment ref="B43" authorId="0" shapeId="0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If Matrix yield strenght is less than Fiber Strength tu, strain= Matrix strain tu</t>
        </r>
      </text>
    </comment>
    <comment ref="G88" authorId="1" shapeId="0">
      <text>
        <r>
          <rPr>
            <b/>
            <sz val="9"/>
            <color indexed="81"/>
            <rFont val="Tahoma"/>
            <charset val="1"/>
          </rPr>
          <t>Juan Leonardo Valadez Ortiz:</t>
        </r>
        <r>
          <rPr>
            <sz val="9"/>
            <color indexed="81"/>
            <rFont val="Tahoma"/>
            <charset val="1"/>
          </rPr>
          <t xml:space="preserve">
Datum is from nose-tip</t>
        </r>
      </text>
    </comment>
    <comment ref="B239" authorId="1" shapeId="0">
      <text>
        <r>
          <rPr>
            <b/>
            <sz val="9"/>
            <color indexed="81"/>
            <rFont val="Tahoma"/>
            <family val="2"/>
          </rPr>
          <t>Juan Leonardo Valadez Ortiz:</t>
        </r>
        <r>
          <rPr>
            <sz val="9"/>
            <color indexed="81"/>
            <rFont val="Tahoma"/>
            <family val="2"/>
          </rPr>
          <t xml:space="preserve">
Nowadays NMS is more used (nominal pipe size) than IPS (iron pipe size, as measuring internal flow was important before)</t>
        </r>
      </text>
    </comment>
  </commentList>
</comments>
</file>

<file path=xl/comments5.xml><?xml version="1.0" encoding="utf-8"?>
<comments xmlns="http://schemas.openxmlformats.org/spreadsheetml/2006/main">
  <authors>
    <author>Leonardo Valadez Ortiz</author>
  </authors>
  <commentList>
    <comment ref="A171" authorId="0" shapeId="0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Reynolds &gt; viscosity
Mach &gt; compressibility</t>
        </r>
      </text>
    </comment>
  </commentList>
</comments>
</file>

<file path=xl/comments6.xml><?xml version="1.0" encoding="utf-8"?>
<comments xmlns="http://schemas.openxmlformats.org/spreadsheetml/2006/main">
  <authors>
    <author>Leonardo Valadez Ortiz</author>
  </authors>
  <commentList>
    <comment ref="A176" authorId="0" shapeId="0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Reynolds &gt; viscosity
Mach &gt; compressibility</t>
        </r>
      </text>
    </comment>
    <comment ref="A544" authorId="0" shapeId="0">
      <text>
        <r>
          <rPr>
            <b/>
            <sz val="9"/>
            <color indexed="81"/>
            <rFont val="Tahoma"/>
            <family val="2"/>
          </rPr>
          <t>Leonardo Valadez Ortiz:</t>
        </r>
        <r>
          <rPr>
            <sz val="9"/>
            <color indexed="81"/>
            <rFont val="Tahoma"/>
            <family val="2"/>
          </rPr>
          <t xml:space="preserve">
the reference length is measured from nose-tip to fins LE chord root</t>
        </r>
      </text>
    </comment>
  </commentList>
</comments>
</file>

<file path=xl/sharedStrings.xml><?xml version="1.0" encoding="utf-8"?>
<sst xmlns="http://schemas.openxmlformats.org/spreadsheetml/2006/main" count="1543" uniqueCount="980">
  <si>
    <t>Overview</t>
  </si>
  <si>
    <t>Nomenclature</t>
  </si>
  <si>
    <t>α(alpha)= Angle of attack (radians or degrees)</t>
  </si>
  <si>
    <t>β(beta)= subsonic or supersonic similarity parameter</t>
  </si>
  <si>
    <t>𝛿∗(delta) = (displacement) thickness of the boundary layer (m)</t>
  </si>
  <si>
    <t>θ= Pitch angle (radians)</t>
  </si>
  <si>
    <t>θdot= Pitch rate (radians/second). The dot is Newton’s notation for time rate of change.</t>
  </si>
  <si>
    <t>Φ= Climb angle (also known as flight path angle or trajectory angle), (radians)</t>
  </si>
  <si>
    <t>ρ = Atmospheric density (kg/m3)</t>
  </si>
  <si>
    <t>A = Acceleration (m/sec2)</t>
  </si>
  <si>
    <t>C_A= axial force coefficient (dimensionless)</t>
  </si>
  <si>
    <t>C_C centroid of planform area coefficient (2Xp / L)</t>
  </si>
  <si>
    <t>C_D = Drag coefficient (dimensionless)</t>
  </si>
  <si>
    <t>C_F = mean skin-friction coefficient (dimensionless)</t>
  </si>
  <si>
    <t>C_H = damping moment (dimensionless)</t>
  </si>
  <si>
    <t>C_L = Lift coefficient (dimensionless)</t>
  </si>
  <si>
    <t>C_M = (pitching) moment coefficient (dimensionless)</t>
  </si>
  <si>
    <t>C_Malpha = gradient of the pitching moment coefficient curve</t>
  </si>
  <si>
    <t>C_N= Normal force coefficient (dimensionless)</t>
  </si>
  <si>
    <t>C_Nalpha=Gradient of Normal force coefficient per radian angle of attack (1/radian)</t>
  </si>
  <si>
    <t>C_NC= lift contribution from the ‘cross flow’ around the circumference</t>
  </si>
  <si>
    <t>C_P =planform area coefficient (Sp/dL), or alternatively, = pressure coefficient</t>
  </si>
  <si>
    <t>C_R = root chord length (m)</t>
  </si>
  <si>
    <t>C_T = tip chord length (m)</t>
  </si>
  <si>
    <t>d = Diameter of (thickest part of) the fuselage (m)</t>
  </si>
  <si>
    <t>d_R = boat-tail smaller diameter (m)</t>
  </si>
  <si>
    <t>I = moment of inertia (kgm2)</t>
  </si>
  <si>
    <t>L = overall length of the vehicle (m)</t>
  </si>
  <si>
    <t>L_C = length of cylindrical portion of forebody (m)</t>
  </si>
  <si>
    <t>L_F = length of fin midchord (m)</t>
  </si>
  <si>
    <t>L_N = length of the nosecone (m)</t>
  </si>
  <si>
    <t>L_T = boat-tail length (m)</t>
  </si>
  <si>
    <t>m = mass (kg)</t>
  </si>
  <si>
    <t>M = moment (Nm)</t>
  </si>
  <si>
    <t>N = normal force (N)</t>
  </si>
  <si>
    <t>n = number of fins (3 or 4)</t>
  </si>
  <si>
    <t>q = dynamic pressure (Nm2)</t>
  </si>
  <si>
    <t>r = fuselage radius (m)</t>
  </si>
  <si>
    <t>S = Cross-sectional area of (thickest part of) the fuselage (m2)</t>
  </si>
  <si>
    <t>s = fin semi-span (root chord to tip chord) or net semi span (m)</t>
  </si>
  <si>
    <t>S_p = planform area (m2)</t>
  </si>
  <si>
    <t>V = Velocity (m/sec)</t>
  </si>
  <si>
    <t>X = centre of pressure position (m)</t>
  </si>
  <si>
    <t>X_p = centroid of planform area (m)</t>
  </si>
  <si>
    <t>Titulo:</t>
  </si>
  <si>
    <t>"Numeroc critico de Mach"</t>
  </si>
  <si>
    <t>RPT</t>
  </si>
  <si>
    <t>RPT 1.1</t>
  </si>
  <si>
    <t>Pagina:</t>
  </si>
  <si>
    <t>de</t>
  </si>
  <si>
    <t>Realizo:</t>
  </si>
  <si>
    <t xml:space="preserve">Leonardo Valadez </t>
  </si>
  <si>
    <t>Edito:</t>
  </si>
  <si>
    <t>Creación:</t>
  </si>
  <si>
    <t>30 dic 2024</t>
  </si>
  <si>
    <t>Edición:</t>
  </si>
  <si>
    <t>Referencias:</t>
  </si>
  <si>
    <t>(Fundamentals of Aerodynamics pp. 755)</t>
  </si>
  <si>
    <t>Objetivo: entender el transfondo teorico del numero critico de Mach y como afecta en el comprotamiento de</t>
  </si>
  <si>
    <t>vehiculo en movimiento</t>
  </si>
  <si>
    <r>
      <t xml:space="preserve">El flujo </t>
    </r>
    <r>
      <rPr>
        <i/>
        <sz val="10"/>
        <color theme="1"/>
        <rFont val="Time"/>
      </rPr>
      <t>transonico</t>
    </r>
    <r>
      <rPr>
        <sz val="10"/>
        <color theme="1"/>
        <rFont val="Time"/>
      </rPr>
      <t xml:space="preserve"> es aquel que sucede entre 0.8 &lt; Mach &lt; 1.2 donde el flujo libre a pesar de no encontrarse como sonico</t>
    </r>
  </si>
  <si>
    <t>puede ocasionar ondas de choque</t>
  </si>
  <si>
    <t>Consideremos un perfil alar en un flujo a baja velocidad, M= 0.3.</t>
  </si>
  <si>
    <t>La particula de aire al pasar por la zona superior, el numero M local</t>
  </si>
  <si>
    <r>
      <t xml:space="preserve">aumenta. En el punto </t>
    </r>
    <r>
      <rPr>
        <i/>
        <sz val="10"/>
        <color theme="1"/>
        <rFont val="Time"/>
      </rPr>
      <t>A</t>
    </r>
    <r>
      <rPr>
        <sz val="10"/>
        <color theme="1"/>
        <rFont val="Time"/>
      </rPr>
      <t xml:space="preserve"> suponiendo un numero de 0.435 ira</t>
    </r>
  </si>
  <si>
    <t>aumentando conforme el numero de Mach del flujo aumente, hasta</t>
  </si>
  <si>
    <t>llegar al numero de Mach critico, en este ejemplo siendo M=0.61.</t>
  </si>
  <si>
    <t>La siguiente grafica muesta la comparativa en donde los coeficientes</t>
  </si>
  <si>
    <t>de presion que sean calculados a lo largo de la superficie del perfil,</t>
  </si>
  <si>
    <t>al ser graficados y comparados contra los coeficientes debido al mach</t>
  </si>
  <si>
    <t>critico, hay un punto en donde intersectan, siendo este el Mcritico.</t>
  </si>
  <si>
    <r>
      <t xml:space="preserve">Para el coeficiente de presion, </t>
    </r>
    <r>
      <rPr>
        <i/>
        <sz val="10"/>
        <color theme="1"/>
        <rFont val="Time"/>
      </rPr>
      <t>Cp0</t>
    </r>
    <r>
      <rPr>
        <sz val="10"/>
        <color theme="1"/>
        <rFont val="Time"/>
      </rPr>
      <t xml:space="preserve"> se puede estimar mediante CFD o analisis de flujo potencial.</t>
    </r>
  </si>
  <si>
    <t>De Karman-Tsien, la correcion para el Cp0 en fluido compresible:</t>
  </si>
  <si>
    <t>Para la obtencion del numero de Mach critico:</t>
  </si>
  <si>
    <t>"Numero critico de Mach"</t>
  </si>
  <si>
    <t>23-dic-2024</t>
  </si>
  <si>
    <t>Tabulacion de numero critico de Mach para 0.5 &lt; M &lt; 1.5</t>
  </si>
  <si>
    <t>Cp0,minP</t>
  </si>
  <si>
    <t>Mach</t>
  </si>
  <si>
    <t>Cp,cr</t>
  </si>
  <si>
    <t>Cp</t>
  </si>
  <si>
    <t>For a flat plate we can assume thin airfoil theory were the upper surface experience higher velocity V&gt;Vstream</t>
  </si>
  <si>
    <t>and the lower surface experience a lower velocity V&lt;Vstream, for a 1 meter chord length flat pate, at V=100 m/s at different</t>
  </si>
  <si>
    <t>AoA we have this distribution</t>
  </si>
  <si>
    <t>AoA</t>
  </si>
  <si>
    <t>c location</t>
  </si>
  <si>
    <t>Cp upper</t>
  </si>
  <si>
    <t>Cp lower</t>
  </si>
  <si>
    <t xml:space="preserve"> </t>
  </si>
  <si>
    <t>"Fluido compresible"</t>
  </si>
  <si>
    <t>Objetivo: demostrar la importancia de la inclusion en la hoja de datos la variabilidad de parametros</t>
  </si>
  <si>
    <t xml:space="preserve"> termodinamicos como la densidad a regimenes transonicos, subsonicos y supersonicos.</t>
  </si>
  <si>
    <t xml:space="preserve">Partiendo de que un fluido en reposo cuenta con cierta densidad, a nivel del mar podemos establecer una </t>
  </si>
  <si>
    <t xml:space="preserve">densidad de  1.225 kg/m^3. Si aceleramos este fluido por algun dispositivo como una tobera aceleradora </t>
  </si>
  <si>
    <t>a cierta Velocidad (V)  y cierto numero de Mach (M) la densidad cambiara de acuerdo a la siguiente ecuación.</t>
  </si>
  <si>
    <t>Eq. 1</t>
  </si>
  <si>
    <t>Donde si graficamos los resultados observaremos</t>
  </si>
  <si>
    <t>que hay un cambio mas drastico a partir de 0.3 Mach.</t>
  </si>
  <si>
    <t>M</t>
  </si>
  <si>
    <t>ρ/ρ0</t>
  </si>
  <si>
    <t>Error %</t>
  </si>
  <si>
    <t xml:space="preserve">Un eror de mas del 5% ya no es </t>
  </si>
  <si>
    <t xml:space="preserve">permisible  para un analisis donde la </t>
  </si>
  <si>
    <t>magnitud de la densidad es importante.</t>
  </si>
  <si>
    <t xml:space="preserve">Reforzando mas la importancia de este </t>
  </si>
  <si>
    <t xml:space="preserve">concepto, un analisis para un fluido </t>
  </si>
  <si>
    <t>incompresible realmente es un mito.</t>
  </si>
  <si>
    <t>A partir de los siguientes dos metodos</t>
  </si>
  <si>
    <t>de analisis reforzaremos este concepto.</t>
  </si>
  <si>
    <t>Eq de Bernoullis</t>
  </si>
  <si>
    <t xml:space="preserve">Para una P0 atmosferica de 101,325 Pa, velocidadades de 80 m/s y 300 m/s y </t>
  </si>
  <si>
    <t xml:space="preserve">una temperatura a nivel del mar estandar de 15 grados celisus (288.15K) </t>
  </si>
  <si>
    <t>determinaremos la varianza a dos velocidades distintas.</t>
  </si>
  <si>
    <t>Analisis con Bernoulli</t>
  </si>
  <si>
    <t>Analisis de fluido</t>
  </si>
  <si>
    <t>Velocidad</t>
  </si>
  <si>
    <t>m/s</t>
  </si>
  <si>
    <t>compresible</t>
  </si>
  <si>
    <t>Temperatura</t>
  </si>
  <si>
    <t>K</t>
  </si>
  <si>
    <t>Presion</t>
  </si>
  <si>
    <t>Pa</t>
  </si>
  <si>
    <t>Ecuacion de energia</t>
  </si>
  <si>
    <t>Analisis con fluido compresible</t>
  </si>
  <si>
    <t xml:space="preserve">para punto de </t>
  </si>
  <si>
    <t>estancamiento</t>
  </si>
  <si>
    <t>% desviacion</t>
  </si>
  <si>
    <t>El error es tan grande cuando tus velocidades ya son cercanas o superiores a la velocidad del</t>
  </si>
  <si>
    <t>sonido, para una velocidad del sonido al nivel del mar de 330 m/s tenemos que</t>
  </si>
  <si>
    <t>V1</t>
  </si>
  <si>
    <t>80 m/s</t>
  </si>
  <si>
    <t>V2</t>
  </si>
  <si>
    <t>300 m/s</t>
  </si>
  <si>
    <t>"CFD en flujo compresible"</t>
  </si>
  <si>
    <t>RPT 2</t>
  </si>
  <si>
    <t>Chapter 4: Modeling External Compressible Flow</t>
  </si>
  <si>
    <t>https://innovationspace.ansys.com/product/aerodynamics-of-a-rocket-using-ansys-fluent/</t>
  </si>
  <si>
    <t xml:space="preserve">Objetivo: utilizar la herramienta ANSYS Fluent para analisis de fluido compresible en regimen </t>
  </si>
  <si>
    <t>subsonico-transonico para evaluar geometrias del cohete.</t>
  </si>
  <si>
    <t xml:space="preserve">Nombre de conete </t>
  </si>
  <si>
    <t>Sherpa</t>
  </si>
  <si>
    <t>AgniAstra</t>
  </si>
  <si>
    <t>Anduril‑1</t>
  </si>
  <si>
    <t>Xenia‑2</t>
  </si>
  <si>
    <t>MVP‑1</t>
  </si>
  <si>
    <t>Lakshya</t>
  </si>
  <si>
    <t>AR‑1 with LAYANG‑1</t>
  </si>
  <si>
    <t>H‑7</t>
  </si>
  <si>
    <t>MMR‑06</t>
  </si>
  <si>
    <t>RH‑75</t>
  </si>
  <si>
    <t>Promedio</t>
  </si>
  <si>
    <t xml:space="preserve">Moda </t>
  </si>
  <si>
    <t>Mediana</t>
  </si>
  <si>
    <t>Desviacion 1</t>
  </si>
  <si>
    <t>Desviacion 2</t>
  </si>
  <si>
    <t>Desviacion 3</t>
  </si>
  <si>
    <t>Desviacion 4</t>
  </si>
  <si>
    <t>Desviacion 5</t>
  </si>
  <si>
    <t>Desviacion 6</t>
  </si>
  <si>
    <t>Desviacion 7</t>
  </si>
  <si>
    <t>Desviacion 8</t>
  </si>
  <si>
    <t>Desviacion 9</t>
  </si>
  <si>
    <t>Desviacion 10</t>
  </si>
  <si>
    <t>Minimo</t>
  </si>
  <si>
    <t>Maximo</t>
  </si>
  <si>
    <t>Diferencia</t>
  </si>
  <si>
    <t>Largo (m)</t>
  </si>
  <si>
    <t>Masa En seco (kg)</t>
  </si>
  <si>
    <t>Masa Total (kg)</t>
  </si>
  <si>
    <t>Masa Carga Util (kg)</t>
  </si>
  <si>
    <t>Impulso Total (Ns)</t>
  </si>
  <si>
    <t>Empuje Maximo (N)</t>
  </si>
  <si>
    <t>Aceleracion Maxima (m/s)</t>
  </si>
  <si>
    <t>22.73 G</t>
  </si>
  <si>
    <t>Velocidad Maxima  (m/s)</t>
  </si>
  <si>
    <t>Diametro (cm)</t>
  </si>
  <si>
    <t>L/D</t>
  </si>
  <si>
    <t>Isp (sec)</t>
  </si>
  <si>
    <t>Acc max. (m/s2)</t>
  </si>
  <si>
    <t>Gs flight</t>
  </si>
  <si>
    <t>T/W take off</t>
  </si>
  <si>
    <t>Preguntas</t>
  </si>
  <si>
    <t>Overall dimensions of rocket</t>
  </si>
  <si>
    <t>Geometry determination of components</t>
  </si>
  <si>
    <t>Type</t>
  </si>
  <si>
    <t>Conical</t>
  </si>
  <si>
    <t>X</t>
  </si>
  <si>
    <t>Y</t>
  </si>
  <si>
    <t>Y(-)</t>
  </si>
  <si>
    <t>Ogive</t>
  </si>
  <si>
    <t>Nosecone</t>
  </si>
  <si>
    <t>Geometry description</t>
  </si>
  <si>
    <t>R</t>
  </si>
  <si>
    <t>Eq for curvature</t>
  </si>
  <si>
    <t>-</t>
  </si>
  <si>
    <t>Diameter</t>
  </si>
  <si>
    <t>cm</t>
  </si>
  <si>
    <t>m</t>
  </si>
  <si>
    <t>Large</t>
  </si>
  <si>
    <t>Comments</t>
  </si>
  <si>
    <t>Nosecone type conical, easy to manufacture and design. High drag and less heat transfer.</t>
  </si>
  <si>
    <t>References</t>
  </si>
  <si>
    <t>Solidworks Tutorial - Equation Driven Curve - YouTube</t>
  </si>
  <si>
    <t>Rocket tube</t>
  </si>
  <si>
    <t>Transition diameter</t>
  </si>
  <si>
    <t>Length</t>
  </si>
  <si>
    <t>Fuselage tube for intern components</t>
  </si>
  <si>
    <t>AERO mark</t>
  </si>
  <si>
    <t>Sweeped</t>
  </si>
  <si>
    <t>Y(LE)</t>
  </si>
  <si>
    <t>Y(LE-)</t>
  </si>
  <si>
    <t>X_aero</t>
  </si>
  <si>
    <t>Tapered 1/4 chord</t>
  </si>
  <si>
    <t>Y(-LE)</t>
  </si>
  <si>
    <t>Fins</t>
  </si>
  <si>
    <t>slope</t>
  </si>
  <si>
    <t>LE sweep</t>
  </si>
  <si>
    <t>deg</t>
  </si>
  <si>
    <t>Aero-geometry corrected</t>
  </si>
  <si>
    <t>AR</t>
  </si>
  <si>
    <t>Transition</t>
  </si>
  <si>
    <t>B1</t>
  </si>
  <si>
    <t>Cross-sec A (per fin)</t>
  </si>
  <si>
    <t>m^2</t>
  </si>
  <si>
    <t>Fyn type</t>
  </si>
  <si>
    <t>Trapezoidal</t>
  </si>
  <si>
    <t>Thickness</t>
  </si>
  <si>
    <t>mm</t>
  </si>
  <si>
    <t>Enlarging (per fin)</t>
  </si>
  <si>
    <t>Ct</t>
  </si>
  <si>
    <t>Cr</t>
  </si>
  <si>
    <t>Taper ratio</t>
  </si>
  <si>
    <t>Semi-wing</t>
  </si>
  <si>
    <t>Span</t>
  </si>
  <si>
    <t>Location</t>
  </si>
  <si>
    <t>Total surface reference</t>
  </si>
  <si>
    <t>cm^2</t>
  </si>
  <si>
    <t>Sweeped fins easy to manufacture</t>
  </si>
  <si>
    <t>Tapered fins are efficient but complicated to manufacture. Efficient at low speeds</t>
  </si>
  <si>
    <t>DATA</t>
  </si>
  <si>
    <t>Fin type</t>
  </si>
  <si>
    <t>Tapered 1/4</t>
  </si>
  <si>
    <t>Tapered sweeped</t>
  </si>
  <si>
    <t>Column4</t>
  </si>
  <si>
    <t>Column5</t>
  </si>
  <si>
    <t>Surface area</t>
  </si>
  <si>
    <t>Boat-tail</t>
  </si>
  <si>
    <t>Diameter transition</t>
  </si>
  <si>
    <t>Diameter to rocket</t>
  </si>
  <si>
    <t>Boat-tail according to literature reduce tail drag in burnout condition</t>
  </si>
  <si>
    <t>Center of gravity location from datum</t>
  </si>
  <si>
    <t xml:space="preserve">                    </t>
  </si>
  <si>
    <t>Inertia tensor</t>
  </si>
  <si>
    <t>Mass (gr)</t>
  </si>
  <si>
    <t>x</t>
  </si>
  <si>
    <t>y</t>
  </si>
  <si>
    <t>z</t>
  </si>
  <si>
    <t>Mx</t>
  </si>
  <si>
    <t>My</t>
  </si>
  <si>
    <t>Mz</t>
  </si>
  <si>
    <t>meters</t>
  </si>
  <si>
    <t>Mass (kg)</t>
  </si>
  <si>
    <t>Nose cone</t>
  </si>
  <si>
    <t>Fuselage</t>
  </si>
  <si>
    <t>Fin 1 xy</t>
  </si>
  <si>
    <t>Fin 2 xy</t>
  </si>
  <si>
    <t>Fin 3 xz</t>
  </si>
  <si>
    <t>Fin 4 xz</t>
  </si>
  <si>
    <t>Equations</t>
  </si>
  <si>
    <t>Boat tail</t>
  </si>
  <si>
    <t>Avionics</t>
  </si>
  <si>
    <t>Ixx</t>
  </si>
  <si>
    <t>Iyx</t>
  </si>
  <si>
    <t>Ixz</t>
  </si>
  <si>
    <t>Recovery</t>
  </si>
  <si>
    <t>Ixy</t>
  </si>
  <si>
    <t>Iyy</t>
  </si>
  <si>
    <t>Iyz</t>
  </si>
  <si>
    <t>PS</t>
  </si>
  <si>
    <t>Motor</t>
  </si>
  <si>
    <t>Izx</t>
  </si>
  <si>
    <t>Izz</t>
  </si>
  <si>
    <t>Payload</t>
  </si>
  <si>
    <t>Overall CG</t>
  </si>
  <si>
    <t>Overall assembly from CAD</t>
  </si>
  <si>
    <t>Avionics - components</t>
  </si>
  <si>
    <t>Flight comp</t>
  </si>
  <si>
    <t>Parametros</t>
  </si>
  <si>
    <t>Unidades</t>
  </si>
  <si>
    <t>Fibra seleccionada</t>
  </si>
  <si>
    <t>Unidad</t>
  </si>
  <si>
    <t>Sensor 1</t>
  </si>
  <si>
    <t>Dext</t>
  </si>
  <si>
    <t>Densidad</t>
  </si>
  <si>
    <t>kg/m^3</t>
  </si>
  <si>
    <t>Sensor 2</t>
  </si>
  <si>
    <t>Dint</t>
  </si>
  <si>
    <t>Vf</t>
  </si>
  <si>
    <t>%</t>
  </si>
  <si>
    <t>Sensor 3</t>
  </si>
  <si>
    <t>PCB &amp; cables</t>
  </si>
  <si>
    <t>thickness</t>
  </si>
  <si>
    <t>Matriz seleccionada</t>
  </si>
  <si>
    <t>Transceiver</t>
  </si>
  <si>
    <t>Antena</t>
  </si>
  <si>
    <t>gr/cm3</t>
  </si>
  <si>
    <t>Vm</t>
  </si>
  <si>
    <t>GPS</t>
  </si>
  <si>
    <t>Masa calculada</t>
  </si>
  <si>
    <t>gr</t>
  </si>
  <si>
    <t>kg</t>
  </si>
  <si>
    <t>Center of pressure location from datum</t>
  </si>
  <si>
    <t>Force/
pressure ()</t>
  </si>
  <si>
    <t>Root</t>
  </si>
  <si>
    <t>kg/m3</t>
  </si>
  <si>
    <t>Tip</t>
  </si>
  <si>
    <t>Overall CP</t>
  </si>
  <si>
    <t>Overall assembly CP from CFD</t>
  </si>
  <si>
    <t>CE</t>
  </si>
  <si>
    <t>Comp</t>
  </si>
  <si>
    <t>Shear</t>
  </si>
  <si>
    <t>Bending</t>
  </si>
  <si>
    <t>Forebody (cone + fus.)</t>
  </si>
  <si>
    <t>CG</t>
  </si>
  <si>
    <t>Total</t>
  </si>
  <si>
    <t>Airflow (m/s)</t>
  </si>
  <si>
    <t>U (m/s)</t>
  </si>
  <si>
    <t>V (m/s)</t>
  </si>
  <si>
    <t>W (m/s)</t>
  </si>
  <si>
    <t xml:space="preserve">Mach </t>
  </si>
  <si>
    <t>AoA (deg) symmetric x,z</t>
  </si>
  <si>
    <t>AoS  (deg) slideslip, symmetric x,y</t>
  </si>
  <si>
    <t>AoA (rad)</t>
  </si>
  <si>
    <t>AoS (rad)</t>
  </si>
  <si>
    <t>Altitude (m)</t>
  </si>
  <si>
    <t>Density local (kg/m3)</t>
  </si>
  <si>
    <t>Temperature local (K)</t>
  </si>
  <si>
    <t>Dynamic viscosity  (Pa*s)</t>
  </si>
  <si>
    <t>Kinematic viscosity (m2/s)</t>
  </si>
  <si>
    <t>Gust wind (m/s)</t>
  </si>
  <si>
    <t>Modified AoA (deg)</t>
  </si>
  <si>
    <t>Modified AoS (deg)</t>
  </si>
  <si>
    <t>Modified AoA (rad)</t>
  </si>
  <si>
    <t>Modified AoS (rad)</t>
  </si>
  <si>
    <t>Max-Q (max. Dynamic pressure) Pa</t>
  </si>
  <si>
    <t>Cross-sec area (m^2)</t>
  </si>
  <si>
    <t>Local pressure (Pa)</t>
  </si>
  <si>
    <t>Gust wind U (m/s)</t>
  </si>
  <si>
    <t>Gust wind V (m/s)</t>
  </si>
  <si>
    <t>Gust wind W (m/s)</t>
  </si>
  <si>
    <t>Fin geometry design (per fin)</t>
  </si>
  <si>
    <t>Diameter of rocket (cm)</t>
  </si>
  <si>
    <t xml:space="preserve"> (m)</t>
  </si>
  <si>
    <t>Real chord root (cm)</t>
  </si>
  <si>
    <t>(m)</t>
  </si>
  <si>
    <t>Physical chord root (cm)</t>
  </si>
  <si>
    <t>Chord tip (cm)</t>
  </si>
  <si>
    <t>Thickness (mm)</t>
  </si>
  <si>
    <t>LE sweep (deg)</t>
  </si>
  <si>
    <t>Taper ratio (-)</t>
  </si>
  <si>
    <t>Semi-span (cm)</t>
  </si>
  <si>
    <t>Enlarging (cm) (per fin)</t>
  </si>
  <si>
    <t>Real surface (m2) (per fin)</t>
  </si>
  <si>
    <t>Physical Lifting surface (m2) (per fin)</t>
  </si>
  <si>
    <t>AR (-)</t>
  </si>
  <si>
    <t>Numeric segmentation  for N=10</t>
  </si>
  <si>
    <t>semi-span-separation (m)</t>
  </si>
  <si>
    <t>chord-slope</t>
  </si>
  <si>
    <t>Station (semi-span-location, m)</t>
  </si>
  <si>
    <t>Station (chord, m)</t>
  </si>
  <si>
    <t>Station (local-area, m^2)</t>
  </si>
  <si>
    <t>Aero parameters</t>
  </si>
  <si>
    <t>Aerodynamic corrected slope</t>
  </si>
  <si>
    <t>den</t>
  </si>
  <si>
    <t>num 1</t>
  </si>
  <si>
    <t>num 2</t>
  </si>
  <si>
    <t>Reynolds max TE</t>
  </si>
  <si>
    <t>Reynolds min TE</t>
  </si>
  <si>
    <t>Cl corrected</t>
  </si>
  <si>
    <t>Data points (Lift)</t>
  </si>
  <si>
    <t>CL per fin 3D</t>
  </si>
  <si>
    <t>Data points (CL due AoA, M&lt;0.5)</t>
  </si>
  <si>
    <t>Forebody Near-Zero AoA</t>
  </si>
  <si>
    <t>Lift</t>
  </si>
  <si>
    <t>Mach numb</t>
  </si>
  <si>
    <t>L_n/d</t>
  </si>
  <si>
    <t>cal</t>
  </si>
  <si>
    <t>Forebody Finite AoA</t>
  </si>
  <si>
    <t>For Mach = 0.5</t>
  </si>
  <si>
    <t>C_NC</t>
  </si>
  <si>
    <t>dC_NC</t>
  </si>
  <si>
    <t>avg</t>
  </si>
  <si>
    <t>Only valid for +/- 5 deg</t>
  </si>
  <si>
    <t>Mach number</t>
  </si>
  <si>
    <t>d(C_NC)/da</t>
  </si>
  <si>
    <t>For C_PL</t>
  </si>
  <si>
    <t>planform coefficient</t>
  </si>
  <si>
    <t>L-N</t>
  </si>
  <si>
    <t>length of cone</t>
  </si>
  <si>
    <t>L-M</t>
  </si>
  <si>
    <t>length of circular section between cone and tail</t>
  </si>
  <si>
    <t>L-T</t>
  </si>
  <si>
    <t>length of boat-tail</t>
  </si>
  <si>
    <t>L</t>
  </si>
  <si>
    <t>total length</t>
  </si>
  <si>
    <t>Model for aircraft dynamics</t>
  </si>
  <si>
    <t>Total der.</t>
  </si>
  <si>
    <t>Derivative</t>
  </si>
  <si>
    <t>Description</t>
  </si>
  <si>
    <t>Notes</t>
  </si>
  <si>
    <t>CL</t>
  </si>
  <si>
    <t>Lift coefficient</t>
  </si>
  <si>
    <t>Lifting capability</t>
  </si>
  <si>
    <t>CD</t>
  </si>
  <si>
    <t>Drag coefficient</t>
  </si>
  <si>
    <t>Aircraft total drag</t>
  </si>
  <si>
    <t>CXu</t>
  </si>
  <si>
    <t>Change in drag (or axial force) coefficient due to forward velocity u'</t>
  </si>
  <si>
    <t>aerodynamic drag behavior</t>
  </si>
  <si>
    <t>Drag force</t>
  </si>
  <si>
    <t>CXα</t>
  </si>
  <si>
    <t>Change in drag (or axial force) coefficient due to angle of attack α'</t>
  </si>
  <si>
    <t>drag increases with α</t>
  </si>
  <si>
    <t>CXq</t>
  </si>
  <si>
    <t>Change in drag (or axial force) coefficient due to pitch rate q'</t>
  </si>
  <si>
    <t>drag increase pitching up or down</t>
  </si>
  <si>
    <t>CZu</t>
  </si>
  <si>
    <t>Change in lift coefficient due to forward velocity u'</t>
  </si>
  <si>
    <t>aerodynamic lift behavior</t>
  </si>
  <si>
    <t>Lift force</t>
  </si>
  <si>
    <t>CZα</t>
  </si>
  <si>
    <t>Change in lift coefficient due to angle of attack α'</t>
  </si>
  <si>
    <t>lift generated due changes in α</t>
  </si>
  <si>
    <t>CZq</t>
  </si>
  <si>
    <t>Change in lift coefficient due to pitch rate q'</t>
  </si>
  <si>
    <t>lift generated by pitching</t>
  </si>
  <si>
    <t>CYß</t>
  </si>
  <si>
    <t>Change in side force coefficient due to slideslip angle ß'</t>
  </si>
  <si>
    <t>side force generated by slideslip, lateral-directional</t>
  </si>
  <si>
    <t>Side force</t>
  </si>
  <si>
    <t>CYp</t>
  </si>
  <si>
    <t>Change in side force coefficient due to roll rate p'</t>
  </si>
  <si>
    <t>side  force due to rolling rate</t>
  </si>
  <si>
    <t>CYr</t>
  </si>
  <si>
    <t>Change in side force coefficient due to yaw rate r'</t>
  </si>
  <si>
    <t>side  force generated by yaw rate</t>
  </si>
  <si>
    <t>CLp</t>
  </si>
  <si>
    <t>Change in rolling coefficient due to roll rate p' (roll ramping)</t>
  </si>
  <si>
    <t>stabilizing moment resisting rollingmotion</t>
  </si>
  <si>
    <t>Rolling moment</t>
  </si>
  <si>
    <t>CLß</t>
  </si>
  <si>
    <t>Change in rolling coefficient due to slideslip angle ß'</t>
  </si>
  <si>
    <t>dihedral effect</t>
  </si>
  <si>
    <t>CLr</t>
  </si>
  <si>
    <t>Change in rolling moment coefficient due to yaw rate r'</t>
  </si>
  <si>
    <t>yaw-roll coupling, important for dutch roll</t>
  </si>
  <si>
    <t>CMu</t>
  </si>
  <si>
    <t>Change in pitching moment coefficient due to changes in forward velocity u'</t>
  </si>
  <si>
    <t>indicates change in pitching moment</t>
  </si>
  <si>
    <t>Pitching moment</t>
  </si>
  <si>
    <t>CMα</t>
  </si>
  <si>
    <t>Change in pitching moment coefficient due to changes angle of attack α'</t>
  </si>
  <si>
    <t>determines aircraft stability margin</t>
  </si>
  <si>
    <t>CMq</t>
  </si>
  <si>
    <t>Change in pitching moment coefficient due to changes in pitch rate q (pitch damping)</t>
  </si>
  <si>
    <t>damping moment that resist furtherchanges in pitch rate</t>
  </si>
  <si>
    <t>CNß</t>
  </si>
  <si>
    <t>Change in yawing moment coefficient due to slideslip ß'</t>
  </si>
  <si>
    <t xml:space="preserve">restoring yawing moment </t>
  </si>
  <si>
    <t>Yawing moment</t>
  </si>
  <si>
    <t>CNp</t>
  </si>
  <si>
    <t>Change in yawing moment coefficient due to roll rate p'</t>
  </si>
  <si>
    <t>yawing tendency during rolling motion</t>
  </si>
  <si>
    <t>CNr</t>
  </si>
  <si>
    <t>Change in yawing moment coefficient due to yaw rate r' (yaw damping)</t>
  </si>
  <si>
    <t xml:space="preserve">yaw damping moment, provides dynamic stability </t>
  </si>
  <si>
    <t>Reduced model to rocket dynamics</t>
  </si>
  <si>
    <t>Z</t>
  </si>
  <si>
    <t>Pitch P</t>
  </si>
  <si>
    <t>Roll Q</t>
  </si>
  <si>
    <t>Yaw R</t>
  </si>
  <si>
    <t>Temperature local (C°)</t>
  </si>
  <si>
    <t>Mach (for data)</t>
  </si>
  <si>
    <t>Speed of sound (m/s)</t>
  </si>
  <si>
    <t>Atmosphere conditions</t>
  </si>
  <si>
    <t>dCL/dAlpha due Mach &amp; AoA</t>
  </si>
  <si>
    <t>y (wall separation, mm)</t>
  </si>
  <si>
    <t>y (wall separation, m)</t>
  </si>
  <si>
    <t>First term</t>
  </si>
  <si>
    <t>Chord y+ segmentation</t>
  </si>
  <si>
    <t>Total Area Sum m^2</t>
  </si>
  <si>
    <t xml:space="preserve">Linearized theoretical data </t>
  </si>
  <si>
    <t>y+ sonic MAX Re TE</t>
  </si>
  <si>
    <t>y+ subsonic MAX Re TE</t>
  </si>
  <si>
    <t xml:space="preserve">                                                   Iterations
Input variables (ambient)</t>
  </si>
  <si>
    <t>Data points (Moment due Lift Myz)</t>
  </si>
  <si>
    <t>TOTAL Myz due lift (Newtons)</t>
  </si>
  <si>
    <t>TOTAL Lift (Newtons)</t>
  </si>
  <si>
    <t>CP loc. of fin 3D (cm)</t>
  </si>
  <si>
    <t>AoA (deg) x,z Lift</t>
  </si>
  <si>
    <t>AoA (deg) x,z SideForce</t>
  </si>
  <si>
    <t>AoA (deg) x,z Drag</t>
  </si>
  <si>
    <t>Atmosphere and boundary layer cond</t>
  </si>
  <si>
    <t>Aerodynamic CFD static coeficients per fin</t>
  </si>
  <si>
    <t>Aerodynamic CFD dynamic coeficients per fin</t>
  </si>
  <si>
    <t>Linearized theoretical data in rocket</t>
  </si>
  <si>
    <t>Q RATE</t>
  </si>
  <si>
    <t>Calibers</t>
  </si>
  <si>
    <t>Physical distance (meters)</t>
  </si>
  <si>
    <t>Aerodynamic corrected slope supersonic</t>
  </si>
  <si>
    <t>Selected q rate</t>
  </si>
  <si>
    <t>Selected Cl slope due Mach</t>
  </si>
  <si>
    <t>Data points (AoA due q rate rad/s, out: rad)</t>
  </si>
  <si>
    <t>Data points (AoA due q rate rad/s, out: deg)</t>
  </si>
  <si>
    <t>TOTAL Lift</t>
  </si>
  <si>
    <t>Pitch moment due Q rate</t>
  </si>
  <si>
    <t>Aerodynamic theoretical STATIC forces per fin</t>
  </si>
  <si>
    <t>Cm,q (damping)</t>
  </si>
  <si>
    <t>Mean aerodynamic chord (MAC)</t>
  </si>
  <si>
    <t>Cl due q rate rad/s (Cl,q)</t>
  </si>
  <si>
    <t>Reference length dx = (x,cp - x.cg)</t>
  </si>
  <si>
    <t>dCL/dAlpha due Mach (AoA&lt;25 deg, in rad)</t>
  </si>
  <si>
    <t xml:space="preserve">dCm,q /dq due Mach </t>
  </si>
  <si>
    <t xml:space="preserve">dCm,AoA /dAoA due Mach </t>
  </si>
  <si>
    <t>Mach (std temp 288K, 1 atm, vel in m/s)</t>
  </si>
  <si>
    <t>chord Re segmentation (chord root)</t>
  </si>
  <si>
    <t>chord Re segmentation (chord  root)</t>
  </si>
  <si>
    <t>y+ for rocket length MAX RE</t>
  </si>
  <si>
    <t>sound speed SL</t>
  </si>
  <si>
    <t>T local</t>
  </si>
  <si>
    <t>AoA (deg) x,z Moment axis z</t>
  </si>
  <si>
    <t>AoA (deg) x,z Moment axis y</t>
  </si>
  <si>
    <t>AoA (deg) x,z Moment axis x</t>
  </si>
  <si>
    <t>Aref</t>
  </si>
  <si>
    <t>dynamic pressure (Pa. 0.5*rho*V^2)</t>
  </si>
  <si>
    <t>rho at  1 atm, 288K</t>
  </si>
  <si>
    <t>Reference length</t>
  </si>
  <si>
    <t>CP from coordinate 0,0,0 (middle of forebody Mz for Fy)</t>
  </si>
  <si>
    <t>CP from coordinate 0,0,0 (middle of forebody My for Fz)</t>
  </si>
  <si>
    <t>Nose cone diameter (in, cm)</t>
  </si>
  <si>
    <t>Forebody length (in, cm)</t>
  </si>
  <si>
    <t>L_N/d</t>
  </si>
  <si>
    <t>L_N</t>
  </si>
  <si>
    <t>Cylindrical fuselages greater than 10 calibers</t>
  </si>
  <si>
    <t>Lfuselage</t>
  </si>
  <si>
    <t>10 cal</t>
  </si>
  <si>
    <t>d (1 cal)</t>
  </si>
  <si>
    <t>we ignore boat-tail section so C_pa = 1</t>
  </si>
  <si>
    <t>final equation for C_PL</t>
  </si>
  <si>
    <t>Cp at alpha zero</t>
  </si>
  <si>
    <t>For cp</t>
  </si>
  <si>
    <t>For Cp  determination</t>
  </si>
  <si>
    <t xml:space="preserve">this says that the centre of presure doest move due to AoA, </t>
  </si>
  <si>
    <r>
      <t xml:space="preserve">but there is evidence that moves in </t>
    </r>
    <r>
      <rPr>
        <b/>
        <sz val="11"/>
        <color theme="1"/>
        <rFont val="Aptos Narrow"/>
        <family val="2"/>
        <scheme val="minor"/>
      </rPr>
      <t>transonic regime</t>
    </r>
  </si>
  <si>
    <t>C_CL is a geometric parameter: the centorid planform area coefficient</t>
  </si>
  <si>
    <t>In accordace to page 17 from Rocketry Aerodynamics</t>
  </si>
  <si>
    <t>summarized of all equations (models), variables and constants</t>
  </si>
  <si>
    <t>this assuming no boat-tail</t>
  </si>
  <si>
    <t>% change</t>
  </si>
  <si>
    <t>Forebody geometry design (per fin)</t>
  </si>
  <si>
    <t>Cross-Sec A min (m^2)</t>
  </si>
  <si>
    <t>Diameter external (cm)</t>
  </si>
  <si>
    <t>Length-overall (m)</t>
  </si>
  <si>
    <t>Cr-in body(cm)</t>
  </si>
  <si>
    <t>Ct-in body (cm)</t>
  </si>
  <si>
    <t>Sweep angle - LE (deg)</t>
  </si>
  <si>
    <t>Enlarging-in body (cm)</t>
  </si>
  <si>
    <t>L_N /diameter ratio</t>
  </si>
  <si>
    <t>Fuselage midsection (L_m, in cm)</t>
  </si>
  <si>
    <t>Boat tail length (L_T, in cm)</t>
  </si>
  <si>
    <t>Smaller diameter boat-tail (cm)</t>
  </si>
  <si>
    <t>Overall-length (L, cm)</t>
  </si>
  <si>
    <t>Nose cone length (L_N, in cm)</t>
  </si>
  <si>
    <t>M numb</t>
  </si>
  <si>
    <t>Aerodynamic theoretical STATIC coeficients &amp; der</t>
  </si>
  <si>
    <t>Ln /d</t>
  </si>
  <si>
    <t>Mach numb // Ln /d</t>
  </si>
  <si>
    <t>F, part</t>
  </si>
  <si>
    <t>C_N overall</t>
  </si>
  <si>
    <t>C_NC due alpha</t>
  </si>
  <si>
    <t>Nose-cone coef and derivatives Mach &amp; Ln /d</t>
  </si>
  <si>
    <t>C_N0 due Ln /d ratio &amp; mach</t>
  </si>
  <si>
    <t>C_Pf</t>
  </si>
  <si>
    <t>first term</t>
  </si>
  <si>
    <t>second term</t>
  </si>
  <si>
    <t>C_PL</t>
  </si>
  <si>
    <t>C_N AoA term</t>
  </si>
  <si>
    <t>C_CL</t>
  </si>
  <si>
    <t>C_Cf</t>
  </si>
  <si>
    <t>Xcrossflow</t>
  </si>
  <si>
    <t>third term</t>
  </si>
  <si>
    <t>fourth term</t>
  </si>
  <si>
    <t>fifth term</t>
  </si>
  <si>
    <t>CP due Ln /d &amp; Mach</t>
  </si>
  <si>
    <t>For  C_NC coeficient when M&lt;0.5</t>
  </si>
  <si>
    <t>For C_NC coef due Mach valid for +/- 5 deg</t>
  </si>
  <si>
    <t>for cp0 location due Mach</t>
  </si>
  <si>
    <t>Xforebody (in nose-cone)</t>
  </si>
  <si>
    <t>Over Xcp (cm from nose-tip)</t>
  </si>
  <si>
    <t>Cross-sectional Area (m^2)</t>
  </si>
  <si>
    <t>dC_Nforebody /dAoA</t>
  </si>
  <si>
    <t>derivatives // for last term lineal</t>
  </si>
  <si>
    <t>lineal assimilation</t>
  </si>
  <si>
    <t>0 to 15 deg</t>
  </si>
  <si>
    <t>0 to 15 deg lineal assim</t>
  </si>
  <si>
    <t>15 to 30 deg linea assim</t>
  </si>
  <si>
    <t>15 to 30 deg</t>
  </si>
  <si>
    <t>dC_Nf /dAoA due Mach numb</t>
  </si>
  <si>
    <t>FOREBODY ANALYSIS</t>
  </si>
  <si>
    <t>Reynolds max (forebody base)</t>
  </si>
  <si>
    <t>FIN GEOMETRY ANALYSIS</t>
  </si>
  <si>
    <t>Mach (for input)</t>
  </si>
  <si>
    <t>Q, dynamic pressure (Pa)</t>
  </si>
  <si>
    <t>Lr, reference length (m)</t>
  </si>
  <si>
    <t>Reference length (Lr, cm)</t>
  </si>
  <si>
    <t>Fins location from forebody base  to LE (cm)</t>
  </si>
  <si>
    <t>Forebody CP location Nose-tip to CP (cm)</t>
  </si>
  <si>
    <t>Forebody CP location CG-CP (cm)</t>
  </si>
  <si>
    <t>ROCKET ANALYSIS (FOREBODY &amp; FINS)</t>
  </si>
  <si>
    <t>Rocketbody CG location from Nose-tip (cm)</t>
  </si>
  <si>
    <t>Fins CP location LE to CP (cm)</t>
  </si>
  <si>
    <t>CP span loc. of fin 3D (cm)</t>
  </si>
  <si>
    <t>Fins CP location CG-CP (cm)</t>
  </si>
  <si>
    <t xml:space="preserve">                                                                  Iterations
Input variables</t>
  </si>
  <si>
    <t>Xu</t>
  </si>
  <si>
    <t>Derivatives longitudinal</t>
  </si>
  <si>
    <t>Xw</t>
  </si>
  <si>
    <t>Xq</t>
  </si>
  <si>
    <r>
      <t>X</t>
    </r>
    <r>
      <rPr>
        <sz val="11"/>
        <color theme="1"/>
        <rFont val="Calibri"/>
        <family val="2"/>
      </rPr>
      <t>θ</t>
    </r>
  </si>
  <si>
    <t>β</t>
  </si>
  <si>
    <t>θ</t>
  </si>
  <si>
    <t>δ</t>
  </si>
  <si>
    <t>Xδe</t>
  </si>
  <si>
    <t>Zu</t>
  </si>
  <si>
    <t>Zw</t>
  </si>
  <si>
    <t>Zq</t>
  </si>
  <si>
    <t>Zθ</t>
  </si>
  <si>
    <t>Mu</t>
  </si>
  <si>
    <t>Mw</t>
  </si>
  <si>
    <t>Mq</t>
  </si>
  <si>
    <t>Mθ</t>
  </si>
  <si>
    <t>q</t>
  </si>
  <si>
    <t>Zδe</t>
  </si>
  <si>
    <t>Mδe</t>
  </si>
  <si>
    <t>Derivatives lateral-directional</t>
  </si>
  <si>
    <t>Yv</t>
  </si>
  <si>
    <t>Lv</t>
  </si>
  <si>
    <t>Nv</t>
  </si>
  <si>
    <t>Yp</t>
  </si>
  <si>
    <t>Lp</t>
  </si>
  <si>
    <t>Np</t>
  </si>
  <si>
    <t>Yr</t>
  </si>
  <si>
    <t>Lr</t>
  </si>
  <si>
    <t>Nr</t>
  </si>
  <si>
    <t>tanθ</t>
  </si>
  <si>
    <t>secθ</t>
  </si>
  <si>
    <t>ф</t>
  </si>
  <si>
    <t>ψ</t>
  </si>
  <si>
    <t>Yф</t>
  </si>
  <si>
    <t>Yψ</t>
  </si>
  <si>
    <t>Lф</t>
  </si>
  <si>
    <t>Nф</t>
  </si>
  <si>
    <t>Lψ</t>
  </si>
  <si>
    <t>Nψ</t>
  </si>
  <si>
    <t>Yδr</t>
  </si>
  <si>
    <t>Lδr</t>
  </si>
  <si>
    <t>Mδr</t>
  </si>
  <si>
    <t>Lδa</t>
  </si>
  <si>
    <t>Nδa</t>
  </si>
  <si>
    <t>Xthr</t>
  </si>
  <si>
    <t>Zthr</t>
  </si>
  <si>
    <t>Mthr</t>
  </si>
  <si>
    <t>Normal force forebody (newtons)</t>
  </si>
  <si>
    <t>dCL /dAoA 1/rads (start 2 end)</t>
  </si>
  <si>
    <t>dCL /dAoA 1/rads (mean)</t>
  </si>
  <si>
    <t>dCSf /dAoA 1/rads (start 2 end)</t>
  </si>
  <si>
    <t>dCSf /dAoA 1/rads (mean)</t>
  </si>
  <si>
    <t>SoA (slideslip angle,deg) x,z SideForce</t>
  </si>
  <si>
    <t>For combinations:</t>
  </si>
  <si>
    <t>Volume</t>
  </si>
  <si>
    <t>m^3</t>
  </si>
  <si>
    <t>Aletas</t>
  </si>
  <si>
    <t>unidad</t>
  </si>
  <si>
    <t>Masa total</t>
  </si>
  <si>
    <t>Last update</t>
  </si>
  <si>
    <t>Historical revision</t>
  </si>
  <si>
    <t>First release, due to tight deadlines, severe assimilations are taken into account</t>
  </si>
  <si>
    <t>IPS tube catalogue used for tube manufacture</t>
  </si>
  <si>
    <t>OD (in)</t>
  </si>
  <si>
    <t>OD (mm)</t>
  </si>
  <si>
    <t>Dnom (in)</t>
  </si>
  <si>
    <t>ID (in)</t>
  </si>
  <si>
    <t>t (in)</t>
  </si>
  <si>
    <t>Material</t>
  </si>
  <si>
    <t>ID (mm)</t>
  </si>
  <si>
    <t>t (mm)</t>
  </si>
  <si>
    <t>Caliber designation (ASME)</t>
  </si>
  <si>
    <t>STD 40</t>
  </si>
  <si>
    <t>XS 80</t>
  </si>
  <si>
    <t xml:space="preserve">Datasheet </t>
  </si>
  <si>
    <t>https://lapaloma.com.mx/lapaloma_metales/aluminio_z1.pdf</t>
  </si>
  <si>
    <t>https://courses.hardhatengineer.com/courses</t>
  </si>
  <si>
    <t>Courses for pipe and flow systems</t>
  </si>
  <si>
    <t>What do next?</t>
  </si>
  <si>
    <t>Aluminum</t>
  </si>
  <si>
    <t>Open for extra notes:</t>
  </si>
  <si>
    <t>Monocoque composite tube</t>
  </si>
  <si>
    <t>OD</t>
  </si>
  <si>
    <t>ID</t>
  </si>
  <si>
    <t>Mean D</t>
  </si>
  <si>
    <t>Plate / Beam assimilation for fins</t>
  </si>
  <si>
    <t>Adhesive joints</t>
  </si>
  <si>
    <t>Composite tube weight estimation</t>
  </si>
  <si>
    <t>Composite fin weight estimation</t>
  </si>
  <si>
    <t>Simple Composites v1.0</t>
  </si>
  <si>
    <t>Fiber density</t>
  </si>
  <si>
    <t xml:space="preserve">Resine density </t>
  </si>
  <si>
    <t>Composite density</t>
  </si>
  <si>
    <t>N</t>
  </si>
  <si>
    <t>Composite mechanical properties</t>
  </si>
  <si>
    <t>Spreadsheet to determine composite prop., joints and dimensions for geometries with composites</t>
  </si>
  <si>
    <r>
      <t xml:space="preserve">Fiber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tu</t>
    </r>
  </si>
  <si>
    <r>
      <t xml:space="preserve">Matrix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ty</t>
    </r>
  </si>
  <si>
    <t>Mpa</t>
  </si>
  <si>
    <t>mm/mm %</t>
  </si>
  <si>
    <t>Matrix formulation</t>
  </si>
  <si>
    <t>Resin</t>
  </si>
  <si>
    <t>Catalizer</t>
  </si>
  <si>
    <t>Mix ratio</t>
  </si>
  <si>
    <t>weight | volume</t>
  </si>
  <si>
    <t>Needed:</t>
  </si>
  <si>
    <t>Resin required</t>
  </si>
  <si>
    <t>Catalizer required</t>
  </si>
  <si>
    <r>
      <t xml:space="preserve">Matrix </t>
    </r>
    <r>
      <rPr>
        <sz val="11"/>
        <color theme="1"/>
        <rFont val="Calibri"/>
        <family val="2"/>
      </rPr>
      <t>ε</t>
    </r>
    <r>
      <rPr>
        <sz val="9.35"/>
        <color theme="1"/>
        <rFont val="Aptos Narrow"/>
        <family val="2"/>
      </rPr>
      <t>tu</t>
    </r>
  </si>
  <si>
    <r>
      <t xml:space="preserve">Matrix </t>
    </r>
    <r>
      <rPr>
        <sz val="11"/>
        <color theme="1"/>
        <rFont val="Calibri"/>
        <family val="2"/>
      </rPr>
      <t>εc</t>
    </r>
    <r>
      <rPr>
        <sz val="9.35"/>
        <color theme="1"/>
        <rFont val="Aptos Narrow"/>
        <family val="2"/>
      </rPr>
      <t>u</t>
    </r>
  </si>
  <si>
    <t xml:space="preserve">Components material properties </t>
  </si>
  <si>
    <t>Fiber prop</t>
  </si>
  <si>
    <t>Matrix prop</t>
  </si>
  <si>
    <t>yield</t>
  </si>
  <si>
    <t>uts</t>
  </si>
  <si>
    <t>Gpa</t>
  </si>
  <si>
    <t>less</t>
  </si>
  <si>
    <t>equal</t>
  </si>
  <si>
    <t>higher</t>
  </si>
  <si>
    <t>Composite</t>
  </si>
  <si>
    <t>Note:</t>
  </si>
  <si>
    <t>Fiber εcu</t>
  </si>
  <si>
    <t>Transversal area</t>
  </si>
  <si>
    <t>IPS aluminum tube will be used from supplier "La Paloma Metales" 3.5in tubes</t>
  </si>
  <si>
    <t>in</t>
  </si>
  <si>
    <t>Material / Alloy</t>
  </si>
  <si>
    <t>1100 (pure Al)</t>
  </si>
  <si>
    <t>High purity, soft</t>
  </si>
  <si>
    <t>2024-T3</t>
  </si>
  <si>
    <t>Aerospace, Cu alloyed</t>
  </si>
  <si>
    <t>2219-T87</t>
  </si>
  <si>
    <t>High-temp aerospace alloy</t>
  </si>
  <si>
    <t>6061-T6</t>
  </si>
  <si>
    <t>Very common structural</t>
  </si>
  <si>
    <t>7075-T6</t>
  </si>
  <si>
    <t>High strength aerospace</t>
  </si>
  <si>
    <t>319 (casting)</t>
  </si>
  <si>
    <t>Automotive cast Al</t>
  </si>
  <si>
    <t>356 (casting)</t>
  </si>
  <si>
    <t>Cast alloy, Si-rich</t>
  </si>
  <si>
    <t>IPS tube selected</t>
  </si>
  <si>
    <t>Exp. Coef.</t>
  </si>
  <si>
    <r>
      <t xml:space="preserve">OD of IPS tube </t>
    </r>
    <r>
      <rPr>
        <sz val="11"/>
        <color rgb="FFFF0000"/>
        <rFont val="Aptos Narrow"/>
        <family val="2"/>
        <scheme val="minor"/>
      </rPr>
      <t>HOT</t>
    </r>
  </si>
  <si>
    <t>Temp. In furnance</t>
  </si>
  <si>
    <t>°C</t>
  </si>
  <si>
    <t>°F</t>
  </si>
  <si>
    <t>microm/mm°C</t>
  </si>
  <si>
    <t>Temp. in room</t>
  </si>
  <si>
    <t>(N)</t>
  </si>
  <si>
    <t xml:space="preserve">Location </t>
  </si>
  <si>
    <t>(mm)</t>
  </si>
  <si>
    <t>(cause/how is the load generated and where is applied)</t>
  </si>
  <si>
    <t>Rocket motor thrust in bulkhead and rocket base</t>
  </si>
  <si>
    <t>Forebody lift in Cpforebody</t>
  </si>
  <si>
    <t>Considering that the region/interface between red tube with blue and gray as full contact</t>
  </si>
  <si>
    <t>the total fuselage can be considered as unique tube</t>
  </si>
  <si>
    <t xml:space="preserve">As a rule of thumb by rocketers 1 caliber of the rocket is used as the length of the </t>
  </si>
  <si>
    <t>Figure for load representation in rocket fuselage</t>
  </si>
  <si>
    <t>Color rep.</t>
  </si>
  <si>
    <t xml:space="preserve">Axial </t>
  </si>
  <si>
    <t>x mm</t>
  </si>
  <si>
    <t>Fin</t>
  </si>
  <si>
    <t>+</t>
  </si>
  <si>
    <t>(+/-)</t>
  </si>
  <si>
    <t>Shear Graph</t>
  </si>
  <si>
    <t>Moment graph</t>
  </si>
  <si>
    <t>y Nmm</t>
  </si>
  <si>
    <t>y N</t>
  </si>
  <si>
    <t>Nmm</t>
  </si>
  <si>
    <t>x position</t>
  </si>
  <si>
    <t>Moment</t>
  </si>
  <si>
    <t>Mmax</t>
  </si>
  <si>
    <t>cu</t>
  </si>
  <si>
    <t>tu</t>
  </si>
  <si>
    <t>ty</t>
  </si>
  <si>
    <t>ultimate tension strenght</t>
  </si>
  <si>
    <t>ultimate compressive strenght</t>
  </si>
  <si>
    <t>yield tension strenght</t>
  </si>
  <si>
    <t>Sty composite</t>
  </si>
  <si>
    <t xml:space="preserve">Stu composite </t>
  </si>
  <si>
    <t xml:space="preserve">Scu composite </t>
  </si>
  <si>
    <t>Fiber Stu</t>
  </si>
  <si>
    <t>Fiber Scu</t>
  </si>
  <si>
    <t>Matrix Sty</t>
  </si>
  <si>
    <t>Matrix Stu</t>
  </si>
  <si>
    <t>Matrix Scu</t>
  </si>
  <si>
    <t>TENSION</t>
  </si>
  <si>
    <t>COMPRESSION</t>
  </si>
  <si>
    <t>Et Module  fiber</t>
  </si>
  <si>
    <t>Et Module resin</t>
  </si>
  <si>
    <t>Ec Module  fiber</t>
  </si>
  <si>
    <t>Ec Module resin</t>
  </si>
  <si>
    <t>Composite Et Module</t>
  </si>
  <si>
    <t>Scu composite</t>
  </si>
  <si>
    <t>Scy composite</t>
  </si>
  <si>
    <t>MPa</t>
  </si>
  <si>
    <t>Coef. of thermal exp.
 (X10^-3 m/m°C)</t>
  </si>
  <si>
    <t>Lista de consumibles para laminado</t>
  </si>
  <si>
    <t>Precio</t>
  </si>
  <si>
    <t>Cantidad</t>
  </si>
  <si>
    <t>Descripcion</t>
  </si>
  <si>
    <t>Cinta de vacio elastomerica 20m largo</t>
  </si>
  <si>
    <t xml:space="preserve">Peel plies 125cm x 10m </t>
  </si>
  <si>
    <t>Malla de sangrado 145cm x 10m</t>
  </si>
  <si>
    <t>Tubo de absorcion PEBD 20m</t>
  </si>
  <si>
    <t>Toma de infusion para vacio</t>
  </si>
  <si>
    <t>Bolsa de vacio 150cm x 10m</t>
  </si>
  <si>
    <t>Fibra de carbono 3k plano 127cm x 1m</t>
  </si>
  <si>
    <t>1 kgf/cm2</t>
  </si>
  <si>
    <t>=</t>
  </si>
  <si>
    <t>0.098806 Mpa</t>
  </si>
  <si>
    <t>0.1 Mpa</t>
  </si>
  <si>
    <t>1.02 kgf/cm2</t>
  </si>
  <si>
    <t>Precio 2</t>
  </si>
  <si>
    <t>y comp</t>
  </si>
  <si>
    <t>x comp</t>
  </si>
  <si>
    <t>Matrix Scy</t>
  </si>
  <si>
    <r>
      <t xml:space="preserve">Matrix </t>
    </r>
    <r>
      <rPr>
        <sz val="11"/>
        <color theme="1"/>
        <rFont val="Calibri"/>
        <family val="2"/>
      </rPr>
      <t>εcy</t>
    </r>
  </si>
  <si>
    <t>Fiber:</t>
  </si>
  <si>
    <t xml:space="preserve">HexForce  7533 </t>
  </si>
  <si>
    <t>Matrix:</t>
  </si>
  <si>
    <t>Epoxy resin Q102R Quintum</t>
  </si>
  <si>
    <t>Variables of interest:</t>
  </si>
  <si>
    <t>gr/m^2</t>
  </si>
  <si>
    <r>
      <t xml:space="preserve">Aprox, density </t>
    </r>
    <r>
      <rPr>
        <sz val="11"/>
        <color theme="1"/>
        <rFont val="Aptos Narrow"/>
        <family val="2"/>
      </rPr>
      <t>ρf</t>
    </r>
  </si>
  <si>
    <t>Fabric Weight, ρs</t>
  </si>
  <si>
    <t>Aprox, thickness</t>
  </si>
  <si>
    <t>Longitudinal</t>
  </si>
  <si>
    <t>Forebody drag in Cpforebody</t>
  </si>
  <si>
    <t>Fins drag in Cpfins</t>
  </si>
  <si>
    <t>Fins lift in Cpfins</t>
  </si>
  <si>
    <r>
      <t xml:space="preserve">Inertial load </t>
    </r>
    <r>
      <rPr>
        <b/>
        <sz val="11"/>
        <color theme="1"/>
        <rFont val="Aptos Narrow"/>
        <family val="2"/>
        <scheme val="minor"/>
      </rPr>
      <t>downwards</t>
    </r>
    <r>
      <rPr>
        <sz val="11"/>
        <color theme="1"/>
        <rFont val="Aptos Narrow"/>
        <family val="2"/>
        <scheme val="minor"/>
      </rPr>
      <t xml:space="preserve"> CG</t>
    </r>
  </si>
  <si>
    <r>
      <t xml:space="preserve">Inertial load </t>
    </r>
    <r>
      <rPr>
        <b/>
        <sz val="11"/>
        <color theme="1"/>
        <rFont val="Aptos Narrow"/>
        <family val="2"/>
        <scheme val="minor"/>
      </rPr>
      <t>forward</t>
    </r>
    <r>
      <rPr>
        <sz val="11"/>
        <color theme="1"/>
        <rFont val="Aptos Narrow"/>
        <family val="2"/>
        <scheme val="minor"/>
      </rPr>
      <t xml:space="preserve"> CG</t>
    </r>
  </si>
  <si>
    <t>Manufacture first considerations</t>
  </si>
  <si>
    <t>Mandril material</t>
  </si>
  <si>
    <t>Loads involved:</t>
  </si>
  <si>
    <t>Worst AoA &gt; determine maximum load at max Q &gt; SF of using composites Higher than 3</t>
  </si>
  <si>
    <t>15°</t>
  </si>
  <si>
    <t>Max Q</t>
  </si>
  <si>
    <t>kPa</t>
  </si>
  <si>
    <t>due Mach:</t>
  </si>
  <si>
    <t xml:space="preserve">The loads used were on "worst-case" according to dynamic and CFD simulations </t>
  </si>
  <si>
    <t>Location/Distance</t>
  </si>
  <si>
    <t>Maximum moments</t>
  </si>
  <si>
    <t>Mforwards</t>
  </si>
  <si>
    <t>location</t>
  </si>
  <si>
    <t>mm^3</t>
  </si>
  <si>
    <t>mm^2</t>
  </si>
  <si>
    <r>
      <t xml:space="preserve">Sec. Modulus </t>
    </r>
    <r>
      <rPr>
        <b/>
        <sz val="11"/>
        <color theme="1"/>
        <rFont val="Aptos Narrow"/>
        <family val="2"/>
        <scheme val="minor"/>
      </rPr>
      <t>Z</t>
    </r>
  </si>
  <si>
    <t>Stress,bending</t>
  </si>
  <si>
    <t>Mdownwards</t>
  </si>
  <si>
    <t>Sections</t>
  </si>
  <si>
    <t>L=</t>
  </si>
  <si>
    <t>Shear at X1</t>
  </si>
  <si>
    <t>Gmax:</t>
  </si>
  <si>
    <t>MaxMass</t>
  </si>
  <si>
    <t>Dry mass</t>
  </si>
  <si>
    <t>mass grain</t>
  </si>
  <si>
    <t>Max acc</t>
  </si>
  <si>
    <t>Gs</t>
  </si>
  <si>
    <t>Scdrag</t>
  </si>
  <si>
    <t>Scinertia</t>
  </si>
  <si>
    <t>Scbending</t>
  </si>
  <si>
    <t>Sctotal</t>
  </si>
  <si>
    <t>SF rocket tension</t>
  </si>
  <si>
    <t>SF rocket compressibe</t>
  </si>
  <si>
    <t>Note: max inertia is not present at highest Q in this case</t>
  </si>
  <si>
    <t>there is an inertia caused by drag, the Gs experimented</t>
  </si>
  <si>
    <t>are equal to Gs=(DragMaxQ/DryMass)/g</t>
  </si>
  <si>
    <t>GsMaxQ:</t>
  </si>
  <si>
    <t>Inertial load CG</t>
  </si>
  <si>
    <t>SF rocket shear</t>
  </si>
  <si>
    <t>Fiber Ssu</t>
  </si>
  <si>
    <t>Fiber εsu</t>
  </si>
  <si>
    <t>Ssy composite</t>
  </si>
  <si>
    <t>SF tube tension</t>
  </si>
  <si>
    <t>SF tube compression</t>
  </si>
  <si>
    <t>Sshear</t>
  </si>
  <si>
    <t>SF tube shear</t>
  </si>
  <si>
    <t>Stress, shear</t>
  </si>
  <si>
    <t>Matrix Ssu</t>
  </si>
  <si>
    <t>Note: increasing layer, could affect the shear stress</t>
  </si>
  <si>
    <t>behavior on the composite</t>
  </si>
  <si>
    <t>Note: almost always as the fins</t>
  </si>
  <si>
    <t>contribute in more lift due AoA</t>
  </si>
  <si>
    <t>Malla de distribucion 145cmx 10m GREEN FLOW</t>
  </si>
  <si>
    <t>https://www.fibraq.com/collections/material-para-vacio-e-infusion/products/pelicula-antiadherente-malla-de-sangrado</t>
  </si>
  <si>
    <t>https://www.fibraq.com/collections/material-para-vacio-e-infusion/products/tubo-de-absorcion-pebd-de-infusion-o-10-x-12-mm</t>
  </si>
  <si>
    <t>https://www.fibraq.com/collections/material-para-vacio-e-infusion/products/toma-de-infusion-para-vacio</t>
  </si>
  <si>
    <t>PELICULA SEPARADORA</t>
  </si>
  <si>
    <t>Resina Q102R</t>
  </si>
  <si>
    <t>Resina Q101R</t>
  </si>
  <si>
    <t>Fiber II:</t>
  </si>
  <si>
    <t>Matrix II:</t>
  </si>
  <si>
    <t>FibraQ 3k plano</t>
  </si>
  <si>
    <r>
      <t xml:space="preserve">Cell in red are unknown | </t>
    </r>
    <r>
      <rPr>
        <b/>
        <sz val="11"/>
        <color rgb="FFFFC000"/>
        <rFont val="Aptos Narrow"/>
        <family val="2"/>
        <scheme val="minor"/>
      </rPr>
      <t>supposed by literature</t>
    </r>
  </si>
  <si>
    <t>Volume composite</t>
  </si>
  <si>
    <t>Volume of resine</t>
  </si>
  <si>
    <t>Volume of fiber</t>
  </si>
  <si>
    <t>Mass fiber</t>
  </si>
  <si>
    <t>Surface needed</t>
  </si>
  <si>
    <t>a</t>
  </si>
  <si>
    <t>b</t>
  </si>
  <si>
    <t>Required fiber and resine method 1:</t>
  </si>
  <si>
    <t>Required fiber and resine method 2:</t>
  </si>
  <si>
    <t>Layer thickness</t>
  </si>
  <si>
    <t>Turns</t>
  </si>
  <si>
    <t>Diametral long.</t>
  </si>
  <si>
    <t>Surface</t>
  </si>
  <si>
    <t>n</t>
  </si>
  <si>
    <t>Recovery tube</t>
  </si>
  <si>
    <t>electronics bay</t>
  </si>
  <si>
    <t>Tubes (m)</t>
  </si>
  <si>
    <t>Inner tube electronics bay</t>
  </si>
  <si>
    <t>Motor tube</t>
  </si>
  <si>
    <t>inner + motor</t>
  </si>
  <si>
    <t>recovery + outer elect</t>
  </si>
  <si>
    <t>Tube geometry iteration</t>
  </si>
  <si>
    <t>Inner tube configuration</t>
  </si>
  <si>
    <t>ID inner</t>
  </si>
  <si>
    <t>OD inner</t>
  </si>
  <si>
    <r>
      <t xml:space="preserve">OD due inner tube </t>
    </r>
    <r>
      <rPr>
        <sz val="11"/>
        <color rgb="FFFF0000"/>
        <rFont val="Aptos Narrow"/>
        <family val="2"/>
        <scheme val="minor"/>
      </rPr>
      <t>HOT</t>
    </r>
  </si>
  <si>
    <r>
      <t xml:space="preserve">OD  </t>
    </r>
    <r>
      <rPr>
        <sz val="11"/>
        <color theme="4" tint="0.59999389629810485"/>
        <rFont val="Aptos Narrow"/>
        <family val="2"/>
        <scheme val="minor"/>
      </rPr>
      <t>COLD</t>
    </r>
  </si>
  <si>
    <t>Machine thickness:</t>
  </si>
  <si>
    <t>A "fast" aproximation to determine inner tube</t>
  </si>
  <si>
    <t>thickness is using thin-wall structures theory</t>
  </si>
  <si>
    <t>tolerance</t>
  </si>
  <si>
    <t>Fast assimilation</t>
  </si>
  <si>
    <t>Vcomp</t>
  </si>
  <si>
    <t>Vcomp = Vresin</t>
  </si>
  <si>
    <t>Liters per fuselage made</t>
  </si>
  <si>
    <t>I89</t>
  </si>
  <si>
    <t>Trans area</t>
  </si>
  <si>
    <t>Liters</t>
  </si>
  <si>
    <t>Aprox 1 liters of matrix per fuselage</t>
  </si>
  <si>
    <t>4 kits of Q102R are needed</t>
  </si>
  <si>
    <t>2 fuselages are going to be made</t>
  </si>
  <si>
    <t>plus fins</t>
  </si>
  <si>
    <t>Fin material</t>
  </si>
  <si>
    <t>croot</t>
  </si>
  <si>
    <t>ctip</t>
  </si>
  <si>
    <t>enlarging</t>
  </si>
  <si>
    <t>sweep</t>
  </si>
  <si>
    <t>sweep length</t>
  </si>
  <si>
    <t>plus inch tolerance</t>
  </si>
  <si>
    <t>Carbon fiber fabric</t>
  </si>
  <si>
    <t>If fin of 3mm thickness supposed</t>
  </si>
  <si>
    <t>thickness layer</t>
  </si>
  <si>
    <t>turns</t>
  </si>
  <si>
    <t>thickness fin</t>
  </si>
  <si>
    <t>Plates needed</t>
  </si>
  <si>
    <t>4 fins</t>
  </si>
  <si>
    <t>plates</t>
  </si>
  <si>
    <t>2 meters of carbon fiber are needed</t>
  </si>
  <si>
    <t>Resina Qzero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</si>
</sst>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"/>
    <numFmt numFmtId="165" formatCode="0.000"/>
    <numFmt numFmtId="166" formatCode="0.0000000"/>
    <numFmt numFmtId="167" formatCode="0.0000"/>
    <numFmt numFmtId="168" formatCode="0.00000"/>
    <numFmt numFmtId="169" formatCode="0.000000"/>
    <numFmt numFmtId="170" formatCode="0.0%"/>
    <numFmt numFmtId="171" formatCode="0.0000%"/>
  </numFmts>
  <fonts count="3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"/>
    </font>
    <font>
      <b/>
      <sz val="10"/>
      <color theme="1"/>
      <name val="Time"/>
    </font>
    <font>
      <sz val="10"/>
      <color theme="0"/>
      <name val="Time"/>
    </font>
    <font>
      <sz val="10"/>
      <color theme="1"/>
      <name val="Aptos Narrow"/>
      <family val="2"/>
    </font>
    <font>
      <i/>
      <sz val="10"/>
      <color theme="1"/>
      <name val="Time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Aptos Narrow"/>
      <scheme val="minor"/>
    </font>
    <font>
      <sz val="9.35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8C8C"/>
        <bgColor indexed="64"/>
      </patternFill>
    </fill>
    <fill>
      <patternFill patternType="solid">
        <fgColor rgb="FFF5E4B0"/>
        <bgColor indexed="64"/>
      </patternFill>
    </fill>
    <fill>
      <patternFill patternType="solid">
        <fgColor rgb="FF86BB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45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" fillId="0" borderId="8" xfId="1" applyBorder="1" applyAlignment="1">
      <alignment wrapText="1"/>
    </xf>
    <xf numFmtId="2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22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23" xfId="0" applyFill="1" applyBorder="1"/>
    <xf numFmtId="0" fontId="0" fillId="2" borderId="14" xfId="0" applyFill="1" applyBorder="1"/>
    <xf numFmtId="0" fontId="0" fillId="4" borderId="1" xfId="0" applyFill="1" applyBorder="1"/>
    <xf numFmtId="166" fontId="0" fillId="2" borderId="9" xfId="0" applyNumberFormat="1" applyFill="1" applyBorder="1"/>
    <xf numFmtId="166" fontId="0" fillId="2" borderId="22" xfId="0" applyNumberFormat="1" applyFill="1" applyBorder="1"/>
    <xf numFmtId="166" fontId="0" fillId="2" borderId="10" xfId="0" applyNumberFormat="1" applyFill="1" applyBorder="1"/>
    <xf numFmtId="166" fontId="0" fillId="2" borderId="11" xfId="0" applyNumberFormat="1" applyFill="1" applyBorder="1"/>
    <xf numFmtId="166" fontId="0" fillId="2" borderId="8" xfId="0" applyNumberFormat="1" applyFill="1" applyBorder="1"/>
    <xf numFmtId="166" fontId="0" fillId="2" borderId="12" xfId="0" applyNumberFormat="1" applyFill="1" applyBorder="1"/>
    <xf numFmtId="166" fontId="0" fillId="2" borderId="13" xfId="0" applyNumberFormat="1" applyFill="1" applyBorder="1"/>
    <xf numFmtId="166" fontId="0" fillId="2" borderId="23" xfId="0" applyNumberFormat="1" applyFill="1" applyBorder="1"/>
    <xf numFmtId="166" fontId="0" fillId="2" borderId="14" xfId="0" applyNumberFormat="1" applyFill="1" applyBorder="1"/>
    <xf numFmtId="0" fontId="0" fillId="2" borderId="1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" fillId="0" borderId="0" xfId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165" fontId="0" fillId="7" borderId="4" xfId="0" applyNumberFormat="1" applyFill="1" applyBorder="1" applyAlignment="1">
      <alignment horizontal="center" vertical="center" wrapText="1"/>
    </xf>
    <xf numFmtId="165" fontId="0" fillId="7" borderId="5" xfId="0" applyNumberForma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6" borderId="0" xfId="0" applyFill="1"/>
    <xf numFmtId="0" fontId="7" fillId="0" borderId="20" xfId="0" applyFont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21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2" fontId="7" fillId="3" borderId="15" xfId="0" applyNumberFormat="1" applyFont="1" applyFill="1" applyBorder="1" applyAlignment="1">
      <alignment horizontal="center" vertical="center"/>
    </xf>
    <xf numFmtId="2" fontId="7" fillId="3" borderId="25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21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7" fillId="2" borderId="21" xfId="0" applyFont="1" applyFill="1" applyBorder="1" applyAlignment="1">
      <alignment horizontal="left"/>
    </xf>
    <xf numFmtId="0" fontId="9" fillId="6" borderId="0" xfId="0" applyFont="1" applyFill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15" fontId="7" fillId="2" borderId="15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center"/>
    </xf>
    <xf numFmtId="2" fontId="7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8" borderId="15" xfId="0" applyFont="1" applyFill="1" applyBorder="1" applyAlignment="1">
      <alignment horizontal="left" vertical="center"/>
    </xf>
    <xf numFmtId="0" fontId="10" fillId="8" borderId="16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9" fontId="7" fillId="0" borderId="17" xfId="2" applyFont="1" applyBorder="1" applyAlignment="1">
      <alignment horizontal="left" vertical="center"/>
    </xf>
    <xf numFmtId="9" fontId="7" fillId="0" borderId="18" xfId="2" applyFont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9" fontId="8" fillId="7" borderId="5" xfId="2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9" fontId="7" fillId="0" borderId="19" xfId="2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10" borderId="15" xfId="0" applyFont="1" applyFill="1" applyBorder="1" applyAlignment="1">
      <alignment horizontal="left"/>
    </xf>
    <xf numFmtId="0" fontId="7" fillId="10" borderId="16" xfId="0" applyFont="1" applyFill="1" applyBorder="1" applyAlignment="1">
      <alignment horizontal="left"/>
    </xf>
    <xf numFmtId="9" fontId="7" fillId="10" borderId="25" xfId="2" applyFont="1" applyFill="1" applyBorder="1" applyAlignment="1">
      <alignment horizontal="left"/>
    </xf>
    <xf numFmtId="9" fontId="7" fillId="10" borderId="16" xfId="2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" fillId="0" borderId="0" xfId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11" borderId="0" xfId="0" applyFill="1"/>
    <xf numFmtId="0" fontId="0" fillId="2" borderId="15" xfId="0" applyFill="1" applyBorder="1"/>
    <xf numFmtId="0" fontId="0" fillId="2" borderId="25" xfId="0" applyFill="1" applyBorder="1"/>
    <xf numFmtId="0" fontId="0" fillId="2" borderId="16" xfId="0" applyFill="1" applyBorder="1"/>
    <xf numFmtId="0" fontId="0" fillId="4" borderId="15" xfId="0" applyFill="1" applyBorder="1"/>
    <xf numFmtId="0" fontId="0" fillId="4" borderId="20" xfId="0" applyFill="1" applyBorder="1"/>
    <xf numFmtId="0" fontId="0" fillId="4" borderId="3" xfId="0" applyFill="1" applyBorder="1"/>
    <xf numFmtId="0" fontId="0" fillId="2" borderId="1" xfId="0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1" xfId="0" applyFill="1" applyBorder="1"/>
    <xf numFmtId="0" fontId="0" fillId="2" borderId="7" xfId="0" applyFill="1" applyBorder="1"/>
    <xf numFmtId="0" fontId="0" fillId="4" borderId="25" xfId="0" applyFill="1" applyBorder="1"/>
    <xf numFmtId="0" fontId="0" fillId="4" borderId="16" xfId="0" applyFill="1" applyBorder="1"/>
    <xf numFmtId="11" fontId="0" fillId="0" borderId="0" xfId="0" applyNumberFormat="1"/>
    <xf numFmtId="0" fontId="0" fillId="0" borderId="34" xfId="0" applyBorder="1"/>
    <xf numFmtId="0" fontId="4" fillId="0" borderId="34" xfId="0" applyFont="1" applyBorder="1" applyAlignment="1">
      <alignment wrapText="1"/>
    </xf>
    <xf numFmtId="11" fontId="0" fillId="0" borderId="4" xfId="0" applyNumberFormat="1" applyBorder="1" applyAlignment="1">
      <alignment horizontal="center" vertical="center" wrapText="1"/>
    </xf>
    <xf numFmtId="11" fontId="0" fillId="0" borderId="40" xfId="0" applyNumberFormat="1" applyBorder="1" applyAlignment="1">
      <alignment horizontal="center" vertical="center" wrapText="1"/>
    </xf>
    <xf numFmtId="165" fontId="0" fillId="0" borderId="0" xfId="0" applyNumberFormat="1"/>
    <xf numFmtId="0" fontId="0" fillId="0" borderId="2" xfId="0" applyBorder="1"/>
    <xf numFmtId="0" fontId="0" fillId="0" borderId="20" xfId="0" applyBorder="1"/>
    <xf numFmtId="0" fontId="0" fillId="0" borderId="3" xfId="0" applyBorder="1"/>
    <xf numFmtId="0" fontId="0" fillId="0" borderId="6" xfId="0" applyBorder="1"/>
    <xf numFmtId="0" fontId="0" fillId="0" borderId="21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45" xfId="0" applyBorder="1"/>
    <xf numFmtId="0" fontId="4" fillId="0" borderId="45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/>
    <xf numFmtId="0" fontId="12" fillId="13" borderId="47" xfId="0" applyFont="1" applyFill="1" applyBorder="1" applyAlignment="1">
      <alignment horizontal="center" vertical="center"/>
    </xf>
    <xf numFmtId="0" fontId="12" fillId="14" borderId="47" xfId="0" applyFont="1" applyFill="1" applyBorder="1" applyAlignment="1">
      <alignment horizontal="center" vertical="center"/>
    </xf>
    <xf numFmtId="0" fontId="12" fillId="13" borderId="45" xfId="0" applyFont="1" applyFill="1" applyBorder="1" applyAlignment="1">
      <alignment horizontal="center" vertical="center"/>
    </xf>
    <xf numFmtId="0" fontId="12" fillId="14" borderId="45" xfId="0" applyFont="1" applyFill="1" applyBorder="1" applyAlignment="1">
      <alignment horizontal="center" vertical="center"/>
    </xf>
    <xf numFmtId="0" fontId="12" fillId="13" borderId="52" xfId="0" applyFont="1" applyFill="1" applyBorder="1" applyAlignment="1">
      <alignment horizontal="center" vertical="center"/>
    </xf>
    <xf numFmtId="0" fontId="12" fillId="14" borderId="52" xfId="0" applyFont="1" applyFill="1" applyBorder="1" applyAlignment="1">
      <alignment horizontal="center" vertical="center"/>
    </xf>
    <xf numFmtId="0" fontId="12" fillId="12" borderId="47" xfId="0" applyFont="1" applyFill="1" applyBorder="1" applyAlignment="1">
      <alignment horizontal="center" vertical="center"/>
    </xf>
    <xf numFmtId="0" fontId="12" fillId="12" borderId="45" xfId="0" applyFont="1" applyFill="1" applyBorder="1" applyAlignment="1">
      <alignment horizontal="center" vertical="center"/>
    </xf>
    <xf numFmtId="0" fontId="12" fillId="12" borderId="52" xfId="0" applyFont="1" applyFill="1" applyBorder="1" applyAlignment="1">
      <alignment horizontal="center" vertical="center"/>
    </xf>
    <xf numFmtId="0" fontId="12" fillId="15" borderId="47" xfId="0" applyFont="1" applyFill="1" applyBorder="1" applyAlignment="1">
      <alignment horizontal="center" vertical="center"/>
    </xf>
    <xf numFmtId="0" fontId="12" fillId="15" borderId="45" xfId="0" applyFont="1" applyFill="1" applyBorder="1" applyAlignment="1">
      <alignment horizontal="center" vertical="center"/>
    </xf>
    <xf numFmtId="0" fontId="12" fillId="15" borderId="52" xfId="0" applyFont="1" applyFill="1" applyBorder="1" applyAlignment="1">
      <alignment horizontal="center" vertical="center"/>
    </xf>
    <xf numFmtId="0" fontId="12" fillId="11" borderId="47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2" fillId="11" borderId="52" xfId="0" applyFont="1" applyFill="1" applyBorder="1" applyAlignment="1">
      <alignment horizontal="center" vertical="center"/>
    </xf>
    <xf numFmtId="0" fontId="12" fillId="8" borderId="47" xfId="0" applyFont="1" applyFill="1" applyBorder="1" applyAlignment="1">
      <alignment horizontal="center" vertical="center"/>
    </xf>
    <xf numFmtId="0" fontId="12" fillId="8" borderId="45" xfId="0" applyFont="1" applyFill="1" applyBorder="1" applyAlignment="1">
      <alignment horizontal="center" vertical="center"/>
    </xf>
    <xf numFmtId="0" fontId="12" fillId="8" borderId="52" xfId="0" applyFont="1" applyFill="1" applyBorder="1" applyAlignment="1">
      <alignment horizontal="center" vertical="center"/>
    </xf>
    <xf numFmtId="0" fontId="12" fillId="16" borderId="45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7" borderId="47" xfId="0" applyFont="1" applyFill="1" applyBorder="1" applyAlignment="1">
      <alignment horizontal="center" vertical="center"/>
    </xf>
    <xf numFmtId="0" fontId="12" fillId="17" borderId="45" xfId="0" applyFont="1" applyFill="1" applyBorder="1" applyAlignment="1">
      <alignment horizontal="center" vertical="center"/>
    </xf>
    <xf numFmtId="0" fontId="12" fillId="19" borderId="47" xfId="0" applyFont="1" applyFill="1" applyBorder="1" applyAlignment="1">
      <alignment horizontal="center" vertical="center"/>
    </xf>
    <xf numFmtId="0" fontId="12" fillId="19" borderId="45" xfId="0" applyFont="1" applyFill="1" applyBorder="1"/>
    <xf numFmtId="0" fontId="12" fillId="18" borderId="47" xfId="0" applyFont="1" applyFill="1" applyBorder="1" applyAlignment="1">
      <alignment horizontal="center" vertical="center"/>
    </xf>
    <xf numFmtId="0" fontId="12" fillId="18" borderId="45" xfId="0" applyFont="1" applyFill="1" applyBorder="1"/>
    <xf numFmtId="0" fontId="4" fillId="17" borderId="47" xfId="0" applyFont="1" applyFill="1" applyBorder="1" applyAlignment="1">
      <alignment horizontal="center" vertical="center"/>
    </xf>
    <xf numFmtId="0" fontId="4" fillId="19" borderId="47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17" borderId="45" xfId="0" applyFont="1" applyFill="1" applyBorder="1" applyAlignment="1">
      <alignment horizontal="center" vertical="center"/>
    </xf>
    <xf numFmtId="0" fontId="4" fillId="19" borderId="45" xfId="0" applyFont="1" applyFill="1" applyBorder="1" applyAlignment="1">
      <alignment horizontal="center" vertical="center"/>
    </xf>
    <xf numFmtId="0" fontId="4" fillId="18" borderId="45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17" borderId="52" xfId="0" applyFont="1" applyFill="1" applyBorder="1" applyAlignment="1">
      <alignment horizontal="center" vertical="center"/>
    </xf>
    <xf numFmtId="0" fontId="4" fillId="19" borderId="52" xfId="0" applyFont="1" applyFill="1" applyBorder="1" applyAlignment="1">
      <alignment horizontal="center" vertical="center"/>
    </xf>
    <xf numFmtId="0" fontId="4" fillId="18" borderId="52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0" fillId="0" borderId="47" xfId="0" applyBorder="1"/>
    <xf numFmtId="0" fontId="0" fillId="0" borderId="48" xfId="0" applyBorder="1"/>
    <xf numFmtId="0" fontId="0" fillId="0" borderId="50" xfId="0" applyBorder="1"/>
    <xf numFmtId="0" fontId="0" fillId="5" borderId="49" xfId="0" applyFill="1" applyBorder="1" applyAlignment="1">
      <alignment horizontal="center" vertical="center"/>
    </xf>
    <xf numFmtId="0" fontId="0" fillId="0" borderId="53" xfId="0" applyBorder="1"/>
    <xf numFmtId="0" fontId="0" fillId="2" borderId="0" xfId="0" applyFill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0" xfId="0" applyFill="1" applyAlignment="1">
      <alignment horizontal="center"/>
    </xf>
    <xf numFmtId="165" fontId="0" fillId="2" borderId="21" xfId="0" applyNumberFormat="1" applyFill="1" applyBorder="1"/>
    <xf numFmtId="0" fontId="4" fillId="3" borderId="15" xfId="0" applyFont="1" applyFill="1" applyBorder="1" applyAlignment="1">
      <alignment horizontal="center" vertical="center"/>
    </xf>
    <xf numFmtId="167" fontId="0" fillId="2" borderId="21" xfId="0" applyNumberFormat="1" applyFill="1" applyBorder="1"/>
    <xf numFmtId="167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wrapText="1"/>
    </xf>
    <xf numFmtId="168" fontId="0" fillId="0" borderId="0" xfId="0" applyNumberFormat="1" applyAlignment="1">
      <alignment wrapText="1"/>
    </xf>
    <xf numFmtId="168" fontId="0" fillId="0" borderId="0" xfId="0" applyNumberFormat="1"/>
    <xf numFmtId="0" fontId="0" fillId="20" borderId="0" xfId="0" applyFill="1"/>
    <xf numFmtId="0" fontId="13" fillId="11" borderId="44" xfId="0" applyFont="1" applyFill="1" applyBorder="1"/>
    <xf numFmtId="0" fontId="13" fillId="0" borderId="0" xfId="0" applyFont="1"/>
    <xf numFmtId="0" fontId="13" fillId="11" borderId="0" xfId="0" applyFont="1" applyFill="1"/>
    <xf numFmtId="0" fontId="13" fillId="11" borderId="1" xfId="0" applyFont="1" applyFill="1" applyBorder="1"/>
    <xf numFmtId="0" fontId="13" fillId="11" borderId="1" xfId="0" applyFont="1" applyFill="1" applyBorder="1" applyAlignment="1">
      <alignment horizontal="left" vertical="center" wrapText="1"/>
    </xf>
    <xf numFmtId="2" fontId="13" fillId="0" borderId="0" xfId="0" applyNumberFormat="1" applyFont="1"/>
    <xf numFmtId="0" fontId="14" fillId="0" borderId="0" xfId="0" applyFont="1"/>
    <xf numFmtId="0" fontId="13" fillId="0" borderId="34" xfId="0" applyFont="1" applyBorder="1"/>
    <xf numFmtId="0" fontId="13" fillId="3" borderId="34" xfId="0" applyFont="1" applyFill="1" applyBorder="1"/>
    <xf numFmtId="0" fontId="0" fillId="3" borderId="0" xfId="0" applyFill="1"/>
    <xf numFmtId="0" fontId="13" fillId="3" borderId="0" xfId="0" applyFont="1" applyFill="1"/>
    <xf numFmtId="168" fontId="13" fillId="0" borderId="0" xfId="0" applyNumberFormat="1" applyFont="1"/>
    <xf numFmtId="168" fontId="0" fillId="3" borderId="0" xfId="0" applyNumberFormat="1" applyFill="1"/>
    <xf numFmtId="165" fontId="0" fillId="0" borderId="34" xfId="0" applyNumberFormat="1" applyBorder="1"/>
    <xf numFmtId="0" fontId="13" fillId="11" borderId="43" xfId="0" applyFont="1" applyFill="1" applyBorder="1"/>
    <xf numFmtId="0" fontId="0" fillId="0" borderId="42" xfId="0" applyBorder="1"/>
    <xf numFmtId="0" fontId="0" fillId="0" borderId="54" xfId="0" applyBorder="1"/>
    <xf numFmtId="2" fontId="0" fillId="0" borderId="0" xfId="0" applyNumberFormat="1"/>
    <xf numFmtId="0" fontId="13" fillId="13" borderId="34" xfId="0" applyFont="1" applyFill="1" applyBorder="1"/>
    <xf numFmtId="0" fontId="13" fillId="11" borderId="28" xfId="0" applyFont="1" applyFill="1" applyBorder="1"/>
    <xf numFmtId="2" fontId="13" fillId="11" borderId="28" xfId="0" applyNumberFormat="1" applyFont="1" applyFill="1" applyBorder="1"/>
    <xf numFmtId="165" fontId="13" fillId="11" borderId="28" xfId="0" applyNumberFormat="1" applyFont="1" applyFill="1" applyBorder="1"/>
    <xf numFmtId="1" fontId="0" fillId="0" borderId="0" xfId="0" applyNumberFormat="1"/>
    <xf numFmtId="167" fontId="0" fillId="11" borderId="0" xfId="0" applyNumberFormat="1" applyFill="1" applyAlignment="1">
      <alignment wrapText="1"/>
    </xf>
    <xf numFmtId="169" fontId="0" fillId="0" borderId="0" xfId="0" applyNumberFormat="1"/>
    <xf numFmtId="0" fontId="13" fillId="20" borderId="28" xfId="0" applyFont="1" applyFill="1" applyBorder="1"/>
    <xf numFmtId="0" fontId="13" fillId="20" borderId="0" xfId="0" applyFont="1" applyFill="1"/>
    <xf numFmtId="0" fontId="4" fillId="0" borderId="34" xfId="0" applyFont="1" applyBorder="1"/>
    <xf numFmtId="168" fontId="0" fillId="0" borderId="54" xfId="0" applyNumberFormat="1" applyBorder="1"/>
    <xf numFmtId="11" fontId="0" fillId="0" borderId="54" xfId="0" applyNumberFormat="1" applyBorder="1"/>
    <xf numFmtId="0" fontId="13" fillId="20" borderId="42" xfId="0" applyFont="1" applyFill="1" applyBorder="1"/>
    <xf numFmtId="168" fontId="0" fillId="20" borderId="54" xfId="0" applyNumberFormat="1" applyFill="1" applyBorder="1"/>
    <xf numFmtId="0" fontId="0" fillId="11" borderId="24" xfId="0" applyFill="1" applyBorder="1"/>
    <xf numFmtId="0" fontId="0" fillId="11" borderId="34" xfId="0" applyFill="1" applyBorder="1"/>
    <xf numFmtId="0" fontId="0" fillId="21" borderId="0" xfId="0" applyFill="1"/>
    <xf numFmtId="0" fontId="0" fillId="21" borderId="0" xfId="0" applyFill="1" applyAlignment="1">
      <alignment horizontal="center" vertical="center"/>
    </xf>
    <xf numFmtId="0" fontId="0" fillId="4" borderId="0" xfId="0" applyFill="1"/>
    <xf numFmtId="0" fontId="0" fillId="22" borderId="0" xfId="0" applyFill="1"/>
    <xf numFmtId="0" fontId="0" fillId="22" borderId="34" xfId="0" applyFill="1" applyBorder="1"/>
    <xf numFmtId="167" fontId="0" fillId="22" borderId="0" xfId="0" applyNumberFormat="1" applyFill="1"/>
    <xf numFmtId="9" fontId="0" fillId="22" borderId="0" xfId="2" applyFont="1" applyFill="1"/>
    <xf numFmtId="0" fontId="4" fillId="11" borderId="1" xfId="0" applyFont="1" applyFill="1" applyBorder="1"/>
    <xf numFmtId="0" fontId="4" fillId="0" borderId="0" xfId="0" applyFont="1"/>
    <xf numFmtId="0" fontId="4" fillId="11" borderId="0" xfId="0" applyFont="1" applyFill="1"/>
    <xf numFmtId="0" fontId="4" fillId="11" borderId="44" xfId="0" applyFont="1" applyFill="1" applyBorder="1"/>
    <xf numFmtId="0" fontId="0" fillId="0" borderId="30" xfId="0" applyBorder="1"/>
    <xf numFmtId="165" fontId="0" fillId="11" borderId="0" xfId="0" applyNumberFormat="1" applyFill="1"/>
    <xf numFmtId="0" fontId="0" fillId="11" borderId="0" xfId="0" applyFill="1" applyAlignment="1">
      <alignment horizontal="right"/>
    </xf>
    <xf numFmtId="0" fontId="0" fillId="16" borderId="0" xfId="0" applyFill="1"/>
    <xf numFmtId="165" fontId="0" fillId="16" borderId="0" xfId="0" applyNumberFormat="1" applyFill="1"/>
    <xf numFmtId="0" fontId="13" fillId="11" borderId="0" xfId="0" applyFont="1" applyFill="1" applyAlignment="1">
      <alignment horizontal="right"/>
    </xf>
    <xf numFmtId="165" fontId="13" fillId="11" borderId="0" xfId="0" applyNumberFormat="1" applyFont="1" applyFill="1"/>
    <xf numFmtId="165" fontId="0" fillId="6" borderId="0" xfId="0" applyNumberFormat="1" applyFill="1"/>
    <xf numFmtId="0" fontId="15" fillId="6" borderId="0" xfId="0" applyFont="1" applyFill="1"/>
    <xf numFmtId="165" fontId="0" fillId="0" borderId="55" xfId="0" applyNumberFormat="1" applyBorder="1"/>
    <xf numFmtId="2" fontId="13" fillId="11" borderId="56" xfId="0" applyNumberFormat="1" applyFont="1" applyFill="1" applyBorder="1"/>
    <xf numFmtId="2" fontId="0" fillId="0" borderId="55" xfId="0" applyNumberFormat="1" applyBorder="1"/>
    <xf numFmtId="165" fontId="13" fillId="11" borderId="56" xfId="0" applyNumberFormat="1" applyFont="1" applyFill="1" applyBorder="1"/>
    <xf numFmtId="11" fontId="0" fillId="0" borderId="55" xfId="0" applyNumberFormat="1" applyBorder="1"/>
    <xf numFmtId="165" fontId="0" fillId="6" borderId="55" xfId="0" applyNumberFormat="1" applyFill="1" applyBorder="1"/>
    <xf numFmtId="165" fontId="0" fillId="0" borderId="55" xfId="0" applyNumberFormat="1" applyBorder="1" applyAlignment="1">
      <alignment wrapText="1"/>
    </xf>
    <xf numFmtId="168" fontId="0" fillId="0" borderId="55" xfId="0" applyNumberFormat="1" applyBorder="1" applyAlignment="1">
      <alignment wrapText="1"/>
    </xf>
    <xf numFmtId="167" fontId="0" fillId="11" borderId="55" xfId="0" applyNumberFormat="1" applyFill="1" applyBorder="1" applyAlignment="1">
      <alignment wrapText="1"/>
    </xf>
    <xf numFmtId="168" fontId="0" fillId="3" borderId="55" xfId="0" applyNumberFormat="1" applyFill="1" applyBorder="1"/>
    <xf numFmtId="165" fontId="0" fillId="0" borderId="57" xfId="0" applyNumberFormat="1" applyBorder="1"/>
    <xf numFmtId="168" fontId="13" fillId="0" borderId="55" xfId="0" applyNumberFormat="1" applyFont="1" applyBorder="1"/>
    <xf numFmtId="0" fontId="0" fillId="0" borderId="55" xfId="0" applyBorder="1"/>
    <xf numFmtId="168" fontId="0" fillId="0" borderId="55" xfId="0" applyNumberFormat="1" applyBorder="1"/>
    <xf numFmtId="1" fontId="0" fillId="0" borderId="55" xfId="0" applyNumberFormat="1" applyBorder="1"/>
    <xf numFmtId="169" fontId="0" fillId="0" borderId="55" xfId="0" applyNumberFormat="1" applyBorder="1"/>
    <xf numFmtId="0" fontId="13" fillId="11" borderId="56" xfId="0" applyFont="1" applyFill="1" applyBorder="1"/>
    <xf numFmtId="0" fontId="0" fillId="6" borderId="55" xfId="0" applyFill="1" applyBorder="1"/>
    <xf numFmtId="0" fontId="0" fillId="11" borderId="55" xfId="0" applyFill="1" applyBorder="1"/>
    <xf numFmtId="0" fontId="0" fillId="3" borderId="55" xfId="0" applyFill="1" applyBorder="1"/>
    <xf numFmtId="0" fontId="0" fillId="0" borderId="57" xfId="0" applyBorder="1"/>
    <xf numFmtId="0" fontId="13" fillId="0" borderId="55" xfId="0" applyFont="1" applyBorder="1"/>
    <xf numFmtId="0" fontId="0" fillId="0" borderId="8" xfId="0" applyBorder="1"/>
    <xf numFmtId="0" fontId="0" fillId="0" borderId="24" xfId="0" applyBorder="1"/>
    <xf numFmtId="0" fontId="16" fillId="0" borderId="0" xfId="0" applyFont="1"/>
    <xf numFmtId="0" fontId="17" fillId="0" borderId="0" xfId="0" applyFont="1"/>
    <xf numFmtId="0" fontId="0" fillId="22" borderId="8" xfId="0" applyFill="1" applyBorder="1"/>
    <xf numFmtId="0" fontId="0" fillId="22" borderId="8" xfId="0" applyFill="1" applyBorder="1" applyAlignment="1">
      <alignment horizontal="center"/>
    </xf>
    <xf numFmtId="167" fontId="0" fillId="0" borderId="54" xfId="0" applyNumberFormat="1" applyBorder="1"/>
    <xf numFmtId="0" fontId="13" fillId="6" borderId="42" xfId="0" applyFont="1" applyFill="1" applyBorder="1"/>
    <xf numFmtId="168" fontId="0" fillId="6" borderId="54" xfId="0" applyNumberFormat="1" applyFill="1" applyBorder="1"/>
    <xf numFmtId="0" fontId="14" fillId="0" borderId="42" xfId="0" applyFont="1" applyBorder="1"/>
    <xf numFmtId="0" fontId="18" fillId="8" borderId="45" xfId="0" applyFont="1" applyFill="1" applyBorder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0" fillId="0" borderId="0" xfId="0" applyFont="1"/>
    <xf numFmtId="165" fontId="4" fillId="22" borderId="0" xfId="0" applyNumberFormat="1" applyFont="1" applyFill="1" applyAlignment="1">
      <alignment horizontal="center" vertical="center"/>
    </xf>
    <xf numFmtId="0" fontId="21" fillId="0" borderId="34" xfId="0" applyFont="1" applyBorder="1"/>
    <xf numFmtId="9" fontId="0" fillId="0" borderId="0" xfId="2" applyFont="1" applyAlignment="1">
      <alignment horizontal="left"/>
    </xf>
    <xf numFmtId="2" fontId="0" fillId="20" borderId="0" xfId="0" applyNumberFormat="1" applyFill="1"/>
    <xf numFmtId="2" fontId="21" fillId="0" borderId="0" xfId="0" applyNumberFormat="1" applyFont="1"/>
    <xf numFmtId="170" fontId="0" fillId="0" borderId="0" xfId="2" applyNumberFormat="1" applyFont="1"/>
    <xf numFmtId="170" fontId="0" fillId="0" borderId="0" xfId="0" applyNumberFormat="1"/>
    <xf numFmtId="10" fontId="0" fillId="0" borderId="0" xfId="2" applyNumberFormat="1" applyFont="1"/>
    <xf numFmtId="171" fontId="0" fillId="0" borderId="0" xfId="0" applyNumberFormat="1"/>
    <xf numFmtId="0" fontId="1" fillId="0" borderId="0" xfId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21" fillId="0" borderId="0" xfId="0" applyFont="1"/>
    <xf numFmtId="165" fontId="0" fillId="27" borderId="0" xfId="0" applyNumberFormat="1" applyFill="1"/>
    <xf numFmtId="0" fontId="0" fillId="0" borderId="0" xfId="0" applyAlignment="1">
      <alignment horizontal="center"/>
    </xf>
    <xf numFmtId="0" fontId="26" fillId="0" borderId="0" xfId="0" applyFont="1"/>
    <xf numFmtId="170" fontId="0" fillId="27" borderId="0" xfId="2" applyNumberFormat="1" applyFont="1" applyFill="1"/>
    <xf numFmtId="170" fontId="0" fillId="27" borderId="0" xfId="0" applyNumberFormat="1" applyFill="1"/>
    <xf numFmtId="0" fontId="13" fillId="22" borderId="28" xfId="0" applyFont="1" applyFill="1" applyBorder="1"/>
    <xf numFmtId="0" fontId="0" fillId="0" borderId="0" xfId="0" applyFont="1"/>
    <xf numFmtId="0" fontId="0" fillId="0" borderId="34" xfId="0" applyFont="1" applyBorder="1"/>
    <xf numFmtId="0" fontId="0" fillId="0" borderId="34" xfId="0" applyBorder="1" applyAlignment="1">
      <alignment wrapText="1"/>
    </xf>
    <xf numFmtId="0" fontId="23" fillId="0" borderId="0" xfId="0" applyFont="1"/>
    <xf numFmtId="0" fontId="0" fillId="0" borderId="0" xfId="0" applyBorder="1"/>
    <xf numFmtId="9" fontId="0" fillId="0" borderId="0" xfId="2" applyFont="1" applyBorder="1" applyAlignment="1">
      <alignment horizontal="left"/>
    </xf>
    <xf numFmtId="170" fontId="0" fillId="27" borderId="0" xfId="2" applyNumberFormat="1" applyFont="1" applyFill="1" applyBorder="1"/>
    <xf numFmtId="0" fontId="0" fillId="0" borderId="0" xfId="0" applyFill="1" applyBorder="1"/>
    <xf numFmtId="0" fontId="0" fillId="0" borderId="34" xfId="0" applyFill="1" applyBorder="1"/>
    <xf numFmtId="2" fontId="0" fillId="3" borderId="0" xfId="0" applyNumberFormat="1" applyFill="1"/>
    <xf numFmtId="0" fontId="0" fillId="0" borderId="0" xfId="0" applyFill="1"/>
    <xf numFmtId="0" fontId="0" fillId="10" borderId="0" xfId="0" applyFill="1" applyBorder="1"/>
    <xf numFmtId="9" fontId="0" fillId="0" borderId="0" xfId="2" applyFont="1" applyFill="1"/>
    <xf numFmtId="9" fontId="0" fillId="0" borderId="0" xfId="0" applyNumberFormat="1" applyFill="1"/>
    <xf numFmtId="2" fontId="0" fillId="0" borderId="0" xfId="0" applyNumberFormat="1" applyFill="1"/>
    <xf numFmtId="0" fontId="28" fillId="22" borderId="0" xfId="0" applyFont="1" applyFill="1"/>
    <xf numFmtId="2" fontId="0" fillId="0" borderId="34" xfId="0" applyNumberFormat="1" applyFill="1" applyBorder="1"/>
    <xf numFmtId="2" fontId="0" fillId="0" borderId="0" xfId="0" applyNumberFormat="1" applyFill="1" applyBorder="1"/>
    <xf numFmtId="165" fontId="0" fillId="0" borderId="0" xfId="0" applyNumberFormat="1" applyBorder="1"/>
    <xf numFmtId="2" fontId="0" fillId="0" borderId="0" xfId="0" applyNumberFormat="1" applyBorder="1"/>
    <xf numFmtId="0" fontId="30" fillId="0" borderId="34" xfId="0" applyFont="1" applyBorder="1"/>
    <xf numFmtId="0" fontId="31" fillId="0" borderId="34" xfId="0" applyFont="1" applyBorder="1"/>
    <xf numFmtId="0" fontId="32" fillId="0" borderId="34" xfId="0" applyFont="1" applyBorder="1"/>
    <xf numFmtId="0" fontId="9" fillId="6" borderId="0" xfId="0" applyFont="1" applyFill="1" applyAlignment="1">
      <alignment horizontal="left" vertical="center"/>
    </xf>
    <xf numFmtId="0" fontId="7" fillId="8" borderId="15" xfId="0" applyFont="1" applyFill="1" applyBorder="1" applyAlignment="1">
      <alignment horizontal="left"/>
    </xf>
    <xf numFmtId="0" fontId="7" fillId="8" borderId="25" xfId="0" applyFont="1" applyFill="1" applyBorder="1" applyAlignment="1">
      <alignment horizontal="left"/>
    </xf>
    <xf numFmtId="0" fontId="7" fillId="8" borderId="16" xfId="0" applyFont="1" applyFill="1" applyBorder="1" applyAlignment="1">
      <alignment horizontal="left"/>
    </xf>
    <xf numFmtId="0" fontId="7" fillId="0" borderId="39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3" borderId="15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20" borderId="34" xfId="0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FFFF66"/>
      <color rgb="FFFAA3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>
                <a:latin typeface="Times New Roman" panose="02020603050405020304" pitchFamily="18" charset="0"/>
                <a:cs typeface="Times New Roman" panose="02020603050405020304" pitchFamily="18" charset="0"/>
              </a:rPr>
              <a:t>Density variation</a:t>
            </a:r>
            <a:endParaRPr lang="el-GR" sz="1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5529247968403355"/>
          <c:y val="2.0609310756491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42377432855061"/>
          <c:y val="0.13769183292502377"/>
          <c:w val="0.75497436490656933"/>
          <c:h val="0.6611877995044028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'Manual rev.1'!$F$227</c:f>
              <c:strCache>
                <c:ptCount val="1"/>
                <c:pt idx="0">
                  <c:v>ρ/ρ0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">
                <a:solidFill>
                  <a:schemeClr val="accent1"/>
                </a:solidFill>
              </a:ln>
              <a:effectLst/>
            </c:spPr>
          </c:marker>
          <c:xVal>
            <c:numRef>
              <c:f>'Manual rev.1'!$E$228:$E$237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0.7</c:v>
                </c:pt>
                <c:pt idx="8">
                  <c:v>0.8</c:v>
                </c:pt>
                <c:pt idx="9">
                  <c:v>1</c:v>
                </c:pt>
              </c:numCache>
            </c:numRef>
          </c:xVal>
          <c:yVal>
            <c:numRef>
              <c:f>'Manual rev.1'!$F$228:$F$237</c:f>
              <c:numCache>
                <c:formatCode>General</c:formatCode>
                <c:ptCount val="10"/>
                <c:pt idx="0">
                  <c:v>0.99501744764400046</c:v>
                </c:pt>
                <c:pt idx="1">
                  <c:v>0.98883799942083594</c:v>
                </c:pt>
                <c:pt idx="2">
                  <c:v>0.96942099314119834</c:v>
                </c:pt>
                <c:pt idx="3">
                  <c:v>0.96185088330603818</c:v>
                </c:pt>
                <c:pt idx="4">
                  <c:v>0.95638015306690838</c:v>
                </c:pt>
                <c:pt idx="5">
                  <c:v>0.95058018276636214</c:v>
                </c:pt>
                <c:pt idx="6">
                  <c:v>0.92427404330578189</c:v>
                </c:pt>
                <c:pt idx="7">
                  <c:v>0.79157879136912335</c:v>
                </c:pt>
                <c:pt idx="8">
                  <c:v>0.73999238550892377</c:v>
                </c:pt>
                <c:pt idx="9">
                  <c:v>0.63393814526060888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835-478F-8138-D014632F9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40304"/>
        <c:axId val="175537952"/>
      </c:scatterChart>
      <c:valAx>
        <c:axId val="17554030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7952"/>
        <c:crosses val="autoZero"/>
        <c:crossBetween val="midCat"/>
        <c:majorUnit val="0.30000000000000004"/>
        <c:minorUnit val="0.30000000000000004"/>
      </c:valAx>
      <c:valAx>
        <c:axId val="175537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>
                    <a:latin typeface="Aptos Narrow" panose="020B0004020202020204" pitchFamily="34" charset="0"/>
                  </a:rPr>
                  <a:t>ρ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/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ρ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 Narrow" panose="020B0004020202020204" pitchFamily="34" charset="0"/>
                  </a:rPr>
                  <a:t>0</a:t>
                </a:r>
                <a:endParaRPr lang="es-MX" sz="1000"/>
              </a:p>
            </c:rich>
          </c:tx>
          <c:layout>
            <c:manualLayout>
              <c:xMode val="edge"/>
              <c:yMode val="edge"/>
              <c:x val="3.0905583031765787E-5"/>
              <c:y val="0.391209762560182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4030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r>
              <a:rPr lang="es-MX"/>
              <a:t>Critical Mach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'Manual rev.1'!$B$166</c:f>
              <c:strCache>
                <c:ptCount val="1"/>
                <c:pt idx="0">
                  <c:v>Cp,cr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rev.1'!$A$167:$A$187</c:f>
              <c:numCache>
                <c:formatCode>0.00</c:formatCode>
                <c:ptCount val="21"/>
                <c:pt idx="0">
                  <c:v>0.5</c:v>
                </c:pt>
                <c:pt idx="1">
                  <c:v>0.52500000000000002</c:v>
                </c:pt>
                <c:pt idx="2">
                  <c:v>0.55000000000000004</c:v>
                </c:pt>
                <c:pt idx="3">
                  <c:v>0.57500000000000007</c:v>
                </c:pt>
                <c:pt idx="4">
                  <c:v>0.60000000000000009</c:v>
                </c:pt>
                <c:pt idx="5">
                  <c:v>0.62500000000000011</c:v>
                </c:pt>
                <c:pt idx="6">
                  <c:v>0.65000000000000013</c:v>
                </c:pt>
                <c:pt idx="7">
                  <c:v>0.67500000000000016</c:v>
                </c:pt>
                <c:pt idx="8">
                  <c:v>0.70000000000000018</c:v>
                </c:pt>
                <c:pt idx="9">
                  <c:v>0.7250000000000002</c:v>
                </c:pt>
                <c:pt idx="10">
                  <c:v>0.75000000000000022</c:v>
                </c:pt>
                <c:pt idx="11">
                  <c:v>0.77500000000000024</c:v>
                </c:pt>
                <c:pt idx="12">
                  <c:v>0.80000000000000027</c:v>
                </c:pt>
                <c:pt idx="13">
                  <c:v>0.82500000000000029</c:v>
                </c:pt>
                <c:pt idx="14">
                  <c:v>0.85000000000000031</c:v>
                </c:pt>
                <c:pt idx="15">
                  <c:v>0.87500000000000033</c:v>
                </c:pt>
                <c:pt idx="16">
                  <c:v>0.90000000000000036</c:v>
                </c:pt>
                <c:pt idx="17">
                  <c:v>0.92500000000000038</c:v>
                </c:pt>
                <c:pt idx="18">
                  <c:v>0.9500000000000004</c:v>
                </c:pt>
                <c:pt idx="19">
                  <c:v>0.97500000000000042</c:v>
                </c:pt>
                <c:pt idx="20">
                  <c:v>1.0000000000000004</c:v>
                </c:pt>
              </c:numCache>
            </c:numRef>
          </c:xVal>
          <c:yVal>
            <c:numRef>
              <c:f>'Manual rev.1'!$B$167:$B$187</c:f>
              <c:numCache>
                <c:formatCode>0.00</c:formatCode>
                <c:ptCount val="21"/>
                <c:pt idx="0">
                  <c:v>-2.133402668349714</c:v>
                </c:pt>
                <c:pt idx="1">
                  <c:v>-1.8792336576441555</c:v>
                </c:pt>
                <c:pt idx="2">
                  <c:v>-1.6582622168975083</c:v>
                </c:pt>
                <c:pt idx="3">
                  <c:v>-1.464806802032955</c:v>
                </c:pt>
                <c:pt idx="4">
                  <c:v>-1.2943435904552825</c:v>
                </c:pt>
                <c:pt idx="5">
                  <c:v>-1.1432343202924669</c:v>
                </c:pt>
                <c:pt idx="6">
                  <c:v>-1.0085259417860786</c:v>
                </c:pt>
                <c:pt idx="7">
                  <c:v>-0.88780121440446147</c:v>
                </c:pt>
                <c:pt idx="8">
                  <c:v>-0.77906596455962962</c:v>
                </c:pt>
                <c:pt idx="9">
                  <c:v>-0.68066307202112553</c:v>
                </c:pt>
                <c:pt idx="10">
                  <c:v>-0.59120618074665254</c:v>
                </c:pt>
                <c:pt idx="11">
                  <c:v>-0.50952812909954748</c:v>
                </c:pt>
                <c:pt idx="12">
                  <c:v>-0.43464047915522891</c:v>
                </c:pt>
                <c:pt idx="13">
                  <c:v>-0.36570149657757012</c:v>
                </c:pt>
                <c:pt idx="14">
                  <c:v>-0.30199062290533707</c:v>
                </c:pt>
                <c:pt idx="15">
                  <c:v>-0.24288797814629501</c:v>
                </c:pt>
                <c:pt idx="16">
                  <c:v>-0.18785779183683954</c:v>
                </c:pt>
                <c:pt idx="17">
                  <c:v>-0.13643492498851681</c:v>
                </c:pt>
                <c:pt idx="18">
                  <c:v>-8.8213841015504529E-2</c:v>
                </c:pt>
                <c:pt idx="19">
                  <c:v>-4.2839529905831897E-2</c:v>
                </c:pt>
                <c:pt idx="20">
                  <c:v>1.2688263138573206E-15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FB2-45B1-BE2E-D996ABC7ADF7}"/>
            </c:ext>
          </c:extLst>
        </c:ser>
        <c:ser>
          <c:idx val="1"/>
          <c:order val="1"/>
          <c:tx>
            <c:v>Mach vs Cp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rev.1'!$A$167:$A$187</c:f>
              <c:numCache>
                <c:formatCode>0.00</c:formatCode>
                <c:ptCount val="21"/>
                <c:pt idx="0">
                  <c:v>0.5</c:v>
                </c:pt>
                <c:pt idx="1">
                  <c:v>0.52500000000000002</c:v>
                </c:pt>
                <c:pt idx="2">
                  <c:v>0.55000000000000004</c:v>
                </c:pt>
                <c:pt idx="3">
                  <c:v>0.57500000000000007</c:v>
                </c:pt>
                <c:pt idx="4">
                  <c:v>0.60000000000000009</c:v>
                </c:pt>
                <c:pt idx="5">
                  <c:v>0.62500000000000011</c:v>
                </c:pt>
                <c:pt idx="6">
                  <c:v>0.65000000000000013</c:v>
                </c:pt>
                <c:pt idx="7">
                  <c:v>0.67500000000000016</c:v>
                </c:pt>
                <c:pt idx="8">
                  <c:v>0.70000000000000018</c:v>
                </c:pt>
                <c:pt idx="9">
                  <c:v>0.7250000000000002</c:v>
                </c:pt>
                <c:pt idx="10">
                  <c:v>0.75000000000000022</c:v>
                </c:pt>
                <c:pt idx="11">
                  <c:v>0.77500000000000024</c:v>
                </c:pt>
                <c:pt idx="12">
                  <c:v>0.80000000000000027</c:v>
                </c:pt>
                <c:pt idx="13">
                  <c:v>0.82500000000000029</c:v>
                </c:pt>
                <c:pt idx="14">
                  <c:v>0.85000000000000031</c:v>
                </c:pt>
                <c:pt idx="15">
                  <c:v>0.87500000000000033</c:v>
                </c:pt>
                <c:pt idx="16">
                  <c:v>0.90000000000000036</c:v>
                </c:pt>
                <c:pt idx="17">
                  <c:v>0.92500000000000038</c:v>
                </c:pt>
                <c:pt idx="18">
                  <c:v>0.9500000000000004</c:v>
                </c:pt>
                <c:pt idx="19">
                  <c:v>0.97500000000000042</c:v>
                </c:pt>
                <c:pt idx="20">
                  <c:v>1.0000000000000004</c:v>
                </c:pt>
              </c:numCache>
            </c:numRef>
          </c:xVal>
          <c:yVal>
            <c:numRef>
              <c:f>'Manual rev.1'!$C$167:$C$187</c:f>
              <c:numCache>
                <c:formatCode>General</c:formatCode>
                <c:ptCount val="21"/>
                <c:pt idx="0">
                  <c:v>-0.13856406460551018</c:v>
                </c:pt>
                <c:pt idx="1">
                  <c:v>-0.14099363890705119</c:v>
                </c:pt>
                <c:pt idx="2">
                  <c:v>-0.14368424162141991</c:v>
                </c:pt>
                <c:pt idx="3">
                  <c:v>-0.14667175952451381</c:v>
                </c:pt>
                <c:pt idx="4">
                  <c:v>-0.15</c:v>
                </c:pt>
                <c:pt idx="5">
                  <c:v>-0.15372302765288365</c:v>
                </c:pt>
                <c:pt idx="6">
                  <c:v>-0.15790840679034457</c:v>
                </c:pt>
                <c:pt idx="7">
                  <c:v>-0.16264179541720736</c:v>
                </c:pt>
                <c:pt idx="8">
                  <c:v>-0.16803361008336121</c:v>
                </c:pt>
                <c:pt idx="9">
                  <c:v>-0.17422896207375071</c:v>
                </c:pt>
                <c:pt idx="10">
                  <c:v>-0.18142294704442916</c:v>
                </c:pt>
                <c:pt idx="11">
                  <c:v>-0.18988506531101662</c:v>
                </c:pt>
                <c:pt idx="12">
                  <c:v>-0.20000000000000012</c:v>
                </c:pt>
                <c:pt idx="13">
                  <c:v>-0.21233949849782838</c:v>
                </c:pt>
                <c:pt idx="14">
                  <c:v>-0.22779791898059995</c:v>
                </c:pt>
                <c:pt idx="15">
                  <c:v>-0.24787093415727499</c:v>
                </c:pt>
                <c:pt idx="16">
                  <c:v>-0.27529888064467456</c:v>
                </c:pt>
                <c:pt idx="17">
                  <c:v>-0.31581681358068991</c:v>
                </c:pt>
                <c:pt idx="18">
                  <c:v>-0.38430756913221059</c:v>
                </c:pt>
                <c:pt idx="19">
                  <c:v>-0.54004219244449603</c:v>
                </c:pt>
                <c:pt idx="20">
                  <c:v>-2.13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FB2-45B1-BE2E-D996ABC7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38736"/>
        <c:axId val="175539128"/>
      </c:scatterChart>
      <c:valAx>
        <c:axId val="1755387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5539128"/>
        <c:crossesAt val="0"/>
        <c:crossBetween val="midCat"/>
      </c:valAx>
      <c:valAx>
        <c:axId val="175539128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5538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Time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Pressure distribution</a:t>
            </a:r>
            <a:r>
              <a:rPr lang="es-MX" baseline="0"/>
              <a:t> in Flat plate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Lower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rev.1'!$A$195:$A$205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</c:numCache>
            </c:numRef>
          </c:xVal>
          <c:yVal>
            <c:numRef>
              <c:f>'Manual rev.1'!$D$195:$D$205</c:f>
              <c:numCache>
                <c:formatCode>General</c:formatCode>
                <c:ptCount val="11"/>
                <c:pt idx="0">
                  <c:v>0</c:v>
                </c:pt>
                <c:pt idx="1">
                  <c:v>2.1955015844965509E-2</c:v>
                </c:pt>
                <c:pt idx="2">
                  <c:v>3.0977704868796141E-2</c:v>
                </c:pt>
                <c:pt idx="3">
                  <c:v>3.7872707159892438E-2</c:v>
                </c:pt>
                <c:pt idx="4">
                  <c:v>4.3666337754101781E-2</c:v>
                </c:pt>
                <c:pt idx="5">
                  <c:v>4.8756131139964021E-2</c:v>
                </c:pt>
                <c:pt idx="6">
                  <c:v>5.334596720549345E-2</c:v>
                </c:pt>
                <c:pt idx="7">
                  <c:v>5.7556959955968101E-2</c:v>
                </c:pt>
                <c:pt idx="8">
                  <c:v>6.1468021865933475E-2</c:v>
                </c:pt>
                <c:pt idx="9">
                  <c:v>6.5133965727408594E-2</c:v>
                </c:pt>
                <c:pt idx="10">
                  <c:v>6.8594700400626429E-2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12A7-4AC8-8BE4-DB3F894777C5}"/>
            </c:ext>
          </c:extLst>
        </c:ser>
        <c:ser>
          <c:idx val="1"/>
          <c:order val="1"/>
          <c:tx>
            <c:v>Upper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'Manual rev.1'!$A$195:$A$205</c:f>
              <c:numCache>
                <c:formatCode>0.00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</c:numCache>
            </c:numRef>
          </c:xVal>
          <c:yVal>
            <c:numRef>
              <c:f>'Manual rev.1'!$C$195:$C$205</c:f>
              <c:numCache>
                <c:formatCode>General</c:formatCode>
                <c:ptCount val="11"/>
                <c:pt idx="0">
                  <c:v>0</c:v>
                </c:pt>
                <c:pt idx="1">
                  <c:v>-2.2198709780794745E-2</c:v>
                </c:pt>
                <c:pt idx="2">
                  <c:v>-3.1465092740454725E-2</c:v>
                </c:pt>
                <c:pt idx="3">
                  <c:v>-3.8603788967380481E-2</c:v>
                </c:pt>
                <c:pt idx="4">
                  <c:v>-4.4641113497419171E-2</c:v>
                </c:pt>
                <c:pt idx="5">
                  <c:v>-4.9974600819110648E-2</c:v>
                </c:pt>
                <c:pt idx="6">
                  <c:v>-5.4808130820469758E-2</c:v>
                </c:pt>
                <c:pt idx="7">
                  <c:v>-5.9262817506773757E-2</c:v>
                </c:pt>
                <c:pt idx="8">
                  <c:v>-6.3417573352568368E-2</c:v>
                </c:pt>
                <c:pt idx="9">
                  <c:v>-6.7327211149872612E-2</c:v>
                </c:pt>
                <c:pt idx="10">
                  <c:v>-7.1031639758920129E-2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12A7-4AC8-8BE4-DB3F89477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62520"/>
        <c:axId val="409062912"/>
      </c:scatterChart>
      <c:valAx>
        <c:axId val="40906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62912"/>
        <c:crosses val="autoZero"/>
        <c:crossBetween val="midCat"/>
      </c:valAx>
      <c:valAx>
        <c:axId val="4090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62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Geometry!$B$28:$C$28</c:f>
              <c:strCache>
                <c:ptCount val="2"/>
                <c:pt idx="0">
                  <c:v>References</c:v>
                </c:pt>
                <c:pt idx="1">
                  <c:v>Solidworks Tutorial - Equation Driven Curve - YouTube</c:v>
                </c:pt>
              </c:strCache>
            </c:strRef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multiLvlStrRef>
              <c:f>Geometry!$D$11:$G$27</c:f>
              <c:multiLvlStrCache>
                <c:ptCount val="4"/>
                <c:lvl>
                  <c:pt idx="0">
                    <c:v>30</c:v>
                  </c:pt>
                  <c:pt idx="1">
                    <c:v>cm</c:v>
                  </c:pt>
                  <c:pt idx="2">
                    <c:v>0.3</c:v>
                  </c:pt>
                  <c:pt idx="3">
                    <c:v>m</c:v>
                  </c:pt>
                </c:lvl>
                <c:lvl>
                  <c:pt idx="0">
                    <c:v>8</c:v>
                  </c:pt>
                  <c:pt idx="1">
                    <c:v>cm</c:v>
                  </c:pt>
                  <c:pt idx="2">
                    <c:v>0.08</c:v>
                  </c:pt>
                  <c:pt idx="3">
                    <c:v>m</c:v>
                  </c:pt>
                </c:lvl>
                <c:lvl>
                  <c:pt idx="0">
                    <c:v>0.133333333</c:v>
                  </c:pt>
                </c:lvl>
                <c:lvl>
                  <c:pt idx="0">
                    <c:v>X</c:v>
                  </c:pt>
                </c:lvl>
              </c:multiLvlStrCache>
            </c:multiLvlStrRef>
          </c:xVal>
          <c:yVal>
            <c:numRef>
              <c:f>Geometry!$D$28:$G$28</c:f>
              <c:numCache>
                <c:formatCode>General</c:formatCode>
                <c:ptCount val="4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732A-4EAB-BD37-C103652F6D9D}"/>
            </c:ext>
          </c:extLst>
        </c:ser>
        <c:ser>
          <c:idx val="1"/>
          <c:order val="1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1.25</c:v>
                </c:pt>
                <c:pt idx="4">
                  <c:v>1.75</c:v>
                </c:pt>
                <c:pt idx="5">
                  <c:v>2.25</c:v>
                </c:pt>
                <c:pt idx="6">
                  <c:v>2.75</c:v>
                </c:pt>
                <c:pt idx="7">
                  <c:v>3.25</c:v>
                </c:pt>
                <c:pt idx="8">
                  <c:v>3.75</c:v>
                </c:pt>
                <c:pt idx="9">
                  <c:v>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732A-4EAB-BD37-C103652F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66440"/>
        <c:axId val="409064088"/>
      </c:scatterChart>
      <c:valAx>
        <c:axId val="40906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4088"/>
        <c:crosses val="autoZero"/>
        <c:crossBetween val="midCat"/>
      </c:valAx>
      <c:valAx>
        <c:axId val="40906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6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CBF-4EDB-AD71-A011C9467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60168"/>
        <c:axId val="409060560"/>
      </c:scatterChart>
      <c:valAx>
        <c:axId val="40906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0560"/>
        <c:crosses val="autoZero"/>
        <c:crossBetween val="midCat"/>
      </c:valAx>
      <c:valAx>
        <c:axId val="4090605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0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Geometry!$U$13:$U$22</c:f>
              <c:numCache>
                <c:formatCode>General</c:formatCode>
                <c:ptCount val="10"/>
                <c:pt idx="0">
                  <c:v>0</c:v>
                </c:pt>
                <c:pt idx="1">
                  <c:v>0.49204644928391872</c:v>
                </c:pt>
                <c:pt idx="2">
                  <c:v>1.3754189936287986</c:v>
                </c:pt>
                <c:pt idx="3">
                  <c:v>2.1270810018620665</c:v>
                </c:pt>
                <c:pt idx="4">
                  <c:v>2.7496550767374259</c:v>
                </c:pt>
                <c:pt idx="5">
                  <c:v>3.2452608902894013</c:v>
                </c:pt>
                <c:pt idx="6">
                  <c:v>3.6155527305546542</c:v>
                </c:pt>
                <c:pt idx="7">
                  <c:v>3.8617478661462172</c:v>
                </c:pt>
                <c:pt idx="8">
                  <c:v>3.9846468964288704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AA-4E7A-81E2-39419AF3D854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Geometry!$V$13:$V$22</c:f>
              <c:numCache>
                <c:formatCode>General</c:formatCode>
                <c:ptCount val="10"/>
                <c:pt idx="0">
                  <c:v>0</c:v>
                </c:pt>
                <c:pt idx="1">
                  <c:v>-0.49204644928391872</c:v>
                </c:pt>
                <c:pt idx="2">
                  <c:v>-1.3754189936287986</c:v>
                </c:pt>
                <c:pt idx="3">
                  <c:v>-2.1270810018620665</c:v>
                </c:pt>
                <c:pt idx="4">
                  <c:v>-2.7496550767374259</c:v>
                </c:pt>
                <c:pt idx="5">
                  <c:v>-3.2452608902894013</c:v>
                </c:pt>
                <c:pt idx="6">
                  <c:v>-3.6155527305546542</c:v>
                </c:pt>
                <c:pt idx="7">
                  <c:v>-3.8617478661462172</c:v>
                </c:pt>
                <c:pt idx="8">
                  <c:v>-3.9846468964288704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9AA-4E7A-81E2-39419AF3D854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9AA-4E7A-81E2-39419AF3D854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9AA-4E7A-81E2-39419AF3D854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</c:v>
                </c:pt>
                <c:pt idx="1">
                  <c:v>7.75</c:v>
                </c:pt>
                <c:pt idx="2">
                  <c:v>15.25</c:v>
                </c:pt>
                <c:pt idx="3">
                  <c:v>22.75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9AA-4E7A-81E2-39419AF3D854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</c:v>
                </c:pt>
                <c:pt idx="1">
                  <c:v>-7.75</c:v>
                </c:pt>
                <c:pt idx="2">
                  <c:v>-15.25</c:v>
                </c:pt>
                <c:pt idx="3">
                  <c:v>-22.75</c:v>
                </c:pt>
                <c:pt idx="4">
                  <c:v>-24</c:v>
                </c:pt>
                <c:pt idx="5">
                  <c:v>-24</c:v>
                </c:pt>
                <c:pt idx="6">
                  <c:v>-24</c:v>
                </c:pt>
                <c:pt idx="7">
                  <c:v>-24</c:v>
                </c:pt>
                <c:pt idx="8">
                  <c:v>-24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39AA-4E7A-81E2-39419AF3D854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</c:v>
                </c:pt>
                <c:pt idx="1">
                  <c:v>3.890625</c:v>
                </c:pt>
                <c:pt idx="2">
                  <c:v>3.671875</c:v>
                </c:pt>
                <c:pt idx="3">
                  <c:v>3.453125</c:v>
                </c:pt>
                <c:pt idx="4">
                  <c:v>3.234375</c:v>
                </c:pt>
                <c:pt idx="5">
                  <c:v>3.015625</c:v>
                </c:pt>
                <c:pt idx="6">
                  <c:v>2.796875</c:v>
                </c:pt>
                <c:pt idx="7">
                  <c:v>2.578125</c:v>
                </c:pt>
                <c:pt idx="8">
                  <c:v>2.359375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39AA-4E7A-81E2-39419AF3D854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</c:v>
                </c:pt>
                <c:pt idx="1">
                  <c:v>-3.890625</c:v>
                </c:pt>
                <c:pt idx="2">
                  <c:v>-3.671875</c:v>
                </c:pt>
                <c:pt idx="3">
                  <c:v>-3.453125</c:v>
                </c:pt>
                <c:pt idx="4">
                  <c:v>-3.234375</c:v>
                </c:pt>
                <c:pt idx="5">
                  <c:v>-3.015625</c:v>
                </c:pt>
                <c:pt idx="6">
                  <c:v>-2.796875</c:v>
                </c:pt>
                <c:pt idx="7">
                  <c:v>-2.578125</c:v>
                </c:pt>
                <c:pt idx="8">
                  <c:v>-2.359375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9AA-4E7A-81E2-39419AF3D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62128"/>
        <c:axId val="409063304"/>
      </c:scatterChart>
      <c:valAx>
        <c:axId val="4090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3304"/>
        <c:crosses val="autoZero"/>
        <c:crossBetween val="midCat"/>
      </c:valAx>
      <c:valAx>
        <c:axId val="40906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FIN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</c:v>
                </c:pt>
                <c:pt idx="1">
                  <c:v>7.75</c:v>
                </c:pt>
                <c:pt idx="2">
                  <c:v>15.25</c:v>
                </c:pt>
                <c:pt idx="3">
                  <c:v>22.75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73E-4B0F-86D8-090F2C718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59776"/>
        <c:axId val="409064872"/>
        <c:extLst xmlns:c16r2="http://schemas.microsoft.com/office/drawing/2015/06/chart"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AERO FIN</c:v>
                </c:tx>
                <c:spPr>
                  <a:ln w="19050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Geometry!$K$50:$K$59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93.999999999999986</c:v>
                      </c:pt>
                      <c:pt idx="1">
                        <c:v>110</c:v>
                      </c:pt>
                      <c:pt idx="2">
                        <c:v>110.9375</c:v>
                      </c:pt>
                      <c:pt idx="3">
                        <c:v>112.8125</c:v>
                      </c:pt>
                      <c:pt idx="4">
                        <c:v>114.6875</c:v>
                      </c:pt>
                      <c:pt idx="5">
                        <c:v>116.5625</c:v>
                      </c:pt>
                      <c:pt idx="6">
                        <c:v>118.4375</c:v>
                      </c:pt>
                      <c:pt idx="7">
                        <c:v>120.3125</c:v>
                      </c:pt>
                      <c:pt idx="8">
                        <c:v>125</c:v>
                      </c:pt>
                      <c:pt idx="9">
                        <c:v>125</c:v>
                      </c:pt>
                    </c:numCache>
                  </c:numRef>
                </c:xVal>
                <c:y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Geometry!$L$50:$L$59</c15:sqref>
                        </c15:formulaRef>
                      </c:ext>
                    </c:extLst>
                    <c:numCache>
                      <c:formatCode>0.000</c:formatCode>
                      <c:ptCount val="10"/>
                      <c:pt idx="0">
                        <c:v>0</c:v>
                      </c:pt>
                      <c:pt idx="1">
                        <c:v>3</c:v>
                      </c:pt>
                      <c:pt idx="2">
                        <c:v>7.75</c:v>
                      </c:pt>
                      <c:pt idx="3">
                        <c:v>15.25</c:v>
                      </c:pt>
                      <c:pt idx="4">
                        <c:v>22.75</c:v>
                      </c:pt>
                      <c:pt idx="5">
                        <c:v>24</c:v>
                      </c:pt>
                      <c:pt idx="6">
                        <c:v>24</c:v>
                      </c:pt>
                      <c:pt idx="7">
                        <c:v>24</c:v>
                      </c:pt>
                      <c:pt idx="8">
                        <c:v>24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1-3EFD-4F75-B961-07E1A551384F}"/>
                  </c:ext>
                </c:extLst>
              </c15:ser>
            </c15:filteredScatterSeries>
          </c:ext>
        </c:extLst>
      </c:scatterChart>
      <c:valAx>
        <c:axId val="4090597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4872"/>
        <c:crosses val="autoZero"/>
        <c:crossBetween val="midCat"/>
      </c:valAx>
      <c:valAx>
        <c:axId val="40906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5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Geometry!$H$88:$H$97</c:f>
              <c:numCache>
                <c:formatCode>0.00</c:formatCode>
                <c:ptCount val="10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</c:numCache>
            </c:numRef>
          </c:xVal>
          <c:yVal>
            <c:numRef>
              <c:f>Geometry!$I$88:$I$97</c:f>
              <c:numCache>
                <c:formatCode>0.00</c:formatCode>
                <c:ptCount val="10"/>
                <c:pt idx="0">
                  <c:v>4</c:v>
                </c:pt>
                <c:pt idx="1">
                  <c:v>3.890625</c:v>
                </c:pt>
                <c:pt idx="2">
                  <c:v>3.671875</c:v>
                </c:pt>
                <c:pt idx="3">
                  <c:v>3.453125</c:v>
                </c:pt>
                <c:pt idx="4">
                  <c:v>3.234375</c:v>
                </c:pt>
                <c:pt idx="5">
                  <c:v>3.015625</c:v>
                </c:pt>
                <c:pt idx="6">
                  <c:v>2.796875</c:v>
                </c:pt>
                <c:pt idx="7">
                  <c:v>2.578125</c:v>
                </c:pt>
                <c:pt idx="8">
                  <c:v>2.359375</c:v>
                </c:pt>
                <c:pt idx="9">
                  <c:v>2.25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E06-44B8-AE9B-6F70EF4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065264"/>
        <c:axId val="409059384"/>
      </c:scatterChart>
      <c:valAx>
        <c:axId val="4090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59384"/>
        <c:crosses val="autoZero"/>
        <c:crossBetween val="midCat"/>
      </c:valAx>
      <c:valAx>
        <c:axId val="409059384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906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UP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</c:v>
                </c:pt>
                <c:pt idx="1">
                  <c:v>7.75</c:v>
                </c:pt>
                <c:pt idx="2">
                  <c:v>15.25</c:v>
                </c:pt>
                <c:pt idx="3">
                  <c:v>22.75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B0-43FF-B993-9F8CAD72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0888"/>
        <c:axId val="410305200"/>
      </c:scatterChart>
      <c:valAx>
        <c:axId val="41030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5200"/>
        <c:crosses val="autoZero"/>
        <c:crossBetween val="midCat"/>
      </c:valAx>
      <c:valAx>
        <c:axId val="41030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0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Curve Ogive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Geometry!$T$13:$T$22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Geometry!$U$13:$U$22</c:f>
              <c:numCache>
                <c:formatCode>General</c:formatCode>
                <c:ptCount val="10"/>
                <c:pt idx="0">
                  <c:v>0</c:v>
                </c:pt>
                <c:pt idx="1">
                  <c:v>0.49204644928391872</c:v>
                </c:pt>
                <c:pt idx="2">
                  <c:v>1.3754189936287986</c:v>
                </c:pt>
                <c:pt idx="3">
                  <c:v>2.1270810018620665</c:v>
                </c:pt>
                <c:pt idx="4">
                  <c:v>2.7496550767374259</c:v>
                </c:pt>
                <c:pt idx="5">
                  <c:v>3.2452608902894013</c:v>
                </c:pt>
                <c:pt idx="6">
                  <c:v>3.6155527305546542</c:v>
                </c:pt>
                <c:pt idx="7">
                  <c:v>3.8617478661462172</c:v>
                </c:pt>
                <c:pt idx="8">
                  <c:v>3.9846468964288704</c:v>
                </c:pt>
                <c:pt idx="9">
                  <c:v>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EED-4A41-8FB3-D2AF21D4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2064"/>
        <c:axId val="410304024"/>
      </c:scatterChart>
      <c:valAx>
        <c:axId val="4103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4024"/>
        <c:crosses val="autoZero"/>
        <c:crossBetween val="midCat"/>
      </c:valAx>
      <c:valAx>
        <c:axId val="41030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Geometry x-y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1.25</c:v>
                </c:pt>
                <c:pt idx="4">
                  <c:v>1.75</c:v>
                </c:pt>
                <c:pt idx="5">
                  <c:v>2.25</c:v>
                </c:pt>
                <c:pt idx="6">
                  <c:v>2.75</c:v>
                </c:pt>
                <c:pt idx="7">
                  <c:v>3.25</c:v>
                </c:pt>
                <c:pt idx="8">
                  <c:v>3.75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D1F-4B70-9D87-12CAE95793F9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Geometry!$J$13:$J$22</c:f>
              <c:numCache>
                <c:formatCode>General</c:formatCode>
                <c:ptCount val="10"/>
                <c:pt idx="0">
                  <c:v>0</c:v>
                </c:pt>
                <c:pt idx="1">
                  <c:v>-0.25</c:v>
                </c:pt>
                <c:pt idx="2">
                  <c:v>-0.75</c:v>
                </c:pt>
                <c:pt idx="3">
                  <c:v>-1.25</c:v>
                </c:pt>
                <c:pt idx="4">
                  <c:v>-1.75</c:v>
                </c:pt>
                <c:pt idx="5">
                  <c:v>-2.25</c:v>
                </c:pt>
                <c:pt idx="6">
                  <c:v>-2.75</c:v>
                </c:pt>
                <c:pt idx="7">
                  <c:v>-3.25</c:v>
                </c:pt>
                <c:pt idx="8">
                  <c:v>-3.75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D1F-4B70-9D87-12CAE95793F9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D1F-4B70-9D87-12CAE95793F9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D1F-4B70-9D87-12CAE95793F9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</c:v>
                </c:pt>
                <c:pt idx="1">
                  <c:v>7.75</c:v>
                </c:pt>
                <c:pt idx="2">
                  <c:v>15.25</c:v>
                </c:pt>
                <c:pt idx="3">
                  <c:v>22.75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D1F-4B70-9D87-12CAE95793F9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</c:v>
                </c:pt>
                <c:pt idx="1">
                  <c:v>-7.75</c:v>
                </c:pt>
                <c:pt idx="2">
                  <c:v>-15.25</c:v>
                </c:pt>
                <c:pt idx="3">
                  <c:v>-22.75</c:v>
                </c:pt>
                <c:pt idx="4">
                  <c:v>-24</c:v>
                </c:pt>
                <c:pt idx="5">
                  <c:v>-24</c:v>
                </c:pt>
                <c:pt idx="6">
                  <c:v>-24</c:v>
                </c:pt>
                <c:pt idx="7">
                  <c:v>-24</c:v>
                </c:pt>
                <c:pt idx="8">
                  <c:v>-24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D1F-4B70-9D87-12CAE95793F9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</c:v>
                </c:pt>
                <c:pt idx="1">
                  <c:v>3.890625</c:v>
                </c:pt>
                <c:pt idx="2">
                  <c:v>3.671875</c:v>
                </c:pt>
                <c:pt idx="3">
                  <c:v>3.453125</c:v>
                </c:pt>
                <c:pt idx="4">
                  <c:v>3.234375</c:v>
                </c:pt>
                <c:pt idx="5">
                  <c:v>3.015625</c:v>
                </c:pt>
                <c:pt idx="6">
                  <c:v>2.796875</c:v>
                </c:pt>
                <c:pt idx="7">
                  <c:v>2.578125</c:v>
                </c:pt>
                <c:pt idx="8">
                  <c:v>2.359375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D1F-4B70-9D87-12CAE95793F9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</c:v>
                </c:pt>
                <c:pt idx="1">
                  <c:v>-3.890625</c:v>
                </c:pt>
                <c:pt idx="2">
                  <c:v>-3.671875</c:v>
                </c:pt>
                <c:pt idx="3">
                  <c:v>-3.453125</c:v>
                </c:pt>
                <c:pt idx="4">
                  <c:v>-3.234375</c:v>
                </c:pt>
                <c:pt idx="5">
                  <c:v>-3.015625</c:v>
                </c:pt>
                <c:pt idx="6">
                  <c:v>-2.796875</c:v>
                </c:pt>
                <c:pt idx="7">
                  <c:v>-2.578125</c:v>
                </c:pt>
                <c:pt idx="8">
                  <c:v>-2.359375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FD1F-4B70-9D87-12CAE95793F9}"/>
            </c:ext>
          </c:extLst>
        </c:ser>
        <c:ser>
          <c:idx val="8"/>
          <c:order val="8"/>
          <c:tx>
            <c:v>CG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2225">
                <a:solidFill>
                  <a:schemeClr val="accent1">
                    <a:shade val="55000"/>
                  </a:schemeClr>
                </a:solidFill>
              </a:ln>
              <a:effectLst/>
            </c:spPr>
          </c:marker>
          <c:xVal>
            <c:numRef>
              <c:f>'Forces balance'!$D$17:$D$28</c:f>
              <c:numCache>
                <c:formatCode>General</c:formatCode>
                <c:ptCount val="12"/>
                <c:pt idx="0">
                  <c:v>20</c:v>
                </c:pt>
                <c:pt idx="1">
                  <c:v>80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0</c:v>
                </c:pt>
                <c:pt idx="7">
                  <c:v>40</c:v>
                </c:pt>
                <c:pt idx="8">
                  <c:v>60</c:v>
                </c:pt>
                <c:pt idx="9">
                  <c:v>120</c:v>
                </c:pt>
                <c:pt idx="10">
                  <c:v>25</c:v>
                </c:pt>
                <c:pt idx="11" formatCode="0.000">
                  <c:v>55.85471317382531</c:v>
                </c:pt>
              </c:numCache>
            </c:numRef>
          </c:xVal>
          <c:yVal>
            <c:numRef>
              <c:f>'Forces balance'!$E$17:$E$28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-6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0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D1F-4B70-9D87-12CAE95793F9}"/>
            </c:ext>
          </c:extLst>
        </c:ser>
        <c:ser>
          <c:idx val="9"/>
          <c:order val="9"/>
          <c:tx>
            <c:v>RocketCG</c:v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66675">
                <a:solidFill>
                  <a:schemeClr val="tx1"/>
                </a:solidFill>
              </a:ln>
              <a:effectLst/>
            </c:spPr>
          </c:marker>
          <c:xVal>
            <c:numRef>
              <c:f>'Forces balance'!$D$28</c:f>
              <c:numCache>
                <c:formatCode>0.000</c:formatCode>
                <c:ptCount val="1"/>
                <c:pt idx="0">
                  <c:v>55.85471317382531</c:v>
                </c:pt>
              </c:numCache>
            </c:numRef>
          </c:xVal>
          <c:yVal>
            <c:numRef>
              <c:f>'Forces balance'!$E$28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D1F-4B70-9D87-12CAE957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2456"/>
        <c:axId val="410301280"/>
      </c:scatterChart>
      <c:valAx>
        <c:axId val="410302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1280"/>
        <c:crosses val="autoZero"/>
        <c:crossBetween val="midCat"/>
      </c:valAx>
      <c:valAx>
        <c:axId val="41030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y-axis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2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Geometry x-z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Cone+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Geometry!$I$13:$I$22</c:f>
              <c:numCache>
                <c:formatCode>General</c:formatCode>
                <c:ptCount val="10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1.25</c:v>
                </c:pt>
                <c:pt idx="4">
                  <c:v>1.75</c:v>
                </c:pt>
                <c:pt idx="5">
                  <c:v>2.25</c:v>
                </c:pt>
                <c:pt idx="6">
                  <c:v>2.75</c:v>
                </c:pt>
                <c:pt idx="7">
                  <c:v>3.25</c:v>
                </c:pt>
                <c:pt idx="8">
                  <c:v>3.75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F12-4686-BBBE-06C2AAA143DE}"/>
            </c:ext>
          </c:extLst>
        </c:ser>
        <c:ser>
          <c:idx val="0"/>
          <c:order val="1"/>
          <c:tx>
            <c:v>Cone-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Geometry!$H$13:$H$22</c:f>
              <c:numCache>
                <c:formatCode>General</c:formatCode>
                <c:ptCount val="10"/>
                <c:pt idx="0">
                  <c:v>0</c:v>
                </c:pt>
                <c:pt idx="1">
                  <c:v>1.875</c:v>
                </c:pt>
                <c:pt idx="2">
                  <c:v>5.625</c:v>
                </c:pt>
                <c:pt idx="3">
                  <c:v>9.375</c:v>
                </c:pt>
                <c:pt idx="4">
                  <c:v>13.125</c:v>
                </c:pt>
                <c:pt idx="5">
                  <c:v>16.875</c:v>
                </c:pt>
                <c:pt idx="6">
                  <c:v>20.625</c:v>
                </c:pt>
                <c:pt idx="7">
                  <c:v>24.375</c:v>
                </c:pt>
                <c:pt idx="8">
                  <c:v>28.125</c:v>
                </c:pt>
                <c:pt idx="9">
                  <c:v>30</c:v>
                </c:pt>
              </c:numCache>
            </c:numRef>
          </c:xVal>
          <c:yVal>
            <c:numRef>
              <c:f>Geometry!$J$13:$J$22</c:f>
              <c:numCache>
                <c:formatCode>General</c:formatCode>
                <c:ptCount val="10"/>
                <c:pt idx="0">
                  <c:v>0</c:v>
                </c:pt>
                <c:pt idx="1">
                  <c:v>-0.25</c:v>
                </c:pt>
                <c:pt idx="2">
                  <c:v>-0.75</c:v>
                </c:pt>
                <c:pt idx="3">
                  <c:v>-1.25</c:v>
                </c:pt>
                <c:pt idx="4">
                  <c:v>-1.75</c:v>
                </c:pt>
                <c:pt idx="5">
                  <c:v>-2.25</c:v>
                </c:pt>
                <c:pt idx="6">
                  <c:v>-2.75</c:v>
                </c:pt>
                <c:pt idx="7">
                  <c:v>-3.25</c:v>
                </c:pt>
                <c:pt idx="8">
                  <c:v>-3.75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F12-4686-BBBE-06C2AAA143DE}"/>
            </c:ext>
          </c:extLst>
        </c:ser>
        <c:ser>
          <c:idx val="2"/>
          <c:order val="2"/>
          <c:tx>
            <c:v>RT+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Geometry!$I$31:$I$40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F12-4686-BBBE-06C2AAA143DE}"/>
            </c:ext>
          </c:extLst>
        </c:ser>
        <c:ser>
          <c:idx val="3"/>
          <c:order val="3"/>
          <c:tx>
            <c:v>RT-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Geometry!$H$31:$H$40</c:f>
              <c:numCache>
                <c:formatCode>0.0</c:formatCode>
                <c:ptCount val="10"/>
                <c:pt idx="0" formatCode="General">
                  <c:v>30</c:v>
                </c:pt>
                <c:pt idx="1">
                  <c:v>36.25</c:v>
                </c:pt>
                <c:pt idx="2">
                  <c:v>48.75</c:v>
                </c:pt>
                <c:pt idx="3">
                  <c:v>61.25</c:v>
                </c:pt>
                <c:pt idx="4">
                  <c:v>73.75</c:v>
                </c:pt>
                <c:pt idx="5">
                  <c:v>86.25</c:v>
                </c:pt>
                <c:pt idx="6">
                  <c:v>98.75</c:v>
                </c:pt>
                <c:pt idx="7">
                  <c:v>111.25</c:v>
                </c:pt>
                <c:pt idx="8">
                  <c:v>123.75</c:v>
                </c:pt>
                <c:pt idx="9">
                  <c:v>130</c:v>
                </c:pt>
              </c:numCache>
            </c:numRef>
          </c:xVal>
          <c:yVal>
            <c:numRef>
              <c:f>Geometry!$J$31:$J$40</c:f>
              <c:numCache>
                <c:formatCode>General</c:formatCode>
                <c:ptCount val="10"/>
                <c:pt idx="0">
                  <c:v>-4</c:v>
                </c:pt>
                <c:pt idx="1">
                  <c:v>-4</c:v>
                </c:pt>
                <c:pt idx="2">
                  <c:v>-4</c:v>
                </c:pt>
                <c:pt idx="3">
                  <c:v>-4</c:v>
                </c:pt>
                <c:pt idx="4">
                  <c:v>-4</c:v>
                </c:pt>
                <c:pt idx="5">
                  <c:v>-4</c:v>
                </c:pt>
                <c:pt idx="6">
                  <c:v>-4</c:v>
                </c:pt>
                <c:pt idx="7">
                  <c:v>-4</c:v>
                </c:pt>
                <c:pt idx="8">
                  <c:v>-4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F12-4686-BBBE-06C2AAA143DE}"/>
            </c:ext>
          </c:extLst>
        </c:ser>
        <c:ser>
          <c:idx val="4"/>
          <c:order val="4"/>
          <c:tx>
            <c:v>FUP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Geometry!$I$50:$I$59</c:f>
              <c:numCache>
                <c:formatCode>0.000</c:formatCode>
                <c:ptCount val="10"/>
                <c:pt idx="0">
                  <c:v>4</c:v>
                </c:pt>
                <c:pt idx="1">
                  <c:v>7.75</c:v>
                </c:pt>
                <c:pt idx="2">
                  <c:v>15.25</c:v>
                </c:pt>
                <c:pt idx="3">
                  <c:v>22.75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12-4686-BBBE-06C2AAA143DE}"/>
            </c:ext>
          </c:extLst>
        </c:ser>
        <c:ser>
          <c:idx val="5"/>
          <c:order val="5"/>
          <c:tx>
            <c:v>FDN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Geometry!$H$50:$H$59</c:f>
              <c:numCache>
                <c:formatCode>0.000</c:formatCode>
                <c:ptCount val="10"/>
                <c:pt idx="0">
                  <c:v>110</c:v>
                </c:pt>
                <c:pt idx="1">
                  <c:v>110.9375</c:v>
                </c:pt>
                <c:pt idx="2">
                  <c:v>112.8125</c:v>
                </c:pt>
                <c:pt idx="3">
                  <c:v>114.6875</c:v>
                </c:pt>
                <c:pt idx="4">
                  <c:v>116.5625</c:v>
                </c:pt>
                <c:pt idx="5">
                  <c:v>118.4375</c:v>
                </c:pt>
                <c:pt idx="6">
                  <c:v>120.3125</c:v>
                </c:pt>
                <c:pt idx="7">
                  <c:v>122.1875</c:v>
                </c:pt>
                <c:pt idx="8">
                  <c:v>125</c:v>
                </c:pt>
                <c:pt idx="9">
                  <c:v>125</c:v>
                </c:pt>
              </c:numCache>
            </c:numRef>
          </c:xVal>
          <c:yVal>
            <c:numRef>
              <c:f>Geometry!$J$50:$J$59</c:f>
              <c:numCache>
                <c:formatCode>0.000</c:formatCode>
                <c:ptCount val="10"/>
                <c:pt idx="0">
                  <c:v>-4</c:v>
                </c:pt>
                <c:pt idx="1">
                  <c:v>-7.75</c:v>
                </c:pt>
                <c:pt idx="2">
                  <c:v>-15.25</c:v>
                </c:pt>
                <c:pt idx="3">
                  <c:v>-22.75</c:v>
                </c:pt>
                <c:pt idx="4">
                  <c:v>-24</c:v>
                </c:pt>
                <c:pt idx="5">
                  <c:v>-24</c:v>
                </c:pt>
                <c:pt idx="6">
                  <c:v>-24</c:v>
                </c:pt>
                <c:pt idx="7">
                  <c:v>-24</c:v>
                </c:pt>
                <c:pt idx="8">
                  <c:v>-24</c:v>
                </c:pt>
                <c:pt idx="9">
                  <c:v>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F12-4686-BBBE-06C2AAA143DE}"/>
            </c:ext>
          </c:extLst>
        </c:ser>
        <c:ser>
          <c:idx val="6"/>
          <c:order val="6"/>
          <c:tx>
            <c:v>BT+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Geometry!$I$88:$I$98</c:f>
              <c:numCache>
                <c:formatCode>0.00</c:formatCode>
                <c:ptCount val="11"/>
                <c:pt idx="0">
                  <c:v>4</c:v>
                </c:pt>
                <c:pt idx="1">
                  <c:v>3.890625</c:v>
                </c:pt>
                <c:pt idx="2">
                  <c:v>3.671875</c:v>
                </c:pt>
                <c:pt idx="3">
                  <c:v>3.453125</c:v>
                </c:pt>
                <c:pt idx="4">
                  <c:v>3.234375</c:v>
                </c:pt>
                <c:pt idx="5">
                  <c:v>3.015625</c:v>
                </c:pt>
                <c:pt idx="6">
                  <c:v>2.796875</c:v>
                </c:pt>
                <c:pt idx="7">
                  <c:v>2.578125</c:v>
                </c:pt>
                <c:pt idx="8">
                  <c:v>2.359375</c:v>
                </c:pt>
                <c:pt idx="9">
                  <c:v>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F12-4686-BBBE-06C2AAA143DE}"/>
            </c:ext>
          </c:extLst>
        </c:ser>
        <c:ser>
          <c:idx val="7"/>
          <c:order val="7"/>
          <c:tx>
            <c:v>BT-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Geometry!$H$88:$H$98</c:f>
              <c:numCache>
                <c:formatCode>0.00</c:formatCode>
                <c:ptCount val="11"/>
                <c:pt idx="0">
                  <c:v>130</c:v>
                </c:pt>
                <c:pt idx="1">
                  <c:v>130.5</c:v>
                </c:pt>
                <c:pt idx="2">
                  <c:v>131.5</c:v>
                </c:pt>
                <c:pt idx="3">
                  <c:v>132.5</c:v>
                </c:pt>
                <c:pt idx="4">
                  <c:v>133.5</c:v>
                </c:pt>
                <c:pt idx="5">
                  <c:v>134.5</c:v>
                </c:pt>
                <c:pt idx="6">
                  <c:v>135.5</c:v>
                </c:pt>
                <c:pt idx="7">
                  <c:v>136.5</c:v>
                </c:pt>
                <c:pt idx="8">
                  <c:v>137.5</c:v>
                </c:pt>
                <c:pt idx="9">
                  <c:v>138</c:v>
                </c:pt>
                <c:pt idx="10">
                  <c:v>138</c:v>
                </c:pt>
              </c:numCache>
            </c:numRef>
          </c:xVal>
          <c:yVal>
            <c:numRef>
              <c:f>Geometry!$J$88:$J$98</c:f>
              <c:numCache>
                <c:formatCode>0.00</c:formatCode>
                <c:ptCount val="11"/>
                <c:pt idx="0">
                  <c:v>-4</c:v>
                </c:pt>
                <c:pt idx="1">
                  <c:v>-3.890625</c:v>
                </c:pt>
                <c:pt idx="2">
                  <c:v>-3.671875</c:v>
                </c:pt>
                <c:pt idx="3">
                  <c:v>-3.453125</c:v>
                </c:pt>
                <c:pt idx="4">
                  <c:v>-3.234375</c:v>
                </c:pt>
                <c:pt idx="5">
                  <c:v>-3.015625</c:v>
                </c:pt>
                <c:pt idx="6">
                  <c:v>-2.796875</c:v>
                </c:pt>
                <c:pt idx="7">
                  <c:v>-2.578125</c:v>
                </c:pt>
                <c:pt idx="8">
                  <c:v>-2.359375</c:v>
                </c:pt>
                <c:pt idx="9">
                  <c:v>-2.25</c:v>
                </c:pt>
                <c:pt idx="10" formatCode="General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F12-4686-BBBE-06C2AAA143DE}"/>
            </c:ext>
          </c:extLst>
        </c:ser>
        <c:ser>
          <c:idx val="8"/>
          <c:order val="8"/>
          <c:tx>
            <c:v>CG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22225">
                <a:solidFill>
                  <a:schemeClr val="tx1"/>
                </a:solidFill>
              </a:ln>
              <a:effectLst/>
            </c:spPr>
          </c:marker>
          <c:xVal>
            <c:numRef>
              <c:f>'Forces balance'!$D$17:$D$28</c:f>
              <c:numCache>
                <c:formatCode>General</c:formatCode>
                <c:ptCount val="12"/>
                <c:pt idx="0">
                  <c:v>20</c:v>
                </c:pt>
                <c:pt idx="1">
                  <c:v>80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0</c:v>
                </c:pt>
                <c:pt idx="7">
                  <c:v>40</c:v>
                </c:pt>
                <c:pt idx="8">
                  <c:v>60</c:v>
                </c:pt>
                <c:pt idx="9">
                  <c:v>120</c:v>
                </c:pt>
                <c:pt idx="10">
                  <c:v>25</c:v>
                </c:pt>
                <c:pt idx="11" formatCode="0.000">
                  <c:v>55.85471317382531</c:v>
                </c:pt>
              </c:numCache>
            </c:numRef>
          </c:xVal>
          <c:yVal>
            <c:numRef>
              <c:f>'Forces balance'!$F$17:$F$28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-6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0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A80-4305-BDF2-1B159997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4416"/>
        <c:axId val="410305592"/>
      </c:scatterChart>
      <c:valAx>
        <c:axId val="41030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x-axis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5592"/>
        <c:crosses val="autoZero"/>
        <c:crossBetween val="midCat"/>
      </c:valAx>
      <c:valAx>
        <c:axId val="41030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z-axis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30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Mechanical</a:t>
            </a:r>
            <a:r>
              <a:rPr lang="en-US" sz="1100" baseline="0"/>
              <a:t> compatibility longitudinal (tension)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v>Fiber prop</c:v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SimpleComposites!$B$49:$B$50</c:f>
              <c:numCache>
                <c:formatCode>0.00%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SimpleComposites!$D$49:$D$50</c:f>
              <c:numCache>
                <c:formatCode>0.00</c:formatCode>
                <c:ptCount val="2"/>
                <c:pt idx="0">
                  <c:v>0</c:v>
                </c:pt>
                <c:pt idx="1">
                  <c:v>219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88-4C82-AAB9-81698529BB97}"/>
            </c:ext>
          </c:extLst>
        </c:ser>
        <c:ser>
          <c:idx val="7"/>
          <c:order val="1"/>
          <c:tx>
            <c:v>Matrix prop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SimpleComposites!$B$51:$B$53</c:f>
              <c:numCache>
                <c:formatCode>0.00%</c:formatCode>
                <c:ptCount val="3"/>
                <c:pt idx="0">
                  <c:v>0</c:v>
                </c:pt>
                <c:pt idx="1">
                  <c:v>1.9E-2</c:v>
                </c:pt>
                <c:pt idx="2">
                  <c:v>2.7999999999999997E-2</c:v>
                </c:pt>
              </c:numCache>
            </c:numRef>
          </c:xVal>
          <c:yVal>
            <c:numRef>
              <c:f>SimpleComposites!$D$51:$D$53</c:f>
              <c:numCache>
                <c:formatCode>0.00</c:formatCode>
                <c:ptCount val="3"/>
                <c:pt idx="0">
                  <c:v>0</c:v>
                </c:pt>
                <c:pt idx="1">
                  <c:v>34.03921568627451</c:v>
                </c:pt>
                <c:pt idx="2">
                  <c:v>42.549019607843135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988-4C82-AAB9-81698529BB97}"/>
            </c:ext>
          </c:extLst>
        </c:ser>
        <c:ser>
          <c:idx val="8"/>
          <c:order val="2"/>
          <c:tx>
            <c:v>Composite prop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A668-49E6-B37F-CC1E0295A8BA}"/>
                </c:ex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SimpleComposites!$B$54:$B$55</c:f>
              <c:numCache>
                <c:formatCode>0.00%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SimpleComposites!$D$54:$D$55</c:f>
              <c:numCache>
                <c:formatCode>0.00</c:formatCode>
                <c:ptCount val="2"/>
                <c:pt idx="0">
                  <c:v>0</c:v>
                </c:pt>
                <c:pt idx="1">
                  <c:v>130.70735294117648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988-4C82-AAB9-81698529B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1672"/>
        <c:axId val="410304808"/>
      </c:scatterChart>
      <c:valAx>
        <c:axId val="410301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(mm/mm</a:t>
                </a:r>
                <a:r>
                  <a:rPr lang="en-US" baseline="0"/>
                  <a:t> 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4808"/>
        <c:crosses val="autoZero"/>
        <c:crossBetween val="midCat"/>
      </c:valAx>
      <c:valAx>
        <c:axId val="4103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1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Mechanical</a:t>
            </a:r>
            <a:r>
              <a:rPr lang="en-US" sz="1100" baseline="0"/>
              <a:t> compatibility transversal</a:t>
            </a:r>
          </a:p>
          <a:p>
            <a:pPr>
              <a:defRPr sz="1100"/>
            </a:pPr>
            <a:r>
              <a:rPr lang="en-US" sz="1100" baseline="0"/>
              <a:t>or compression</a:t>
            </a:r>
            <a:endParaRPr lang="en-US" sz="1100"/>
          </a:p>
        </c:rich>
      </c:tx>
      <c:layout>
        <c:manualLayout>
          <c:xMode val="edge"/>
          <c:yMode val="edge"/>
          <c:x val="0.20042036433124658"/>
          <c:y val="3.2423873892303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Fiber prop</c:v>
          </c:tx>
          <c:spPr>
            <a:ln w="19050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SimpleComposites!$C$49:$C$50</c:f>
              <c:numCache>
                <c:formatCode>0.0%</c:formatCode>
                <c:ptCount val="2"/>
                <c:pt idx="0">
                  <c:v>0</c:v>
                </c:pt>
                <c:pt idx="1">
                  <c:v>1.4999999999999999E-2</c:v>
                </c:pt>
              </c:numCache>
            </c:numRef>
          </c:xVal>
          <c:yVal>
            <c:numRef>
              <c:f>SimpleComposites!$E$49:$E$50</c:f>
              <c:numCache>
                <c:formatCode>0.00</c:formatCode>
                <c:ptCount val="2"/>
                <c:pt idx="0">
                  <c:v>0</c:v>
                </c:pt>
                <c:pt idx="1">
                  <c:v>21.900000000000002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0B-4985-9958-F91B0900BF0B}"/>
            </c:ext>
          </c:extLst>
        </c:ser>
        <c:ser>
          <c:idx val="4"/>
          <c:order val="1"/>
          <c:tx>
            <c:v>Matrix prop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SimpleComposites!$C$51:$C$53</c:f>
              <c:numCache>
                <c:formatCode>0.0%</c:formatCode>
                <c:ptCount val="3"/>
                <c:pt idx="0">
                  <c:v>0</c:v>
                </c:pt>
                <c:pt idx="1">
                  <c:v>1.9E-2</c:v>
                </c:pt>
                <c:pt idx="2">
                  <c:v>2.7999999999999997E-2</c:v>
                </c:pt>
              </c:numCache>
            </c:numRef>
          </c:xVal>
          <c:yVal>
            <c:numRef>
              <c:f>SimpleComposites!$E$51:$E$53</c:f>
              <c:numCache>
                <c:formatCode>0.00</c:formatCode>
                <c:ptCount val="3"/>
                <c:pt idx="0">
                  <c:v>0</c:v>
                </c:pt>
                <c:pt idx="1">
                  <c:v>97.176470588235304</c:v>
                </c:pt>
                <c:pt idx="2">
                  <c:v>121.47058823529412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60B-4985-9958-F91B0900BF0B}"/>
            </c:ext>
          </c:extLst>
        </c:ser>
        <c:ser>
          <c:idx val="2"/>
          <c:order val="2"/>
          <c:tx>
            <c:v>Composite prop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658-469D-92B9-CCB9E1E622ED}"/>
                </c:ex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SimpleComposites!$C$54:$C$55</c:f>
              <c:numCache>
                <c:formatCode>0.0%</c:formatCode>
                <c:ptCount val="2"/>
                <c:pt idx="0">
                  <c:v>0</c:v>
                </c:pt>
                <c:pt idx="1">
                  <c:v>1.6799999999999999E-2</c:v>
                </c:pt>
              </c:numCache>
            </c:numRef>
          </c:xVal>
          <c:yVal>
            <c:numRef>
              <c:f>SimpleComposites!$E$54:$E$55</c:f>
              <c:numCache>
                <c:formatCode>0.00</c:formatCode>
                <c:ptCount val="2"/>
                <c:pt idx="0">
                  <c:v>0</c:v>
                </c:pt>
                <c:pt idx="1">
                  <c:v>53.365411764705883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60B-4985-9958-F91B0900B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7552"/>
        <c:axId val="410306768"/>
      </c:scatterChart>
      <c:valAx>
        <c:axId val="41030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(mm/mm</a:t>
                </a:r>
                <a:r>
                  <a:rPr lang="en-US" baseline="0"/>
                  <a:t> 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6768"/>
        <c:crosses val="autoZero"/>
        <c:crossBetween val="midCat"/>
      </c:valAx>
      <c:valAx>
        <c:axId val="4103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7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Shear force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SimpleComposites!$B$124:$B$141</c:f>
              <c:numCache>
                <c:formatCode>General</c:formatCode>
                <c:ptCount val="18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660</c:v>
                </c:pt>
                <c:pt idx="9">
                  <c:v>720</c:v>
                </c:pt>
                <c:pt idx="10">
                  <c:v>810</c:v>
                </c:pt>
                <c:pt idx="11">
                  <c:v>900</c:v>
                </c:pt>
                <c:pt idx="12">
                  <c:v>990</c:v>
                </c:pt>
                <c:pt idx="13">
                  <c:v>1080</c:v>
                </c:pt>
                <c:pt idx="14">
                  <c:v>1170</c:v>
                </c:pt>
                <c:pt idx="15">
                  <c:v>1260</c:v>
                </c:pt>
                <c:pt idx="16">
                  <c:v>1350</c:v>
                </c:pt>
                <c:pt idx="17">
                  <c:v>1350</c:v>
                </c:pt>
              </c:numCache>
            </c:numRef>
          </c:xVal>
          <c:yVal>
            <c:numRef>
              <c:f>SimpleComposites!$C$124:$C$141</c:f>
              <c:numCache>
                <c:formatCode>General</c:formatCode>
                <c:ptCount val="18"/>
                <c:pt idx="0">
                  <c:v>89</c:v>
                </c:pt>
                <c:pt idx="1">
                  <c:v>95.324242424242428</c:v>
                </c:pt>
                <c:pt idx="2">
                  <c:v>101.64848484848486</c:v>
                </c:pt>
                <c:pt idx="3">
                  <c:v>107.97272727272728</c:v>
                </c:pt>
                <c:pt idx="4">
                  <c:v>114.29696969696971</c:v>
                </c:pt>
                <c:pt idx="5">
                  <c:v>120.62121212121214</c:v>
                </c:pt>
                <c:pt idx="6">
                  <c:v>126.94545454545457</c:v>
                </c:pt>
                <c:pt idx="7">
                  <c:v>133.26969696969698</c:v>
                </c:pt>
                <c:pt idx="8">
                  <c:v>135.37777777777779</c:v>
                </c:pt>
                <c:pt idx="9">
                  <c:v>93.171014492753642</c:v>
                </c:pt>
                <c:pt idx="10">
                  <c:v>29.860869565217413</c:v>
                </c:pt>
                <c:pt idx="11">
                  <c:v>-33.449275362318815</c:v>
                </c:pt>
                <c:pt idx="12">
                  <c:v>-96.759420289855058</c:v>
                </c:pt>
                <c:pt idx="13">
                  <c:v>-160.0695652173913</c:v>
                </c:pt>
                <c:pt idx="14">
                  <c:v>-223.37971014492751</c:v>
                </c:pt>
                <c:pt idx="15">
                  <c:v>-286.68985507246373</c:v>
                </c:pt>
                <c:pt idx="16">
                  <c:v>-350</c:v>
                </c:pt>
                <c:pt idx="17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B6-4A8D-82BF-790AC9BBEB98}"/>
            </c:ext>
            <c:ext xmlns:c15="http://schemas.microsoft.com/office/drawing/2012/chart" uri="{02D57815-91ED-43cb-92C2-25804820EDAC}">
              <c15:filteredSeriesTitle>
                <c15:tx>
                  <c:v>Shear stress graph</c:v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300104"/>
        <c:axId val="410789824"/>
      </c:scatterChart>
      <c:valAx>
        <c:axId val="410300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9824"/>
        <c:crosses val="autoZero"/>
        <c:crossBetween val="midCat"/>
      </c:valAx>
      <c:valAx>
        <c:axId val="4107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30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Bending moment graph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Bending moment graph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SimpleComposites!$B$124:$B$140</c:f>
              <c:numCache>
                <c:formatCode>General</c:formatCode>
                <c:ptCount val="17"/>
                <c:pt idx="0">
                  <c:v>0</c:v>
                </c:pt>
                <c:pt idx="1">
                  <c:v>90</c:v>
                </c:pt>
                <c:pt idx="2">
                  <c:v>180</c:v>
                </c:pt>
                <c:pt idx="3">
                  <c:v>270</c:v>
                </c:pt>
                <c:pt idx="4">
                  <c:v>360</c:v>
                </c:pt>
                <c:pt idx="5">
                  <c:v>450</c:v>
                </c:pt>
                <c:pt idx="6">
                  <c:v>540</c:v>
                </c:pt>
                <c:pt idx="7">
                  <c:v>630</c:v>
                </c:pt>
                <c:pt idx="8">
                  <c:v>660</c:v>
                </c:pt>
                <c:pt idx="9">
                  <c:v>720</c:v>
                </c:pt>
                <c:pt idx="10">
                  <c:v>810</c:v>
                </c:pt>
                <c:pt idx="11">
                  <c:v>900</c:v>
                </c:pt>
                <c:pt idx="12">
                  <c:v>990</c:v>
                </c:pt>
                <c:pt idx="13">
                  <c:v>1080</c:v>
                </c:pt>
                <c:pt idx="14">
                  <c:v>1170</c:v>
                </c:pt>
                <c:pt idx="15">
                  <c:v>1260</c:v>
                </c:pt>
                <c:pt idx="16">
                  <c:v>1350</c:v>
                </c:pt>
              </c:numCache>
            </c:numRef>
          </c:xVal>
          <c:yVal>
            <c:numRef>
              <c:f>SimpleComposites!$D$124:$D$140</c:f>
              <c:numCache>
                <c:formatCode>General</c:formatCode>
                <c:ptCount val="17"/>
                <c:pt idx="0">
                  <c:v>0</c:v>
                </c:pt>
                <c:pt idx="1">
                  <c:v>8294.5909090909099</c:v>
                </c:pt>
                <c:pt idx="2">
                  <c:v>17158.363636363636</c:v>
                </c:pt>
                <c:pt idx="3">
                  <c:v>26591.318181818184</c:v>
                </c:pt>
                <c:pt idx="4">
                  <c:v>36593.454545454544</c:v>
                </c:pt>
                <c:pt idx="5">
                  <c:v>47164.772727272728</c:v>
                </c:pt>
                <c:pt idx="6">
                  <c:v>58305.272727272735</c:v>
                </c:pt>
                <c:pt idx="7">
                  <c:v>70014.954545454559</c:v>
                </c:pt>
                <c:pt idx="8">
                  <c:v>74044.666666666628</c:v>
                </c:pt>
                <c:pt idx="9">
                  <c:v>80901.130434782477</c:v>
                </c:pt>
                <c:pt idx="10">
                  <c:v>86437.565217391239</c:v>
                </c:pt>
                <c:pt idx="11">
                  <c:v>86276.086956521613</c:v>
                </c:pt>
                <c:pt idx="12">
                  <c:v>80416.695652173832</c:v>
                </c:pt>
                <c:pt idx="13">
                  <c:v>68859.391304347781</c:v>
                </c:pt>
                <c:pt idx="14">
                  <c:v>51604.173913043342</c:v>
                </c:pt>
                <c:pt idx="15">
                  <c:v>28651.043478260748</c:v>
                </c:pt>
                <c:pt idx="16">
                  <c:v>-1.1641532182693481E-10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BA-4825-A383-1BC708F27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3552"/>
        <c:axId val="410791000"/>
      </c:scatterChart>
      <c:valAx>
        <c:axId val="41078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91000"/>
        <c:crosses val="autoZero"/>
        <c:crossBetween val="midCat"/>
      </c:valAx>
      <c:valAx>
        <c:axId val="41079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Aero</a:t>
            </a:r>
            <a:r>
              <a:rPr lang="en-US" baseline="0"/>
              <a:t> Cl d</a:t>
            </a:r>
            <a:r>
              <a:rPr lang="en-US"/>
              <a:t>erivatives due 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Derivatives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2.0'!$A$172:$A$181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2.0'!$B$172:$B$181</c:f>
              <c:numCache>
                <c:formatCode>0.00000</c:formatCode>
                <c:ptCount val="10"/>
                <c:pt idx="0">
                  <c:v>1.7811871342984904</c:v>
                </c:pt>
                <c:pt idx="1">
                  <c:v>1.7868999999999999</c:v>
                </c:pt>
                <c:pt idx="2">
                  <c:v>1.8637999999999999</c:v>
                </c:pt>
                <c:pt idx="3">
                  <c:v>2.0529999999999999</c:v>
                </c:pt>
                <c:pt idx="4">
                  <c:v>2.4897</c:v>
                </c:pt>
                <c:pt idx="5">
                  <c:v>28.213824634343929</c:v>
                </c:pt>
                <c:pt idx="6">
                  <c:v>3.5777000000000001</c:v>
                </c:pt>
                <c:pt idx="7">
                  <c:v>2.3094000000000001</c:v>
                </c:pt>
                <c:pt idx="8">
                  <c:v>1.4141999999999999</c:v>
                </c:pt>
                <c:pt idx="9">
                  <c:v>0.8165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6B-4ED2-8503-93469886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9432"/>
        <c:axId val="410783944"/>
      </c:scatterChart>
      <c:valAx>
        <c:axId val="41078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Mach numb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3944"/>
        <c:crosses val="autoZero"/>
        <c:crossBetween val="midCat"/>
      </c:valAx>
      <c:valAx>
        <c:axId val="4107839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dCL/dAoA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9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Cm,q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2.0'!$A$228:$A$237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2.0'!$B$228:$B$237</c:f>
              <c:numCache>
                <c:formatCode>0.000000</c:formatCode>
                <c:ptCount val="10"/>
                <c:pt idx="0">
                  <c:v>-3.957435565420617E-3</c:v>
                </c:pt>
                <c:pt idx="1">
                  <c:v>-1.0587217785124063E-3</c:v>
                </c:pt>
                <c:pt idx="2">
                  <c:v>-2.3663117870606997E-4</c:v>
                </c:pt>
                <c:pt idx="3">
                  <c:v>-1.1523587839424864E-4</c:v>
                </c:pt>
                <c:pt idx="4">
                  <c:v>-7.9021921140809409E-5</c:v>
                </c:pt>
                <c:pt idx="5">
                  <c:v>-5.1877556177959536E-4</c:v>
                </c:pt>
                <c:pt idx="6">
                  <c:v>-3.1795765043958875E-4</c:v>
                </c:pt>
                <c:pt idx="7">
                  <c:v>-6.841359360843149E-5</c:v>
                </c:pt>
                <c:pt idx="8">
                  <c:v>-1.795482812258461E-5</c:v>
                </c:pt>
                <c:pt idx="9">
                  <c:v>-4.5829625651869788E-6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72-416D-9CD1-45AD3E75A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7080"/>
        <c:axId val="410790216"/>
      </c:scatterChart>
      <c:valAx>
        <c:axId val="41078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90216"/>
        <c:crosses val="autoZero"/>
        <c:crossBetween val="midCat"/>
      </c:valAx>
      <c:valAx>
        <c:axId val="41079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Cm,AoA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'FinAeroDesign 2.0'!$A$240:$A$249</c:f>
              <c:numCache>
                <c:formatCode>General</c:formatCode>
                <c:ptCount val="10"/>
                <c:pt idx="0">
                  <c:v>0.06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</c:numCache>
            </c:numRef>
          </c:xVal>
          <c:yVal>
            <c:numRef>
              <c:f>'FinAeroDesign 2.0'!$B$240:$B$249</c:f>
              <c:numCache>
                <c:formatCode>0.000</c:formatCode>
                <c:ptCount val="10"/>
                <c:pt idx="0">
                  <c:v>0.42414518635482801</c:v>
                </c:pt>
                <c:pt idx="1">
                  <c:v>0.42551395211156007</c:v>
                </c:pt>
                <c:pt idx="2">
                  <c:v>0.4438239208910964</c:v>
                </c:pt>
                <c:pt idx="3">
                  <c:v>0.48887831097616802</c:v>
                </c:pt>
                <c:pt idx="4">
                  <c:v>0.59285203359655836</c:v>
                </c:pt>
                <c:pt idx="5">
                  <c:v>6.7184169910531475</c:v>
                </c:pt>
                <c:pt idx="6">
                  <c:v>0.85194189942741982</c:v>
                </c:pt>
                <c:pt idx="7">
                  <c:v>0.54992613140311863</c:v>
                </c:pt>
                <c:pt idx="8">
                  <c:v>0.33675960454009318</c:v>
                </c:pt>
                <c:pt idx="9">
                  <c:v>0.19442824833341479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8E-4C77-A1C3-333835E3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9040"/>
        <c:axId val="410784728"/>
      </c:scatterChart>
      <c:valAx>
        <c:axId val="41078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4728"/>
        <c:crosses val="autoZero"/>
        <c:crossBetween val="midCat"/>
      </c:valAx>
      <c:valAx>
        <c:axId val="4107847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Aero</a:t>
            </a:r>
            <a:r>
              <a:rPr lang="en-US" baseline="0"/>
              <a:t> Cl d</a:t>
            </a:r>
            <a:r>
              <a:rPr lang="en-US"/>
              <a:t>erivatives due 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Derivatives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'!$A$177:$A$186</c:f>
            </c:numRef>
          </c:xVal>
          <c:yVal>
            <c:numRef>
              <c:f>'RocketAeroDesign 3.0 '!$B$177:$B$186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D1-44F7-861E-8A07D2FE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8256"/>
        <c:axId val="410786688"/>
      </c:scatterChart>
      <c:valAx>
        <c:axId val="41078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Mach numb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6688"/>
        <c:crosses val="autoZero"/>
        <c:crossBetween val="midCat"/>
      </c:valAx>
      <c:valAx>
        <c:axId val="4107866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dCL/dAoA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Cm,q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'!$A$233:$A$242</c:f>
            </c:numRef>
          </c:xVal>
          <c:yVal>
            <c:numRef>
              <c:f>'RocketAeroDesign 3.0 '!$B$233:$B$242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16-4151-B991-2108EAAC5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5120"/>
        <c:axId val="410785904"/>
      </c:scatterChart>
      <c:valAx>
        <c:axId val="41078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5904"/>
        <c:crosses val="autoZero"/>
        <c:crossBetween val="midCat"/>
      </c:valAx>
      <c:valAx>
        <c:axId val="41078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078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Cm,AoA derivative due Mach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'RocketAeroDesign 3.0 '!$A$245:$A$254</c:f>
            </c:numRef>
          </c:xVal>
          <c:yVal>
            <c:numRef>
              <c:f>'RocketAeroDesign 3.0 '!$B$245:$B$254</c:f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968-4450-8966-22B222E71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09440"/>
        <c:axId val="411010616"/>
      </c:scatterChart>
      <c:valAx>
        <c:axId val="41100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1010616"/>
        <c:crosses val="autoZero"/>
        <c:crossBetween val="midCat"/>
      </c:valAx>
      <c:valAx>
        <c:axId val="4110106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1100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'CFD test1'!$B$1</c:f>
              <c:strCache>
                <c:ptCount val="1"/>
                <c:pt idx="0">
                  <c:v>0.06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'CFD test1'!$A$55:$A$60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test1'!$B$55:$B$60</c:f>
              <c:numCache>
                <c:formatCode>0.0000</c:formatCode>
                <c:ptCount val="6"/>
                <c:pt idx="0">
                  <c:v>6.1067907831386086E-4</c:v>
                </c:pt>
                <c:pt idx="1">
                  <c:v>0.15146678445397943</c:v>
                </c:pt>
                <c:pt idx="2">
                  <c:v>0.33365520496672479</c:v>
                </c:pt>
                <c:pt idx="3">
                  <c:v>0.61588701053742889</c:v>
                </c:pt>
                <c:pt idx="4">
                  <c:v>1.0052956490909881</c:v>
                </c:pt>
                <c:pt idx="5">
                  <c:v>1.4576179002129865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E249-44A9-8E70-4CE6E4A5759B}"/>
            </c:ext>
          </c:extLst>
        </c:ser>
        <c:ser>
          <c:idx val="1"/>
          <c:order val="1"/>
          <c:tx>
            <c:strRef>
              <c:f>'CFD test1'!$C$1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'CFD test1'!$A$55:$A$60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test1'!$C$55:$C$60</c:f>
              <c:numCache>
                <c:formatCode>0.0000</c:formatCode>
                <c:ptCount val="6"/>
                <c:pt idx="0">
                  <c:v>8.9000687450521716E-3</c:v>
                </c:pt>
                <c:pt idx="1">
                  <c:v>0.14783825009940876</c:v>
                </c:pt>
                <c:pt idx="2">
                  <c:v>0.33184097266280393</c:v>
                </c:pt>
                <c:pt idx="3">
                  <c:v>0.60319498804894478</c:v>
                </c:pt>
                <c:pt idx="4">
                  <c:v>1.0047314945761772</c:v>
                </c:pt>
                <c:pt idx="5">
                  <c:v>1.4350701184340813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E249-44A9-8E70-4CE6E4A5759B}"/>
            </c:ext>
          </c:extLst>
        </c:ser>
        <c:ser>
          <c:idx val="2"/>
          <c:order val="2"/>
          <c:tx>
            <c:strRef>
              <c:f>'CFD test1'!$D$1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'CFD test1'!$A$55:$A$60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test1'!$D$55:$D$60</c:f>
              <c:numCache>
                <c:formatCode>0.0000</c:formatCode>
                <c:ptCount val="6"/>
                <c:pt idx="0">
                  <c:v>8.1090851007109693E-3</c:v>
                </c:pt>
                <c:pt idx="1">
                  <c:v>0.1431248218745643</c:v>
                </c:pt>
                <c:pt idx="2">
                  <c:v>0.3052004746097598</c:v>
                </c:pt>
                <c:pt idx="3">
                  <c:v>0.55678757881181684</c:v>
                </c:pt>
                <c:pt idx="4">
                  <c:v>0.91158570296227726</c:v>
                </c:pt>
                <c:pt idx="5">
                  <c:v>1.3042733329754812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E249-44A9-8E70-4CE6E4A5759B}"/>
            </c:ext>
          </c:extLst>
        </c:ser>
        <c:ser>
          <c:idx val="3"/>
          <c:order val="3"/>
          <c:tx>
            <c:strRef>
              <c:f>'CFD test1'!$E$1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'CFD test1'!$A$55:$A$60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test1'!$E$55:$E$60</c:f>
              <c:numCache>
                <c:formatCode>0.0000</c:formatCode>
                <c:ptCount val="6"/>
                <c:pt idx="0">
                  <c:v>6.3697029439947466E-3</c:v>
                </c:pt>
                <c:pt idx="1">
                  <c:v>0.13752136840442425</c:v>
                </c:pt>
                <c:pt idx="2">
                  <c:v>0.29422758102348812</c:v>
                </c:pt>
                <c:pt idx="3">
                  <c:v>0.53717489819638975</c:v>
                </c:pt>
                <c:pt idx="4">
                  <c:v>0.8813309020011143</c:v>
                </c:pt>
                <c:pt idx="5">
                  <c:v>1.2763436600438036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E249-44A9-8E70-4CE6E4A5759B}"/>
            </c:ext>
          </c:extLst>
        </c:ser>
        <c:ser>
          <c:idx val="4"/>
          <c:order val="4"/>
          <c:tx>
            <c:strRef>
              <c:f>'CFD test1'!$F$1</c:f>
              <c:strCache>
                <c:ptCount val="1"/>
                <c:pt idx="0">
                  <c:v>0.7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'CFD test1'!$A$55:$A$60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xVal>
          <c:yVal>
            <c:numRef>
              <c:f>'CFD test1'!$F$55:$F$60</c:f>
              <c:numCache>
                <c:formatCode>0.0000</c:formatCode>
                <c:ptCount val="6"/>
                <c:pt idx="0">
                  <c:v>4.7397368486932169E-3</c:v>
                </c:pt>
                <c:pt idx="1">
                  <c:v>0.16723407996822282</c:v>
                </c:pt>
                <c:pt idx="2">
                  <c:v>0.36825273717523765</c:v>
                </c:pt>
                <c:pt idx="3">
                  <c:v>0.68210497766238698</c:v>
                </c:pt>
                <c:pt idx="4">
                  <c:v>1.1374942849642442</c:v>
                </c:pt>
                <c:pt idx="5">
                  <c:v>1.6798345570433428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E249-44A9-8E70-4CE6E4A5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07480"/>
        <c:axId val="411007872"/>
      </c:scatterChart>
      <c:valAx>
        <c:axId val="41100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872"/>
        <c:crosses val="autoZero"/>
        <c:crossBetween val="midCat"/>
      </c:valAx>
      <c:valAx>
        <c:axId val="4110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RocketData!$B$6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RocketData!$B$7:$B$31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2.38</c:v>
                </c:pt>
                <c:pt idx="12">
                  <c:v>2.37</c:v>
                </c:pt>
                <c:pt idx="13">
                  <c:v>2.35</c:v>
                </c:pt>
                <c:pt idx="14">
                  <c:v>2.35</c:v>
                </c:pt>
                <c:pt idx="15">
                  <c:v>2.35</c:v>
                </c:pt>
                <c:pt idx="16">
                  <c:v>2.37</c:v>
                </c:pt>
                <c:pt idx="17">
                  <c:v>2.4</c:v>
                </c:pt>
                <c:pt idx="18">
                  <c:v>2.42</c:v>
                </c:pt>
                <c:pt idx="19">
                  <c:v>2.4500000000000002</c:v>
                </c:pt>
                <c:pt idx="20">
                  <c:v>2.48</c:v>
                </c:pt>
                <c:pt idx="21">
                  <c:v>2.5099999999999998</c:v>
                </c:pt>
                <c:pt idx="22">
                  <c:v>2.5299999999999998</c:v>
                </c:pt>
                <c:pt idx="23">
                  <c:v>2.56</c:v>
                </c:pt>
                <c:pt idx="24">
                  <c:v>2.57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A4B-4DC4-83B5-80F0950FA526}"/>
            </c:ext>
          </c:extLst>
        </c:ser>
        <c:ser>
          <c:idx val="1"/>
          <c:order val="1"/>
          <c:tx>
            <c:strRef>
              <c:f>RocketData!$C$6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RocketData!$C$7:$C$31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2.37</c:v>
                </c:pt>
                <c:pt idx="12">
                  <c:v>2.3199999999999998</c:v>
                </c:pt>
                <c:pt idx="13">
                  <c:v>2.27</c:v>
                </c:pt>
                <c:pt idx="14">
                  <c:v>2.25</c:v>
                </c:pt>
                <c:pt idx="15">
                  <c:v>2.2400000000000002</c:v>
                </c:pt>
                <c:pt idx="16">
                  <c:v>2.2599999999999998</c:v>
                </c:pt>
                <c:pt idx="17">
                  <c:v>2.31</c:v>
                </c:pt>
                <c:pt idx="18">
                  <c:v>2.36</c:v>
                </c:pt>
                <c:pt idx="19">
                  <c:v>2.4</c:v>
                </c:pt>
                <c:pt idx="20">
                  <c:v>2.4900000000000002</c:v>
                </c:pt>
                <c:pt idx="21">
                  <c:v>2.57</c:v>
                </c:pt>
                <c:pt idx="22">
                  <c:v>2.63</c:v>
                </c:pt>
                <c:pt idx="23">
                  <c:v>2.67</c:v>
                </c:pt>
                <c:pt idx="24">
                  <c:v>2.7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A4B-4DC4-83B5-80F0950FA526}"/>
            </c:ext>
          </c:extLst>
        </c:ser>
        <c:ser>
          <c:idx val="2"/>
          <c:order val="2"/>
          <c:tx>
            <c:strRef>
              <c:f>RocketData!$D$6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RocketData!$D$7:$D$31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2.37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2.16</c:v>
                </c:pt>
                <c:pt idx="15">
                  <c:v>2.12</c:v>
                </c:pt>
                <c:pt idx="16">
                  <c:v>2.08</c:v>
                </c:pt>
                <c:pt idx="17">
                  <c:v>2.08</c:v>
                </c:pt>
                <c:pt idx="18">
                  <c:v>2.12</c:v>
                </c:pt>
                <c:pt idx="19">
                  <c:v>2.15</c:v>
                </c:pt>
                <c:pt idx="20">
                  <c:v>2.2200000000000002</c:v>
                </c:pt>
                <c:pt idx="21">
                  <c:v>2.2799999999999998</c:v>
                </c:pt>
                <c:pt idx="22">
                  <c:v>2.34</c:v>
                </c:pt>
                <c:pt idx="23">
                  <c:v>2.39</c:v>
                </c:pt>
                <c:pt idx="24">
                  <c:v>2.4300000000000002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A4B-4DC4-83B5-80F0950FA526}"/>
            </c:ext>
          </c:extLst>
        </c:ser>
        <c:ser>
          <c:idx val="3"/>
          <c:order val="3"/>
          <c:tx>
            <c:strRef>
              <c:f>RocketData!$E$6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RocketData!$A$7:$A$31</c:f>
              <c:numCache>
                <c:formatCode>General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1.05</c:v>
                </c:pt>
                <c:pt idx="10">
                  <c:v>1.1000000000000001</c:v>
                </c:pt>
                <c:pt idx="11">
                  <c:v>1.1499999999999999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2.25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4</c:v>
                </c:pt>
                <c:pt idx="23">
                  <c:v>4.5</c:v>
                </c:pt>
                <c:pt idx="24">
                  <c:v>5</c:v>
                </c:pt>
              </c:numCache>
            </c:numRef>
          </c:xVal>
          <c:yVal>
            <c:numRef>
              <c:f>RocketData!$E$7:$E$31</c:f>
              <c:numCache>
                <c:formatCode>General</c:formatCode>
                <c:ptCount val="25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2.0499999999999998</c:v>
                </c:pt>
                <c:pt idx="5">
                  <c:v>2.06</c:v>
                </c:pt>
                <c:pt idx="6">
                  <c:v>2.1</c:v>
                </c:pt>
                <c:pt idx="7">
                  <c:v>2.16</c:v>
                </c:pt>
                <c:pt idx="8">
                  <c:v>2.2999999999999998</c:v>
                </c:pt>
                <c:pt idx="9">
                  <c:v>2.36</c:v>
                </c:pt>
                <c:pt idx="10">
                  <c:v>2.4</c:v>
                </c:pt>
                <c:pt idx="11">
                  <c:v>2.38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2.13</c:v>
                </c:pt>
                <c:pt idx="15">
                  <c:v>2.08</c:v>
                </c:pt>
                <c:pt idx="16">
                  <c:v>2.0299999999999998</c:v>
                </c:pt>
                <c:pt idx="17">
                  <c:v>2.0099999999999998</c:v>
                </c:pt>
                <c:pt idx="18">
                  <c:v>2.0299999999999998</c:v>
                </c:pt>
                <c:pt idx="19">
                  <c:v>2.06</c:v>
                </c:pt>
                <c:pt idx="20">
                  <c:v>2.1</c:v>
                </c:pt>
                <c:pt idx="21">
                  <c:v>2.14</c:v>
                </c:pt>
                <c:pt idx="22">
                  <c:v>2.1800000000000002</c:v>
                </c:pt>
                <c:pt idx="23">
                  <c:v>2.21</c:v>
                </c:pt>
                <c:pt idx="24">
                  <c:v>2.2400000000000002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BA4B-4DC4-83B5-80F0950FA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05912"/>
        <c:axId val="411006304"/>
      </c:scatterChart>
      <c:valAx>
        <c:axId val="41100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6304"/>
        <c:crosses val="autoZero"/>
        <c:crossBetween val="midCat"/>
      </c:valAx>
      <c:valAx>
        <c:axId val="41100630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RocketData!$B$35</c:f>
              <c:strCache>
                <c:ptCount val="1"/>
                <c:pt idx="0">
                  <c:v>1.5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RocketData!$A$36:$A$41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RocketData!$B$36:$B$41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0.75</c:v>
                </c:pt>
                <c:pt idx="3">
                  <c:v>0.93</c:v>
                </c:pt>
                <c:pt idx="4">
                  <c:v>1.2</c:v>
                </c:pt>
                <c:pt idx="5">
                  <c:v>1.35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570A-4A36-AD20-CD83A2E3F734}"/>
            </c:ext>
          </c:extLst>
        </c:ser>
        <c:ser>
          <c:idx val="1"/>
          <c:order val="1"/>
          <c:tx>
            <c:strRef>
              <c:f>RocketData!$C$35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RocketData!$C$36:$C$41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1.02</c:v>
                </c:pt>
                <c:pt idx="3">
                  <c:v>1.25</c:v>
                </c:pt>
                <c:pt idx="4">
                  <c:v>1.52</c:v>
                </c:pt>
                <c:pt idx="5">
                  <c:v>1.62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570A-4A36-AD20-CD83A2E3F734}"/>
            </c:ext>
          </c:extLst>
        </c:ser>
        <c:ser>
          <c:idx val="2"/>
          <c:order val="2"/>
          <c:tx>
            <c:strRef>
              <c:f>RocketData!$D$35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RocketData!$D$36:$D$41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1.59</c:v>
                </c:pt>
                <c:pt idx="3">
                  <c:v>1.84</c:v>
                </c:pt>
                <c:pt idx="4">
                  <c:v>2.08</c:v>
                </c:pt>
                <c:pt idx="5">
                  <c:v>2.12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570A-4A36-AD20-CD83A2E3F734}"/>
            </c:ext>
          </c:extLst>
        </c:ser>
        <c:ser>
          <c:idx val="3"/>
          <c:order val="3"/>
          <c:tx>
            <c:strRef>
              <c:f>RocketData!$F$35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RocketData!$E$36:$E$41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2.1</c:v>
                </c:pt>
                <c:pt idx="3">
                  <c:v>2.4</c:v>
                </c:pt>
                <c:pt idx="4">
                  <c:v>2.6</c:v>
                </c:pt>
                <c:pt idx="5">
                  <c:v>2.6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8-570A-4A36-AD20-CD83A2E3F734}"/>
            </c:ext>
          </c:extLst>
        </c:ser>
        <c:ser>
          <c:idx val="4"/>
          <c:order val="4"/>
          <c:tx>
            <c:strRef>
              <c:f>RocketData!$G$35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RocketData!$G$36:$G$41</c:f>
              <c:numCache>
                <c:formatCode>General</c:formatCode>
                <c:ptCount val="6"/>
                <c:pt idx="0">
                  <c:v>0.46600000000000003</c:v>
                </c:pt>
                <c:pt idx="1">
                  <c:v>0.46600000000000003</c:v>
                </c:pt>
                <c:pt idx="2">
                  <c:v>3.35</c:v>
                </c:pt>
                <c:pt idx="3">
                  <c:v>3.43</c:v>
                </c:pt>
                <c:pt idx="4">
                  <c:v>3.74</c:v>
                </c:pt>
                <c:pt idx="5">
                  <c:v>3.74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9-570A-4A36-AD20-CD83A2E3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06696"/>
        <c:axId val="411011400"/>
      </c:scatterChart>
      <c:valAx>
        <c:axId val="41100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1400"/>
        <c:crosses val="autoZero"/>
        <c:crossBetween val="midCat"/>
      </c:valAx>
      <c:valAx>
        <c:axId val="411011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6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RocketData!$B$57</c:f>
              <c:strCache>
                <c:ptCount val="1"/>
                <c:pt idx="0">
                  <c:v>C_NC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RocketData!$A$58:$A$64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RocketData!$B$58:$B$64</c:f>
              <c:numCache>
                <c:formatCode>General</c:formatCode>
                <c:ptCount val="7"/>
                <c:pt idx="0">
                  <c:v>0</c:v>
                </c:pt>
                <c:pt idx="1">
                  <c:v>5.0000000000000001E-3</c:v>
                </c:pt>
                <c:pt idx="2">
                  <c:v>1.4999999999999999E-2</c:v>
                </c:pt>
                <c:pt idx="3">
                  <c:v>3.5000000000000003E-2</c:v>
                </c:pt>
                <c:pt idx="4">
                  <c:v>6.5000000000000002E-2</c:v>
                </c:pt>
                <c:pt idx="5">
                  <c:v>0.11</c:v>
                </c:pt>
                <c:pt idx="6">
                  <c:v>0.17499999999999999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BC9-49F0-8008-6F9A9577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184"/>
        <c:axId val="411012576"/>
      </c:lineChart>
      <c:lineChart>
        <c:grouping val="standard"/>
        <c:varyColors val="0"/>
        <c:ser>
          <c:idx val="1"/>
          <c:order val="1"/>
          <c:tx>
            <c:strRef>
              <c:f>RocketData!$C$57</c:f>
              <c:strCache>
                <c:ptCount val="1"/>
                <c:pt idx="0">
                  <c:v>dC_NC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RocketData!$A$58:$A$64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RocketData!$C$58:$C$64</c:f>
              <c:numCache>
                <c:formatCode>0.0000</c:formatCode>
                <c:ptCount val="7"/>
                <c:pt idx="0">
                  <c:v>1E-3</c:v>
                </c:pt>
                <c:pt idx="1">
                  <c:v>1E-3</c:v>
                </c:pt>
                <c:pt idx="2">
                  <c:v>9.999999999999998E-4</c:v>
                </c:pt>
                <c:pt idx="3">
                  <c:v>1.3333333333333335E-3</c:v>
                </c:pt>
                <c:pt idx="4">
                  <c:v>1.5E-3</c:v>
                </c:pt>
                <c:pt idx="5">
                  <c:v>1.8E-3</c:v>
                </c:pt>
                <c:pt idx="6">
                  <c:v>2.1666666666666661E-3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BC9-49F0-8008-6F9A9577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12968"/>
        <c:axId val="411009048"/>
      </c:lineChart>
      <c:catAx>
        <c:axId val="41101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576"/>
        <c:crosses val="autoZero"/>
        <c:auto val="1"/>
        <c:lblAlgn val="ctr"/>
        <c:lblOffset val="100"/>
        <c:noMultiLvlLbl val="0"/>
      </c:catAx>
      <c:valAx>
        <c:axId val="4110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184"/>
        <c:crosses val="autoZero"/>
        <c:crossBetween val="between"/>
      </c:valAx>
      <c:valAx>
        <c:axId val="411009048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12968"/>
        <c:crosses val="max"/>
        <c:crossBetween val="between"/>
      </c:valAx>
      <c:catAx>
        <c:axId val="411012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1009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75469412477283"/>
          <c:y val="0.42035325383071959"/>
          <c:w val="0.19426628489620615"/>
          <c:h val="0.15929312070366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RocketData!$B$68</c:f>
              <c:strCache>
                <c:ptCount val="1"/>
                <c:pt idx="0">
                  <c:v>d(C_NC)/da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RocketData!$A$69:$A$81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1.2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</c:numCache>
            </c:numRef>
          </c:xVal>
          <c:yVal>
            <c:numRef>
              <c:f>RocketData!$B$69:$B$81</c:f>
              <c:numCache>
                <c:formatCode>General</c:formatCode>
                <c:ptCount val="13"/>
                <c:pt idx="0">
                  <c:v>6.3E-2</c:v>
                </c:pt>
                <c:pt idx="1">
                  <c:v>6.8000000000000005E-2</c:v>
                </c:pt>
                <c:pt idx="2">
                  <c:v>6.9000000000000006E-2</c:v>
                </c:pt>
                <c:pt idx="3">
                  <c:v>6.9000000000000006E-2</c:v>
                </c:pt>
                <c:pt idx="4">
                  <c:v>6.7000000000000004E-2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5.7000000000000002E-2</c:v>
                </c:pt>
                <c:pt idx="8">
                  <c:v>0.06</c:v>
                </c:pt>
                <c:pt idx="9">
                  <c:v>6.6000000000000003E-2</c:v>
                </c:pt>
                <c:pt idx="10">
                  <c:v>7.6999999999999999E-2</c:v>
                </c:pt>
                <c:pt idx="11">
                  <c:v>9.1999999999999998E-2</c:v>
                </c:pt>
                <c:pt idx="12">
                  <c:v>0.115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6BC-49B2-B7D3-0B4372FB4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5512"/>
        <c:axId val="413835840"/>
      </c:scatterChart>
      <c:valAx>
        <c:axId val="410785512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35840"/>
        <c:crosses val="autoZero"/>
        <c:crossBetween val="midCat"/>
      </c:valAx>
      <c:valAx>
        <c:axId val="4138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85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hart" Target="../charts/chart14.xml"/><Relationship Id="rId7" Type="http://schemas.openxmlformats.org/officeDocument/2006/relationships/image" Target="../media/image7.png"/><Relationship Id="rId2" Type="http://schemas.openxmlformats.org/officeDocument/2006/relationships/chart" Target="../charts/chart13.xml"/><Relationship Id="rId1" Type="http://schemas.openxmlformats.org/officeDocument/2006/relationships/image" Target="../media/image5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chart" Target="../charts/chart16.xml"/><Relationship Id="rId10" Type="http://schemas.openxmlformats.org/officeDocument/2006/relationships/image" Target="../media/image10.png"/><Relationship Id="rId4" Type="http://schemas.openxmlformats.org/officeDocument/2006/relationships/chart" Target="../charts/chart15.xml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chart" Target="../charts/chart22.xml"/><Relationship Id="rId7" Type="http://schemas.openxmlformats.org/officeDocument/2006/relationships/image" Target="../media/image15.png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chart" Target="../charts/chart26.xml"/><Relationship Id="rId7" Type="http://schemas.openxmlformats.org/officeDocument/2006/relationships/image" Target="../media/image23.png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chart" Target="../charts/chart27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304800</xdr:colOff>
      <xdr:row>62</xdr:row>
      <xdr:rowOff>171450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393B3C67-1ABC-2789-344B-126A3B5F8F18}"/>
            </a:ext>
          </a:extLst>
        </xdr:cNvPr>
        <xdr:cNvSpPr txBox="1"/>
      </xdr:nvSpPr>
      <xdr:spPr>
        <a:xfrm>
          <a:off x="5791200" y="1800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0</xdr:colOff>
      <xdr:row>221</xdr:row>
      <xdr:rowOff>3810</xdr:rowOff>
    </xdr:from>
    <xdr:ext cx="1988820" cy="473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="" xmlns:a16="http://schemas.microsoft.com/office/drawing/2014/main" id="{37A524B4-13F7-A024-0584-ED9E880D868F}"/>
                </a:ext>
              </a:extLst>
            </xdr:cNvPr>
            <xdr:cNvSpPr txBox="1"/>
          </xdr:nvSpPr>
          <xdr:spPr>
            <a:xfrm>
              <a:off x="0" y="19168110"/>
              <a:ext cx="1988820" cy="473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𝜌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s-MX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1+</m:t>
                            </m:r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𝛾</m:t>
                                </m:r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  <m:sSup>
                              <m:sSup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7A524B4-13F7-A024-0584-ED9E880D868F}"/>
                </a:ext>
              </a:extLst>
            </xdr:cNvPr>
            <xdr:cNvSpPr txBox="1"/>
          </xdr:nvSpPr>
          <xdr:spPr>
            <a:xfrm>
              <a:off x="0" y="19168110"/>
              <a:ext cx="1988820" cy="473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_0</a:t>
              </a:r>
              <a:r>
                <a:rPr lang="es-MX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s-MX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=(1+(𝛾−1)/2 𝑀^2 )^(1/(𝛾−1))</a:t>
              </a:r>
              <a:endParaRPr lang="es-MX" sz="1100" kern="1200"/>
            </a:p>
          </xdr:txBody>
        </xdr:sp>
      </mc:Fallback>
    </mc:AlternateContent>
    <xdr:clientData/>
  </xdr:oneCellAnchor>
  <xdr:twoCellAnchor>
    <xdr:from>
      <xdr:col>0</xdr:col>
      <xdr:colOff>22860</xdr:colOff>
      <xdr:row>226</xdr:row>
      <xdr:rowOff>15240</xdr:rowOff>
    </xdr:from>
    <xdr:to>
      <xdr:col>3</xdr:col>
      <xdr:colOff>495300</xdr:colOff>
      <xdr:row>237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8696CF88-4D17-58E0-4547-0F4FEA49BBCA}"/>
            </a:ext>
            <a:ext uri="{147F2762-F138-4A5C-976F-8EAC2B608ADB}">
              <a16:predDERef xmlns="" xmlns:a16="http://schemas.microsoft.com/office/drawing/2014/main" pred="{37A524B4-13F7-A024-0584-ED9E880D8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106680</xdr:colOff>
      <xdr:row>239</xdr:row>
      <xdr:rowOff>34290</xdr:rowOff>
    </xdr:from>
    <xdr:ext cx="951351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="" xmlns:a16="http://schemas.microsoft.com/office/drawing/2014/main" id="{F27C3274-15D1-951A-7FD8-DA1BEAC20F75}"/>
                </a:ext>
              </a:extLst>
            </xdr:cNvPr>
            <xdr:cNvSpPr txBox="1"/>
          </xdr:nvSpPr>
          <xdr:spPr>
            <a:xfrm>
              <a:off x="106680" y="22246590"/>
              <a:ext cx="95135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27C3274-15D1-951A-7FD8-DA1BEAC20F75}"/>
                </a:ext>
              </a:extLst>
            </xdr:cNvPr>
            <xdr:cNvSpPr txBox="1"/>
          </xdr:nvSpPr>
          <xdr:spPr>
            <a:xfrm>
              <a:off x="106680" y="22246590"/>
              <a:ext cx="951351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𝑃=𝑃_0−1/2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 𝜌𝑉^2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69575</xdr:colOff>
      <xdr:row>249</xdr:row>
      <xdr:rowOff>66260</xdr:rowOff>
    </xdr:from>
    <xdr:ext cx="810927" cy="3869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="" xmlns:a16="http://schemas.microsoft.com/office/drawing/2014/main" id="{5AE2CABF-230F-1FCE-16A4-CED18BDBB96F}"/>
                </a:ext>
              </a:extLst>
            </xdr:cNvPr>
            <xdr:cNvSpPr txBox="1"/>
          </xdr:nvSpPr>
          <xdr:spPr>
            <a:xfrm>
              <a:off x="69575" y="23668382"/>
              <a:ext cx="810927" cy="3869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AE2CABF-230F-1FCE-16A4-CED18BDBB96F}"/>
                </a:ext>
              </a:extLst>
            </xdr:cNvPr>
            <xdr:cNvSpPr txBox="1"/>
          </xdr:nvSpPr>
          <xdr:spPr>
            <a:xfrm>
              <a:off x="69575" y="23668382"/>
              <a:ext cx="810927" cy="3869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𝑇=𝑇_0−𝑉^2/(2𝑐_𝑝 )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69574</xdr:colOff>
      <xdr:row>252</xdr:row>
      <xdr:rowOff>19879</xdr:rowOff>
    </xdr:from>
    <xdr:ext cx="847989" cy="4601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="" xmlns:a16="http://schemas.microsoft.com/office/drawing/2014/main" id="{8015B4A1-1918-BE89-980C-B85DE46BD6BC}"/>
                </a:ext>
              </a:extLst>
            </xdr:cNvPr>
            <xdr:cNvSpPr txBox="1"/>
          </xdr:nvSpPr>
          <xdr:spPr>
            <a:xfrm>
              <a:off x="69574" y="24118957"/>
              <a:ext cx="847989" cy="460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𝑃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015B4A1-1918-BE89-980C-B85DE46BD6BC}"/>
                </a:ext>
              </a:extLst>
            </xdr:cNvPr>
            <xdr:cNvSpPr txBox="1"/>
          </xdr:nvSpPr>
          <xdr:spPr>
            <a:xfrm>
              <a:off x="69574" y="24118957"/>
              <a:ext cx="847989" cy="4601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𝑃/𝑃_0 =(𝑇/𝑇_0 )^(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𝛾/(𝛾−1))</a:t>
              </a:r>
              <a:endParaRPr lang="es-MX" sz="1100" kern="1200"/>
            </a:p>
          </xdr:txBody>
        </xdr:sp>
      </mc:Fallback>
    </mc:AlternateContent>
    <xdr:clientData/>
  </xdr:oneCellAnchor>
  <xdr:twoCellAnchor editAs="oneCell">
    <xdr:from>
      <xdr:col>0</xdr:col>
      <xdr:colOff>111369</xdr:colOff>
      <xdr:row>117</xdr:row>
      <xdr:rowOff>112275</xdr:rowOff>
    </xdr:from>
    <xdr:to>
      <xdr:col>4</xdr:col>
      <xdr:colOff>400050</xdr:colOff>
      <xdr:row>143</xdr:row>
      <xdr:rowOff>117565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5F80604-448F-B015-D105-A97A13CB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69" y="20171925"/>
          <a:ext cx="2765181" cy="447251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373790</xdr:colOff>
      <xdr:row>123</xdr:row>
      <xdr:rowOff>28575</xdr:rowOff>
    </xdr:from>
    <xdr:to>
      <xdr:col>11</xdr:col>
      <xdr:colOff>143589</xdr:colOff>
      <xdr:row>139</xdr:row>
      <xdr:rowOff>29199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B846C0C-F558-AFB6-E24C-A1AB278B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4165" y="21126450"/>
          <a:ext cx="3141649" cy="274382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oneCellAnchor>
    <xdr:from>
      <xdr:col>0</xdr:col>
      <xdr:colOff>209550</xdr:colOff>
      <xdr:row>147</xdr:row>
      <xdr:rowOff>42862</xdr:rowOff>
    </xdr:from>
    <xdr:ext cx="2313069" cy="5650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="" xmlns:a16="http://schemas.microsoft.com/office/drawing/2014/main" id="{A8BA3FBC-9103-9850-09A8-DDCD8887D004}"/>
                </a:ext>
              </a:extLst>
            </xdr:cNvPr>
            <xdr:cNvSpPr txBox="1"/>
          </xdr:nvSpPr>
          <xdr:spPr>
            <a:xfrm>
              <a:off x="209550" y="25255537"/>
              <a:ext cx="2313069" cy="565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p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p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ad>
                                  <m:radPr>
                                    <m:degHide m:val="on"/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sSup>
                                      <m:sSupPr>
                                        <m:ctrlP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p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e>
                                </m:rad>
                              </m:den>
                            </m:f>
                          </m:e>
                        </m:d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/2</m:t>
                        </m:r>
                      </m:den>
                    </m:f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8BA3FBC-9103-9850-09A8-DDCD8887D004}"/>
                </a:ext>
              </a:extLst>
            </xdr:cNvPr>
            <xdr:cNvSpPr txBox="1"/>
          </xdr:nvSpPr>
          <xdr:spPr>
            <a:xfrm>
              <a:off x="209550" y="25255537"/>
              <a:ext cx="2313069" cy="5650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𝐶_𝑝=𝐶_𝑝0/(√(1−𝑀^2 )+[𝑀^2/(1+√(1−𝑀^2 ))] 𝐶_𝑝0/2)</a:t>
              </a:r>
              <a:endParaRPr lang="es-MX" sz="1100" kern="1200"/>
            </a:p>
          </xdr:txBody>
        </xdr:sp>
      </mc:Fallback>
    </mc:AlternateContent>
    <xdr:clientData/>
  </xdr:oneCellAnchor>
  <xdr:oneCellAnchor>
    <xdr:from>
      <xdr:col>0</xdr:col>
      <xdr:colOff>266700</xdr:colOff>
      <xdr:row>151</xdr:row>
      <xdr:rowOff>157162</xdr:rowOff>
    </xdr:from>
    <xdr:ext cx="2534220" cy="7121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="" xmlns:a16="http://schemas.microsoft.com/office/drawing/2014/main" id="{4B7E12D9-9242-9E1C-099C-D2BBD2CCD9CB}"/>
                </a:ext>
              </a:extLst>
            </xdr:cNvPr>
            <xdr:cNvSpPr txBox="1"/>
          </xdr:nvSpPr>
          <xdr:spPr>
            <a:xfrm>
              <a:off x="266700" y="26055637"/>
              <a:ext cx="2534220" cy="712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𝑐𝑟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  <m:sSubSup>
                          <m:sSub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𝑐𝑟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[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f>
                                      <m:fPr>
                                        <m:ctrlP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𝛾</m:t>
                                        </m:r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−1</m:t>
                                        </m:r>
                                      </m:num>
                                      <m:den>
                                        <m:r>
                                          <a:rPr lang="en-US" sz="1100" b="0" i="1" kern="120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</m:e>
                                </m:d>
                                <m:sSubSup>
                                  <m:sSubSup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e>
                                  <m:sub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𝑐𝑟</m:t>
                                    </m:r>
                                  </m:sub>
                                  <m:sup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1+</m:t>
                                </m:r>
                                <m:f>
                                  <m:fPr>
                                    <m:ctrlP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𝛾</m:t>
                                    </m:r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−1</m:t>
                                    </m:r>
                                  </m:num>
                                  <m:den>
                                    <m:r>
                                      <a:rPr lang="en-US" sz="1100" b="0" i="1" kern="120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den>
                                </m:f>
                              </m:den>
                            </m:f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𝛾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−1</m:t>
                            </m:r>
                          </m:den>
                        </m:f>
                      </m:sup>
                    </m:sSup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s-MX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4B7E12D9-9242-9E1C-099C-D2BBD2CCD9CB}"/>
                </a:ext>
              </a:extLst>
            </xdr:cNvPr>
            <xdr:cNvSpPr txBox="1"/>
          </xdr:nvSpPr>
          <xdr:spPr>
            <a:xfrm>
              <a:off x="266700" y="26055637"/>
              <a:ext cx="2534220" cy="7121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𝐶_(𝑝,𝑐𝑟)=2/(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𝛾𝑀_𝑐𝑟^2 )</a:t>
              </a:r>
              <a:r>
                <a:rPr lang="en-US" sz="1100" b="0" i="0" kern="1200">
                  <a:latin typeface="Cambria Math" panose="02040503050406030204" pitchFamily="18" charset="0"/>
                </a:rPr>
                <a:t>[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(((</a:t>
              </a:r>
              <a:r>
                <a:rPr lang="en-US" sz="1100" b="0" i="0" kern="1200">
                  <a:latin typeface="Cambria Math" panose="02040503050406030204" pitchFamily="18" charset="0"/>
                </a:rPr>
                <a:t>1+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(𝛾−1)/2) 𝑀_𝑐𝑟^2)/(1+(𝛾−1)/2))^(𝛾/(𝛾−1))−1</a:t>
              </a:r>
              <a:r>
                <a:rPr lang="en-US" sz="1100" b="0" i="0" kern="1200">
                  <a:latin typeface="Cambria Math" panose="02040503050406030204" pitchFamily="18" charset="0"/>
                </a:rPr>
                <a:t>]</a:t>
              </a:r>
              <a:endParaRPr lang="es-MX" sz="1100" kern="1200"/>
            </a:p>
          </xdr:txBody>
        </xdr:sp>
      </mc:Fallback>
    </mc:AlternateContent>
    <xdr:clientData/>
  </xdr:oneCellAnchor>
  <xdr:twoCellAnchor>
    <xdr:from>
      <xdr:col>3</xdr:col>
      <xdr:colOff>228608</xdr:colOff>
      <xdr:row>165</xdr:row>
      <xdr:rowOff>76208</xdr:rowOff>
    </xdr:from>
    <xdr:to>
      <xdr:col>11</xdr:col>
      <xdr:colOff>381008</xdr:colOff>
      <xdr:row>186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10EB7F2F-3037-0F02-65F4-9470FC24037D}"/>
            </a:ext>
            <a:ext uri="{147F2762-F138-4A5C-976F-8EAC2B608ADB}">
              <a16:predDERef xmlns="" xmlns:a16="http://schemas.microsoft.com/office/drawing/2014/main" pred="{4B7E12D9-9242-9E1C-099C-D2BBD2CC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47625</xdr:colOff>
      <xdr:row>191</xdr:row>
      <xdr:rowOff>100013</xdr:rowOff>
    </xdr:from>
    <xdr:to>
      <xdr:col>11</xdr:col>
      <xdr:colOff>238125</xdr:colOff>
      <xdr:row>207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1E1B4768-DDEF-37F2-E2F6-DF6922649F41}"/>
            </a:ext>
            <a:ext uri="{147F2762-F138-4A5C-976F-8EAC2B608ADB}">
              <a16:predDERef xmlns="" xmlns:a16="http://schemas.microsoft.com/office/drawing/2014/main" pred="{10EB7F2F-3037-0F02-65F4-9470FC240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31824</xdr:colOff>
      <xdr:row>12</xdr:row>
      <xdr:rowOff>15241</xdr:rowOff>
    </xdr:from>
    <xdr:to>
      <xdr:col>6</xdr:col>
      <xdr:colOff>595704</xdr:colOff>
      <xdr:row>21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F0E0E67-9C36-058A-4D85-04C0B1DFF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30</xdr:row>
      <xdr:rowOff>0</xdr:rowOff>
    </xdr:from>
    <xdr:to>
      <xdr:col>6</xdr:col>
      <xdr:colOff>594360</xdr:colOff>
      <xdr:row>39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E128D49A-3629-4BBF-9581-DB9D69B8A541}"/>
            </a:ext>
            <a:ext uri="{147F2762-F138-4A5C-976F-8EAC2B608ADB}">
              <a16:predDERef xmlns="" xmlns:a16="http://schemas.microsoft.com/office/drawing/2014/main" pred="{AF0E0E67-9C36-058A-4D85-04C0B1DFF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7395</xdr:colOff>
      <xdr:row>0</xdr:row>
      <xdr:rowOff>188820</xdr:rowOff>
    </xdr:from>
    <xdr:to>
      <xdr:col>14</xdr:col>
      <xdr:colOff>354105</xdr:colOff>
      <xdr:row>9</xdr:row>
      <xdr:rowOff>169770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4705D049-9711-4AD6-8388-EAF961A55C4C}"/>
            </a:ext>
            <a:ext uri="{147F2762-F138-4A5C-976F-8EAC2B608ADB}">
              <a16:predDERef xmlns="" xmlns:a16="http://schemas.microsoft.com/office/drawing/2014/main" pred="{E128D49A-3629-4BBF-9581-DB9D69B8A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26896</xdr:colOff>
      <xdr:row>49</xdr:row>
      <xdr:rowOff>26895</xdr:rowOff>
    </xdr:from>
    <xdr:to>
      <xdr:col>6</xdr:col>
      <xdr:colOff>555813</xdr:colOff>
      <xdr:row>58</xdr:row>
      <xdr:rowOff>143436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64CC32F9-70E7-407E-A2B4-7366728088AD}"/>
            </a:ext>
            <a:ext uri="{147F2762-F138-4A5C-976F-8EAC2B608ADB}">
              <a16:predDERef xmlns="" xmlns:a16="http://schemas.microsoft.com/office/drawing/2014/main" pred="{4705D049-9711-4AD6-8388-EAF961A55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87</xdr:row>
      <xdr:rowOff>0</xdr:rowOff>
    </xdr:from>
    <xdr:to>
      <xdr:col>6</xdr:col>
      <xdr:colOff>594360</xdr:colOff>
      <xdr:row>96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250CC376-444D-4A69-B396-08361C76F808}"/>
            </a:ext>
            <a:ext uri="{147F2762-F138-4A5C-976F-8EAC2B608ADB}">
              <a16:predDERef xmlns="" xmlns:a16="http://schemas.microsoft.com/office/drawing/2014/main" pred="{64CC32F9-70E7-407E-A2B4-736672808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49</xdr:row>
      <xdr:rowOff>0</xdr:rowOff>
    </xdr:from>
    <xdr:to>
      <xdr:col>18</xdr:col>
      <xdr:colOff>594360</xdr:colOff>
      <xdr:row>58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C15CA873-26E1-4AC6-B585-4EB97F3C73DC}"/>
            </a:ext>
            <a:ext uri="{147F2762-F138-4A5C-976F-8EAC2B608ADB}">
              <a16:predDERef xmlns="" xmlns:a16="http://schemas.microsoft.com/office/drawing/2014/main" pred="{250CC376-444D-4A69-B396-08361C76F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31824</xdr:colOff>
      <xdr:row>12</xdr:row>
      <xdr:rowOff>15241</xdr:rowOff>
    </xdr:from>
    <xdr:to>
      <xdr:col>18</xdr:col>
      <xdr:colOff>595704</xdr:colOff>
      <xdr:row>21</xdr:row>
      <xdr:rowOff>160021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9A60D0BB-D2DB-4D29-AC4E-706AD0B20703}"/>
            </a:ext>
            <a:ext uri="{147F2762-F138-4A5C-976F-8EAC2B608ADB}">
              <a16:predDERef xmlns="" xmlns:a16="http://schemas.microsoft.com/office/drawing/2014/main" pred="{C15CA873-26E1-4AC6-B585-4EB97F3C7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19</xdr:col>
      <xdr:colOff>206375</xdr:colOff>
      <xdr:row>23</xdr:row>
      <xdr:rowOff>82550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6F2E01F0-7A94-06DF-7AB3-CD6A31C3FE8D}"/>
            </a:ext>
          </a:extLst>
        </xdr:cNvPr>
        <xdr:cNvSpPr txBox="1"/>
      </xdr:nvSpPr>
      <xdr:spPr>
        <a:xfrm>
          <a:off x="14131925" y="4470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22225</xdr:colOff>
      <xdr:row>22</xdr:row>
      <xdr:rowOff>139700</xdr:rowOff>
    </xdr:from>
    <xdr:ext cx="2045945" cy="2100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="" xmlns:a16="http://schemas.microsoft.com/office/drawing/2014/main" id="{120D1765-6CE0-A43C-C2C3-6C5CED27D83A}"/>
                </a:ext>
              </a:extLst>
            </xdr:cNvPr>
            <xdr:cNvSpPr txBox="1"/>
          </xdr:nvSpPr>
          <xdr:spPr>
            <a:xfrm>
              <a:off x="13947775" y="4343400"/>
              <a:ext cx="2045945" cy="210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rad>
                    <m:r>
                      <a:rPr lang="es-MX" sz="1100" b="0" i="1">
                        <a:latin typeface="Cambria Math" panose="02040503050406030204" pitchFamily="18" charset="0"/>
                      </a:rPr>
                      <m:t>−(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20D1765-6CE0-A43C-C2C3-6C5CED27D83A}"/>
                </a:ext>
              </a:extLst>
            </xdr:cNvPr>
            <xdr:cNvSpPr txBox="1"/>
          </xdr:nvSpPr>
          <xdr:spPr>
            <a:xfrm>
              <a:off x="13947775" y="4343400"/>
              <a:ext cx="2045945" cy="2100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𝑓(𝑥)=√(𝑅^2−(𝐿−𝑥)^2 )−(𝑅−𝑟)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19</xdr:col>
      <xdr:colOff>269875</xdr:colOff>
      <xdr:row>24</xdr:row>
      <xdr:rowOff>101600</xdr:rowOff>
    </xdr:from>
    <xdr:ext cx="841375" cy="3423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="" xmlns:a16="http://schemas.microsoft.com/office/drawing/2014/main" id="{7BB379C5-A5E3-077C-7C48-41207301E333}"/>
                </a:ext>
              </a:extLst>
            </xdr:cNvPr>
            <xdr:cNvSpPr txBox="1"/>
          </xdr:nvSpPr>
          <xdr:spPr>
            <a:xfrm>
              <a:off x="14195425" y="4673600"/>
              <a:ext cx="841375" cy="342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4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s-MX" sz="14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sSup>
                        <m:sSupPr>
                          <m:ctrlP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𝑟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sSup>
                        <m:sSupPr>
                          <m:ctrlP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</m:e>
                        <m:sup>
                          <m:r>
                            <a:rPr lang="es-MX" sz="14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r>
                        <a:rPr lang="es-MX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num>
                    <m:den>
                      <m:r>
                        <a:rPr lang="es-MX" sz="1400" b="0" i="0">
                          <a:latin typeface="Cambria Math" panose="02040503050406030204" pitchFamily="18" charset="0"/>
                        </a:rPr>
                        <m:t>2</m:t>
                      </m:r>
                      <m:r>
                        <m:rPr>
                          <m:sty m:val="p"/>
                        </m:rPr>
                        <a:rPr lang="es-MX" sz="1400" b="0" i="0">
                          <a:latin typeface="Cambria Math" panose="02040503050406030204" pitchFamily="18" charset="0"/>
                        </a:rPr>
                        <m:t>r</m:t>
                      </m:r>
                    </m:den>
                  </m:f>
                </m:oMath>
              </a14:m>
              <a:r>
                <a:rPr lang="en-US" sz="1400"/>
                <a:t>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BB379C5-A5E3-077C-7C48-41207301E333}"/>
                </a:ext>
              </a:extLst>
            </xdr:cNvPr>
            <xdr:cNvSpPr txBox="1"/>
          </xdr:nvSpPr>
          <xdr:spPr>
            <a:xfrm>
              <a:off x="14195425" y="4673600"/>
              <a:ext cx="841375" cy="342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400" b="0" i="0">
                  <a:latin typeface="Cambria Math" panose="02040503050406030204" pitchFamily="18" charset="0"/>
                </a:rPr>
                <a:t>𝑅=(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n-US" sz="1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𝑟^2+𝐿^2)</a:t>
              </a:r>
              <a:r>
                <a:rPr lang="es-MX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s-MX" sz="1400" b="0" i="0">
                  <a:latin typeface="Cambria Math" panose="02040503050406030204" pitchFamily="18" charset="0"/>
                </a:rPr>
                <a:t>2r</a:t>
              </a:r>
              <a:r>
                <a:rPr lang="en-US" sz="1400"/>
                <a:t> </a:t>
              </a: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307341</xdr:colOff>
      <xdr:row>1</xdr:row>
      <xdr:rowOff>12065</xdr:rowOff>
    </xdr:from>
    <xdr:to>
      <xdr:col>11</xdr:col>
      <xdr:colOff>688341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E3C537F2-31BC-477B-A2BA-3324E8A5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697866</xdr:colOff>
      <xdr:row>1</xdr:row>
      <xdr:rowOff>21590</xdr:rowOff>
    </xdr:from>
    <xdr:to>
      <xdr:col>22</xdr:col>
      <xdr:colOff>616586</xdr:colOff>
      <xdr:row>11</xdr:row>
      <xdr:rowOff>6985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E18AE237-AB9B-443B-9AC6-0A486D849990}"/>
            </a:ext>
            <a:ext uri="{147F2762-F138-4A5C-976F-8EAC2B608ADB}">
              <a16:predDERef xmlns="" xmlns:a16="http://schemas.microsoft.com/office/drawing/2014/main" pred="{E3C537F2-31BC-477B-A2BA-3324E8A58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18</xdr:row>
      <xdr:rowOff>45720</xdr:rowOff>
    </xdr:from>
    <xdr:to>
      <xdr:col>20</xdr:col>
      <xdr:colOff>462280</xdr:colOff>
      <xdr:row>19</xdr:row>
      <xdr:rowOff>154940</xdr:rowOff>
    </xdr:to>
    <xdr:sp macro="" textlink="">
      <xdr:nvSpPr>
        <xdr:cNvPr id="5" name="Rectangle: Rounded Corners 4">
          <a:extLst>
            <a:ext uri="{FF2B5EF4-FFF2-40B4-BE49-F238E27FC236}">
              <a16:creationId xmlns="" xmlns:a16="http://schemas.microsoft.com/office/drawing/2014/main" id="{D877167B-41EB-4438-B309-3687EC1249E9}"/>
            </a:ext>
            <a:ext uri="{6ECC49D1-AA05-4338-93AA-15A1B29DFB0A}">
              <asl:scriptLink xmlns="" xmlns:asl="http://schemas.microsoft.com/office/drawing/2021/scriptlink" val="{&quot;shareId&quot;:&quot;ms-officescript%3A%2F%2Fonedrive_business_sharinglink%2Fu!aHR0cHM6Ly91YW5sZWR1LW15LnNoYXJlcG9pbnQuY29tLzp1Oi9nL3BlcnNvbmFsL2p1YW5fdmFsYWRlem9fdWFubF9lZHVfbXgvRWZvVnBMM2VtV3RPbzlUVTRvVUlHQmNCRlJyQnlnX2V0OW1LWVd3VTNFU3NaUQ&quot;}"/>
            </a:ext>
          </a:extLst>
        </xdr:cNvPr>
        <xdr:cNvSpPr/>
      </xdr:nvSpPr>
      <xdr:spPr>
        <a:xfrm>
          <a:off x="11445240" y="3368040"/>
          <a:ext cx="1231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/>
            <a:t>InertiaTensor</a:t>
          </a:r>
        </a:p>
      </xdr:txBody>
    </xdr:sp>
    <xdr:clientData/>
  </xdr:twoCellAnchor>
  <xdr:twoCellAnchor editAs="oneCell">
    <xdr:from>
      <xdr:col>19</xdr:col>
      <xdr:colOff>195942</xdr:colOff>
      <xdr:row>26</xdr:row>
      <xdr:rowOff>148963</xdr:rowOff>
    </xdr:from>
    <xdr:to>
      <xdr:col>27</xdr:col>
      <xdr:colOff>383878</xdr:colOff>
      <xdr:row>40</xdr:row>
      <xdr:rowOff>121818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1F0CC893-0983-77E0-95E5-F60B0069C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85496" y="4956820"/>
          <a:ext cx="5891596" cy="27686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77695</xdr:colOff>
      <xdr:row>1</xdr:row>
      <xdr:rowOff>28015</xdr:rowOff>
    </xdr:from>
    <xdr:to>
      <xdr:col>3</xdr:col>
      <xdr:colOff>607395</xdr:colOff>
      <xdr:row>4</xdr:row>
      <xdr:rowOff>124759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E629836-07BF-D70A-BFE6-EDE298880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577" y="207309"/>
          <a:ext cx="1986465" cy="713068"/>
        </a:xfrm>
        <a:prstGeom prst="rect">
          <a:avLst/>
        </a:prstGeom>
      </xdr:spPr>
    </xdr:pic>
    <xdr:clientData/>
  </xdr:twoCellAnchor>
  <xdr:twoCellAnchor>
    <xdr:from>
      <xdr:col>1</xdr:col>
      <xdr:colOff>18914</xdr:colOff>
      <xdr:row>40</xdr:row>
      <xdr:rowOff>66674</xdr:rowOff>
    </xdr:from>
    <xdr:to>
      <xdr:col>5</xdr:col>
      <xdr:colOff>450849</xdr:colOff>
      <xdr:row>55</xdr:row>
      <xdr:rowOff>142874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488015</xdr:colOff>
      <xdr:row>40</xdr:row>
      <xdr:rowOff>66677</xdr:rowOff>
    </xdr:from>
    <xdr:to>
      <xdr:col>9</xdr:col>
      <xdr:colOff>787400</xdr:colOff>
      <xdr:row>55</xdr:row>
      <xdr:rowOff>142876</xdr:rowOff>
    </xdr:to>
    <xdr:graphicFrame macro="">
      <xdr:nvGraphicFramePr>
        <xdr:cNvPr id="14" name="Chart 13">
          <a:extLst>
            <a:ext uri="{FF2B5EF4-FFF2-40B4-BE49-F238E27FC236}">
              <a16:creationId xmlns=""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29884</xdr:colOff>
      <xdr:row>74</xdr:row>
      <xdr:rowOff>167340</xdr:rowOff>
    </xdr:from>
    <xdr:to>
      <xdr:col>8</xdr:col>
      <xdr:colOff>657411</xdr:colOff>
      <xdr:row>77</xdr:row>
      <xdr:rowOff>29882</xdr:rowOff>
    </xdr:to>
    <xdr:grpSp>
      <xdr:nvGrpSpPr>
        <xdr:cNvPr id="16" name="Group 15">
          <a:extLst>
            <a:ext uri="{FF2B5EF4-FFF2-40B4-BE49-F238E27FC236}">
              <a16:creationId xmlns="" xmlns:a16="http://schemas.microsoft.com/office/drawing/2014/main" id="{71D255C3-B7C8-885E-5A39-030847CD4A9D}"/>
            </a:ext>
          </a:extLst>
        </xdr:cNvPr>
        <xdr:cNvGrpSpPr/>
      </xdr:nvGrpSpPr>
      <xdr:grpSpPr>
        <a:xfrm>
          <a:off x="186766" y="12090399"/>
          <a:ext cx="5726204" cy="400424"/>
          <a:chOff x="209178" y="10454341"/>
          <a:chExt cx="5333998" cy="327213"/>
        </a:xfrm>
      </xdr:grpSpPr>
      <xdr:sp macro="" textlink="">
        <xdr:nvSpPr>
          <xdr:cNvPr id="5" name="Rectangle 4">
            <a:extLst>
              <a:ext uri="{FF2B5EF4-FFF2-40B4-BE49-F238E27FC236}">
                <a16:creationId xmlns="" xmlns:a16="http://schemas.microsoft.com/office/drawing/2014/main" id="{35039B84-95EB-4B9C-BDA4-0DCB3DE4F8A8}"/>
              </a:ext>
            </a:extLst>
          </xdr:cNvPr>
          <xdr:cNvSpPr/>
        </xdr:nvSpPr>
        <xdr:spPr>
          <a:xfrm>
            <a:off x="794871" y="10454341"/>
            <a:ext cx="941294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A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="" xmlns:a16="http://schemas.microsoft.com/office/drawing/2014/main" id="{1B301DA2-140D-48D3-BB55-FE0B9E4BB6B2}"/>
              </a:ext>
            </a:extLst>
          </xdr:cNvPr>
          <xdr:cNvSpPr/>
        </xdr:nvSpPr>
        <xdr:spPr>
          <a:xfrm>
            <a:off x="1821330" y="10457330"/>
            <a:ext cx="941294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="" xmlns:a16="http://schemas.microsoft.com/office/drawing/2014/main" id="{39ABA03E-531F-41FA-8279-E125A001E17D}"/>
              </a:ext>
            </a:extLst>
          </xdr:cNvPr>
          <xdr:cNvSpPr/>
        </xdr:nvSpPr>
        <xdr:spPr>
          <a:xfrm>
            <a:off x="2810436" y="10460318"/>
            <a:ext cx="2732740" cy="321236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>
                <a:solidFill>
                  <a:sysClr val="windowText" lastClr="000000"/>
                </a:solidFill>
              </a:rPr>
              <a:t>C</a:t>
            </a:r>
          </a:p>
        </xdr:txBody>
      </xdr:sp>
      <xdr:sp macro="" textlink="">
        <xdr:nvSpPr>
          <xdr:cNvPr id="8" name="Isosceles Triangle 7">
            <a:extLst>
              <a:ext uri="{FF2B5EF4-FFF2-40B4-BE49-F238E27FC236}">
                <a16:creationId xmlns="" xmlns:a16="http://schemas.microsoft.com/office/drawing/2014/main" id="{3C25669D-ADCA-8EE4-D25E-A2CE8FA40B6C}"/>
              </a:ext>
            </a:extLst>
          </xdr:cNvPr>
          <xdr:cNvSpPr/>
        </xdr:nvSpPr>
        <xdr:spPr>
          <a:xfrm rot="16200000">
            <a:off x="328708" y="10339293"/>
            <a:ext cx="298822" cy="537882"/>
          </a:xfrm>
          <a:prstGeom prst="triangle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="" xmlns:a16="http://schemas.microsoft.com/office/drawing/2014/main" id="{FD18F55E-DD9F-444C-9333-1900AE17FAA9}"/>
              </a:ext>
            </a:extLst>
          </xdr:cNvPr>
          <xdr:cNvSpPr/>
        </xdr:nvSpPr>
        <xdr:spPr>
          <a:xfrm>
            <a:off x="1501589" y="10512613"/>
            <a:ext cx="1621118" cy="211130"/>
          </a:xfrm>
          <a:prstGeom prst="rect">
            <a:avLst/>
          </a:prstGeom>
          <a:noFill/>
          <a:ln>
            <a:solidFill>
              <a:schemeClr val="tx2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/>
          </a:p>
        </xdr:txBody>
      </xdr:sp>
    </xdr:grpSp>
    <xdr:clientData/>
  </xdr:twoCellAnchor>
  <xdr:twoCellAnchor>
    <xdr:from>
      <xdr:col>0</xdr:col>
      <xdr:colOff>135031</xdr:colOff>
      <xdr:row>121</xdr:row>
      <xdr:rowOff>8405</xdr:rowOff>
    </xdr:from>
    <xdr:to>
      <xdr:col>7</xdr:col>
      <xdr:colOff>526863</xdr:colOff>
      <xdr:row>136</xdr:row>
      <xdr:rowOff>133724</xdr:rowOff>
    </xdr:to>
    <xdr:graphicFrame macro="">
      <xdr:nvGraphicFramePr>
        <xdr:cNvPr id="20" name="Chart 19">
          <a:extLst>
            <a:ext uri="{FF2B5EF4-FFF2-40B4-BE49-F238E27FC236}">
              <a16:creationId xmlns="" xmlns:a16="http://schemas.microsoft.com/office/drawing/2014/main" id="{8F28B114-4F46-6AE9-2D00-B87DF6B18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429559</xdr:colOff>
      <xdr:row>78</xdr:row>
      <xdr:rowOff>144904</xdr:rowOff>
    </xdr:from>
    <xdr:to>
      <xdr:col>5</xdr:col>
      <xdr:colOff>30011</xdr:colOff>
      <xdr:row>80</xdr:row>
      <xdr:rowOff>135631</xdr:rowOff>
    </xdr:to>
    <xdr:sp macro="" textlink="">
      <xdr:nvSpPr>
        <xdr:cNvPr id="21" name="Oval 20">
          <a:extLst>
            <a:ext uri="{FF2B5EF4-FFF2-40B4-BE49-F238E27FC236}">
              <a16:creationId xmlns="" xmlns:a16="http://schemas.microsoft.com/office/drawing/2014/main" id="{FDE2A564-B24B-7660-D27B-9097916C0119}"/>
            </a:ext>
          </a:extLst>
        </xdr:cNvPr>
        <xdr:cNvSpPr/>
      </xdr:nvSpPr>
      <xdr:spPr>
        <a:xfrm>
          <a:off x="2787818" y="11693145"/>
          <a:ext cx="336176" cy="358589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203887</xdr:colOff>
      <xdr:row>77</xdr:row>
      <xdr:rowOff>77929</xdr:rowOff>
    </xdr:from>
    <xdr:to>
      <xdr:col>5</xdr:col>
      <xdr:colOff>323417</xdr:colOff>
      <xdr:row>82</xdr:row>
      <xdr:rowOff>89584</xdr:rowOff>
    </xdr:to>
    <xdr:sp macro="" textlink="">
      <xdr:nvSpPr>
        <xdr:cNvPr id="31" name="Arrow: Circular 30">
          <a:extLst>
            <a:ext uri="{FF2B5EF4-FFF2-40B4-BE49-F238E27FC236}">
              <a16:creationId xmlns="" xmlns:a16="http://schemas.microsoft.com/office/drawing/2014/main" id="{5F3D1949-27EB-B9D1-D501-D1C28B1E5AE5}"/>
            </a:ext>
          </a:extLst>
        </xdr:cNvPr>
        <xdr:cNvSpPr/>
      </xdr:nvSpPr>
      <xdr:spPr>
        <a:xfrm rot="19698365">
          <a:off x="2562146" y="11442239"/>
          <a:ext cx="855254" cy="937879"/>
        </a:xfrm>
        <a:prstGeom prst="circular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474382</xdr:colOff>
      <xdr:row>78</xdr:row>
      <xdr:rowOff>167317</xdr:rowOff>
    </xdr:from>
    <xdr:to>
      <xdr:col>4</xdr:col>
      <xdr:colOff>728382</xdr:colOff>
      <xdr:row>80</xdr:row>
      <xdr:rowOff>83337</xdr:rowOff>
    </xdr:to>
    <xdr:sp macro="" textlink="">
      <xdr:nvSpPr>
        <xdr:cNvPr id="32" name="Plus Sign 31">
          <a:extLst>
            <a:ext uri="{FF2B5EF4-FFF2-40B4-BE49-F238E27FC236}">
              <a16:creationId xmlns="" xmlns:a16="http://schemas.microsoft.com/office/drawing/2014/main" id="{1E0E7BB6-0DEB-FF58-BBBD-CC7E7B59492D}"/>
            </a:ext>
          </a:extLst>
        </xdr:cNvPr>
        <xdr:cNvSpPr/>
      </xdr:nvSpPr>
      <xdr:spPr>
        <a:xfrm>
          <a:off x="2832641" y="11715558"/>
          <a:ext cx="254000" cy="283882"/>
        </a:xfrm>
        <a:prstGeom prst="mathPlus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66674</xdr:colOff>
      <xdr:row>76</xdr:row>
      <xdr:rowOff>12196</xdr:rowOff>
    </xdr:from>
    <xdr:to>
      <xdr:col>2</xdr:col>
      <xdr:colOff>268006</xdr:colOff>
      <xdr:row>78</xdr:row>
      <xdr:rowOff>171450</xdr:rowOff>
    </xdr:to>
    <xdr:sp macro="" textlink="">
      <xdr:nvSpPr>
        <xdr:cNvPr id="33" name="Arrow: Up 32">
          <a:extLst>
            <a:ext uri="{FF2B5EF4-FFF2-40B4-BE49-F238E27FC236}">
              <a16:creationId xmlns="" xmlns:a16="http://schemas.microsoft.com/office/drawing/2014/main" id="{A1663DC9-DD9F-0D43-D4CB-150A91081E0C}"/>
            </a:ext>
          </a:extLst>
        </xdr:cNvPr>
        <xdr:cNvSpPr/>
      </xdr:nvSpPr>
      <xdr:spPr>
        <a:xfrm rot="10800000">
          <a:off x="885824" y="11489821"/>
          <a:ext cx="201332" cy="521204"/>
        </a:xfrm>
        <a:prstGeom prst="upArrow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123564</xdr:colOff>
      <xdr:row>75</xdr:row>
      <xdr:rowOff>180422</xdr:rowOff>
    </xdr:from>
    <xdr:to>
      <xdr:col>8</xdr:col>
      <xdr:colOff>370093</xdr:colOff>
      <xdr:row>80</xdr:row>
      <xdr:rowOff>114299</xdr:rowOff>
    </xdr:to>
    <xdr:sp macro="" textlink="">
      <xdr:nvSpPr>
        <xdr:cNvPr id="34" name="Arrow: Up 33">
          <a:extLst>
            <a:ext uri="{FF2B5EF4-FFF2-40B4-BE49-F238E27FC236}">
              <a16:creationId xmlns="" xmlns:a16="http://schemas.microsoft.com/office/drawing/2014/main" id="{E5378644-7622-4C10-9C7F-B7881026715E}"/>
            </a:ext>
          </a:extLst>
        </xdr:cNvPr>
        <xdr:cNvSpPr/>
      </xdr:nvSpPr>
      <xdr:spPr>
        <a:xfrm rot="10800000">
          <a:off x="5000364" y="11477072"/>
          <a:ext cx="246529" cy="838752"/>
        </a:xfrm>
        <a:prstGeom prst="up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130175</xdr:colOff>
      <xdr:row>136</xdr:row>
      <xdr:rowOff>143436</xdr:rowOff>
    </xdr:from>
    <xdr:to>
      <xdr:col>7</xdr:col>
      <xdr:colOff>531532</xdr:colOff>
      <xdr:row>151</xdr:row>
      <xdr:rowOff>85165</xdr:rowOff>
    </xdr:to>
    <xdr:graphicFrame macro="">
      <xdr:nvGraphicFramePr>
        <xdr:cNvPr id="36" name="Chart 35">
          <a:extLst>
            <a:ext uri="{FF2B5EF4-FFF2-40B4-BE49-F238E27FC236}">
              <a16:creationId xmlns="" xmlns:a16="http://schemas.microsoft.com/office/drawing/2014/main" id="{99D37E3A-4F98-454B-A0B0-786AFFF92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84535</xdr:colOff>
      <xdr:row>74</xdr:row>
      <xdr:rowOff>82153</xdr:rowOff>
    </xdr:from>
    <xdr:to>
      <xdr:col>9</xdr:col>
      <xdr:colOff>714703</xdr:colOff>
      <xdr:row>77</xdr:row>
      <xdr:rowOff>109539</xdr:rowOff>
    </xdr:to>
    <xdr:grpSp>
      <xdr:nvGrpSpPr>
        <xdr:cNvPr id="28" name="Group 27">
          <a:extLst>
            <a:ext uri="{FF2B5EF4-FFF2-40B4-BE49-F238E27FC236}">
              <a16:creationId xmlns="" xmlns:a16="http://schemas.microsoft.com/office/drawing/2014/main" id="{00000000-0008-0000-0400-00001C000000}"/>
            </a:ext>
          </a:extLst>
        </xdr:cNvPr>
        <xdr:cNvGrpSpPr/>
      </xdr:nvGrpSpPr>
      <xdr:grpSpPr>
        <a:xfrm>
          <a:off x="6068476" y="12005212"/>
          <a:ext cx="630168" cy="565268"/>
          <a:chOff x="4602956" y="9523809"/>
          <a:chExt cx="630168" cy="563167"/>
        </a:xfrm>
      </xdr:grpSpPr>
      <xdr:grpSp>
        <xdr:nvGrpSpPr>
          <xdr:cNvPr id="27" name="Group 26">
            <a:extLst>
              <a:ext uri="{FF2B5EF4-FFF2-40B4-BE49-F238E27FC236}">
                <a16:creationId xmlns="" xmlns:a16="http://schemas.microsoft.com/office/drawing/2014/main" id="{00000000-0008-0000-0400-00001B000000}"/>
              </a:ext>
            </a:extLst>
          </xdr:cNvPr>
          <xdr:cNvGrpSpPr/>
        </xdr:nvGrpSpPr>
        <xdr:grpSpPr>
          <a:xfrm>
            <a:off x="4612482" y="9772651"/>
            <a:ext cx="314324" cy="314325"/>
            <a:chOff x="4035029" y="9814322"/>
            <a:chExt cx="314324" cy="314325"/>
          </a:xfrm>
        </xdr:grpSpPr>
        <xdr:cxnSp macro="">
          <xdr:nvCxnSpPr>
            <xdr:cNvPr id="15" name="Straight Arrow Connector 14">
              <a:extLst>
                <a:ext uri="{FF2B5EF4-FFF2-40B4-BE49-F238E27FC236}">
                  <a16:creationId xmlns="" xmlns:a16="http://schemas.microsoft.com/office/drawing/2014/main" id="{00000000-0008-0000-0400-00000F000000}"/>
                </a:ext>
              </a:extLst>
            </xdr:cNvPr>
            <xdr:cNvCxnSpPr/>
          </xdr:nvCxnSpPr>
          <xdr:spPr>
            <a:xfrm flipH="1">
              <a:off x="4035029" y="9814322"/>
              <a:ext cx="314324" cy="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42">
              <a:extLst>
                <a:ext uri="{FF2B5EF4-FFF2-40B4-BE49-F238E27FC236}">
                  <a16:creationId xmlns="" xmlns:a16="http://schemas.microsoft.com/office/drawing/2014/main" id="{00000000-0008-0000-0400-00002B000000}"/>
                </a:ext>
              </a:extLst>
            </xdr:cNvPr>
            <xdr:cNvCxnSpPr/>
          </xdr:nvCxnSpPr>
          <xdr:spPr>
            <a:xfrm>
              <a:off x="4339828" y="9814322"/>
              <a:ext cx="0" cy="314325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" name="Group 25">
            <a:extLst>
              <a:ext uri="{FF2B5EF4-FFF2-40B4-BE49-F238E27FC236}">
                <a16:creationId xmlns="" xmlns:a16="http://schemas.microsoft.com/office/drawing/2014/main" id="{00000000-0008-0000-0400-00001A000000}"/>
              </a:ext>
            </a:extLst>
          </xdr:cNvPr>
          <xdr:cNvGrpSpPr/>
        </xdr:nvGrpSpPr>
        <xdr:grpSpPr>
          <a:xfrm>
            <a:off x="4602956" y="9523809"/>
            <a:ext cx="630168" cy="491354"/>
            <a:chOff x="4025503" y="9571434"/>
            <a:chExt cx="630168" cy="491354"/>
          </a:xfrm>
        </xdr:grpSpPr>
        <xdr:sp macro="" textlink="">
          <xdr:nvSpPr>
            <xdr:cNvPr id="19" name="TextBox 18">
              <a:extLst>
                <a:ext uri="{FF2B5EF4-FFF2-40B4-BE49-F238E27FC236}">
                  <a16:creationId xmlns="" xmlns:a16="http://schemas.microsoft.com/office/drawing/2014/main" id="{00000000-0008-0000-0400-000013000000}"/>
                </a:ext>
              </a:extLst>
            </xdr:cNvPr>
            <xdr:cNvSpPr txBox="1"/>
          </xdr:nvSpPr>
          <xdr:spPr>
            <a:xfrm>
              <a:off x="4301728" y="9814322"/>
              <a:ext cx="353943" cy="24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/>
                <a:t>+Y</a:t>
              </a:r>
            </a:p>
          </xdr:txBody>
        </xdr:sp>
        <xdr:sp macro="" textlink="">
          <xdr:nvSpPr>
            <xdr:cNvPr id="44" name="TextBox 43">
              <a:extLst>
                <a:ext uri="{FF2B5EF4-FFF2-40B4-BE49-F238E27FC236}">
                  <a16:creationId xmlns="" xmlns:a16="http://schemas.microsoft.com/office/drawing/2014/main" id="{00000000-0008-0000-0400-00002C000000}"/>
                </a:ext>
              </a:extLst>
            </xdr:cNvPr>
            <xdr:cNvSpPr txBox="1"/>
          </xdr:nvSpPr>
          <xdr:spPr>
            <a:xfrm>
              <a:off x="4025503" y="9571434"/>
              <a:ext cx="353943" cy="248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/>
                <a:t>+X</a:t>
              </a:r>
            </a:p>
          </xdr:txBody>
        </xdr:sp>
      </xdr:grpSp>
    </xdr:grpSp>
    <xdr:clientData/>
  </xdr:twoCellAnchor>
  <xdr:twoCellAnchor editAs="oneCell">
    <xdr:from>
      <xdr:col>10</xdr:col>
      <xdr:colOff>272142</xdr:colOff>
      <xdr:row>54</xdr:row>
      <xdr:rowOff>108858</xdr:rowOff>
    </xdr:from>
    <xdr:to>
      <xdr:col>18</xdr:col>
      <xdr:colOff>27213</xdr:colOff>
      <xdr:row>70</xdr:row>
      <xdr:rowOff>125546</xdr:rowOff>
    </xdr:to>
    <xdr:pic>
      <xdr:nvPicPr>
        <xdr:cNvPr id="42" name="Picture 41" descr="International pressure units - WIKA blog">
          <a:extLst>
            <a:ext uri="{FF2B5EF4-FFF2-40B4-BE49-F238E27FC236}">
              <a16:creationId xmlns=""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5392" y="6477001"/>
          <a:ext cx="5061857" cy="2859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27214</xdr:colOff>
      <xdr:row>264</xdr:row>
      <xdr:rowOff>0</xdr:rowOff>
    </xdr:from>
    <xdr:to>
      <xdr:col>21</xdr:col>
      <xdr:colOff>492661</xdr:colOff>
      <xdr:row>287</xdr:row>
      <xdr:rowOff>140298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0464" y="50492788"/>
          <a:ext cx="7718054" cy="420792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26</xdr:row>
      <xdr:rowOff>18459</xdr:rowOff>
    </xdr:from>
    <xdr:to>
      <xdr:col>19</xdr:col>
      <xdr:colOff>285750</xdr:colOff>
      <xdr:row>48</xdr:row>
      <xdr:rowOff>83042</xdr:rowOff>
    </xdr:to>
    <xdr:pic>
      <xdr:nvPicPr>
        <xdr:cNvPr id="24" name="Picture 23">
          <a:extLst>
            <a:ext uri="{FF2B5EF4-FFF2-40B4-BE49-F238E27FC236}">
              <a16:creationId xmlns="" xmlns:a16="http://schemas.microsoft.com/office/drawing/2014/main" id="{1E038EC2-EC3C-1B9E-7790-D0AE345E5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2809284"/>
          <a:ext cx="5391150" cy="4046033"/>
        </a:xfrm>
        <a:prstGeom prst="rect">
          <a:avLst/>
        </a:prstGeom>
      </xdr:spPr>
    </xdr:pic>
    <xdr:clientData/>
  </xdr:twoCellAnchor>
  <xdr:twoCellAnchor>
    <xdr:from>
      <xdr:col>2</xdr:col>
      <xdr:colOff>200025</xdr:colOff>
      <xdr:row>73</xdr:row>
      <xdr:rowOff>57150</xdr:rowOff>
    </xdr:from>
    <xdr:to>
      <xdr:col>4</xdr:col>
      <xdr:colOff>527049</xdr:colOff>
      <xdr:row>74</xdr:row>
      <xdr:rowOff>133350</xdr:rowOff>
    </xdr:to>
    <xdr:grpSp>
      <xdr:nvGrpSpPr>
        <xdr:cNvPr id="50" name="Group 49">
          <a:extLst>
            <a:ext uri="{FF2B5EF4-FFF2-40B4-BE49-F238E27FC236}">
              <a16:creationId xmlns="" xmlns:a16="http://schemas.microsoft.com/office/drawing/2014/main" id="{3C2DB7E1-74D8-496C-96DB-0C9100686BAE}"/>
            </a:ext>
          </a:extLst>
        </xdr:cNvPr>
        <xdr:cNvGrpSpPr/>
      </xdr:nvGrpSpPr>
      <xdr:grpSpPr>
        <a:xfrm>
          <a:off x="1085290" y="11789709"/>
          <a:ext cx="1783788" cy="266700"/>
          <a:chOff x="3597275" y="9848850"/>
          <a:chExt cx="1000125" cy="571500"/>
        </a:xfrm>
      </xdr:grpSpPr>
      <xdr:cxnSp macro="">
        <xdr:nvCxnSpPr>
          <xdr:cNvPr id="51" name="Straight Arrow Connector 50">
            <a:extLst>
              <a:ext uri="{FF2B5EF4-FFF2-40B4-BE49-F238E27FC236}">
                <a16:creationId xmlns="" xmlns:a16="http://schemas.microsoft.com/office/drawing/2014/main" id="{26F73A6A-81E9-F259-01C4-77D63F8F959E}"/>
              </a:ext>
            </a:extLst>
          </xdr:cNvPr>
          <xdr:cNvCxnSpPr/>
        </xdr:nvCxnSpPr>
        <xdr:spPr>
          <a:xfrm flipV="1">
            <a:off x="3597275" y="9877425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="" xmlns:a16="http://schemas.microsoft.com/office/drawing/2014/main" id="{12E7DCD0-156E-579C-018B-C2F3D8640ABD}"/>
              </a:ext>
            </a:extLst>
          </xdr:cNvPr>
          <xdr:cNvCxnSpPr/>
        </xdr:nvCxnSpPr>
        <xdr:spPr>
          <a:xfrm flipV="1">
            <a:off x="393065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="" xmlns:a16="http://schemas.microsoft.com/office/drawing/2014/main" id="{21259BB9-C661-0C74-DEF3-12A5AE1D2D23}"/>
              </a:ext>
            </a:extLst>
          </xdr:cNvPr>
          <xdr:cNvCxnSpPr/>
        </xdr:nvCxnSpPr>
        <xdr:spPr>
          <a:xfrm flipV="1">
            <a:off x="3768725" y="98742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="" xmlns:a16="http://schemas.microsoft.com/office/drawing/2014/main" id="{825EC7C6-2E66-8D0A-538D-278D92FB04B8}"/>
              </a:ext>
            </a:extLst>
          </xdr:cNvPr>
          <xdr:cNvCxnSpPr/>
        </xdr:nvCxnSpPr>
        <xdr:spPr>
          <a:xfrm flipV="1">
            <a:off x="4086225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="" xmlns:a16="http://schemas.microsoft.com/office/drawing/2014/main" id="{4ACAD2AC-C1D7-1607-0618-2D59BAF84B3F}"/>
              </a:ext>
            </a:extLst>
          </xdr:cNvPr>
          <xdr:cNvCxnSpPr/>
        </xdr:nvCxnSpPr>
        <xdr:spPr>
          <a:xfrm flipV="1">
            <a:off x="4264025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Arrow Connector 55">
            <a:extLst>
              <a:ext uri="{FF2B5EF4-FFF2-40B4-BE49-F238E27FC236}">
                <a16:creationId xmlns="" xmlns:a16="http://schemas.microsoft.com/office/drawing/2014/main" id="{54B0F0E9-62E9-5C55-5408-C8C1B30146F3}"/>
              </a:ext>
            </a:extLst>
          </xdr:cNvPr>
          <xdr:cNvCxnSpPr/>
        </xdr:nvCxnSpPr>
        <xdr:spPr>
          <a:xfrm flipV="1">
            <a:off x="4425950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Arrow Connector 56">
            <a:extLst>
              <a:ext uri="{FF2B5EF4-FFF2-40B4-BE49-F238E27FC236}">
                <a16:creationId xmlns="" xmlns:a16="http://schemas.microsoft.com/office/drawing/2014/main" id="{74D9F84F-B9FE-F387-7F3A-F80ACDE5A0D0}"/>
              </a:ext>
            </a:extLst>
          </xdr:cNvPr>
          <xdr:cNvCxnSpPr/>
        </xdr:nvCxnSpPr>
        <xdr:spPr>
          <a:xfrm flipV="1">
            <a:off x="459740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85726</xdr:colOff>
      <xdr:row>71</xdr:row>
      <xdr:rowOff>57150</xdr:rowOff>
    </xdr:from>
    <xdr:to>
      <xdr:col>8</xdr:col>
      <xdr:colOff>228601</xdr:colOff>
      <xdr:row>74</xdr:row>
      <xdr:rowOff>82550</xdr:rowOff>
    </xdr:to>
    <xdr:grpSp>
      <xdr:nvGrpSpPr>
        <xdr:cNvPr id="58" name="Group 57">
          <a:extLst>
            <a:ext uri="{FF2B5EF4-FFF2-40B4-BE49-F238E27FC236}">
              <a16:creationId xmlns="" xmlns:a16="http://schemas.microsoft.com/office/drawing/2014/main" id="{86219524-58D5-4E93-8BF3-AD7D38173E37}"/>
            </a:ext>
          </a:extLst>
        </xdr:cNvPr>
        <xdr:cNvGrpSpPr/>
      </xdr:nvGrpSpPr>
      <xdr:grpSpPr>
        <a:xfrm>
          <a:off x="3156138" y="11408709"/>
          <a:ext cx="2328022" cy="596900"/>
          <a:chOff x="3597275" y="9848850"/>
          <a:chExt cx="1000125" cy="571500"/>
        </a:xfrm>
      </xdr:grpSpPr>
      <xdr:cxnSp macro="">
        <xdr:nvCxnSpPr>
          <xdr:cNvPr id="59" name="Straight Arrow Connector 58">
            <a:extLst>
              <a:ext uri="{FF2B5EF4-FFF2-40B4-BE49-F238E27FC236}">
                <a16:creationId xmlns="" xmlns:a16="http://schemas.microsoft.com/office/drawing/2014/main" id="{163EB054-41D3-922D-8582-9A862E8152F5}"/>
              </a:ext>
            </a:extLst>
          </xdr:cNvPr>
          <xdr:cNvCxnSpPr/>
        </xdr:nvCxnSpPr>
        <xdr:spPr>
          <a:xfrm flipV="1">
            <a:off x="3597275" y="9877425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="" xmlns:a16="http://schemas.microsoft.com/office/drawing/2014/main" id="{5C92FD6C-60EA-0166-BE1B-125AF640D8F3}"/>
              </a:ext>
            </a:extLst>
          </xdr:cNvPr>
          <xdr:cNvCxnSpPr/>
        </xdr:nvCxnSpPr>
        <xdr:spPr>
          <a:xfrm flipV="1">
            <a:off x="393065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="" xmlns:a16="http://schemas.microsoft.com/office/drawing/2014/main" id="{0190BD91-2BD4-E657-68E7-48B4ACF326D7}"/>
              </a:ext>
            </a:extLst>
          </xdr:cNvPr>
          <xdr:cNvCxnSpPr/>
        </xdr:nvCxnSpPr>
        <xdr:spPr>
          <a:xfrm flipV="1">
            <a:off x="3768725" y="98742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="" xmlns:a16="http://schemas.microsoft.com/office/drawing/2014/main" id="{30DF63C9-D624-562F-1C91-3A172EFAE0FA}"/>
              </a:ext>
            </a:extLst>
          </xdr:cNvPr>
          <xdr:cNvCxnSpPr/>
        </xdr:nvCxnSpPr>
        <xdr:spPr>
          <a:xfrm flipV="1">
            <a:off x="4086225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="" xmlns:a16="http://schemas.microsoft.com/office/drawing/2014/main" id="{6871C9C5-7558-D3BB-0673-1E0ADCD4D818}"/>
              </a:ext>
            </a:extLst>
          </xdr:cNvPr>
          <xdr:cNvCxnSpPr/>
        </xdr:nvCxnSpPr>
        <xdr:spPr>
          <a:xfrm flipV="1">
            <a:off x="4264025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="" xmlns:a16="http://schemas.microsoft.com/office/drawing/2014/main" id="{1F7D1E5C-E6FA-BE68-6521-50D51F1A79B0}"/>
              </a:ext>
            </a:extLst>
          </xdr:cNvPr>
          <xdr:cNvCxnSpPr/>
        </xdr:nvCxnSpPr>
        <xdr:spPr>
          <a:xfrm flipV="1">
            <a:off x="4425950" y="984885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Arrow Connector 64">
            <a:extLst>
              <a:ext uri="{FF2B5EF4-FFF2-40B4-BE49-F238E27FC236}">
                <a16:creationId xmlns="" xmlns:a16="http://schemas.microsoft.com/office/drawing/2014/main" id="{A07A0140-21B0-9D92-F006-73D3D9F560F9}"/>
              </a:ext>
            </a:extLst>
          </xdr:cNvPr>
          <xdr:cNvCxnSpPr/>
        </xdr:nvCxnSpPr>
        <xdr:spPr>
          <a:xfrm flipV="1">
            <a:off x="4597400" y="9855200"/>
            <a:ext cx="0" cy="54292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482600</xdr:colOff>
      <xdr:row>28</xdr:row>
      <xdr:rowOff>44450</xdr:rowOff>
    </xdr:from>
    <xdr:to>
      <xdr:col>26</xdr:col>
      <xdr:colOff>429209</xdr:colOff>
      <xdr:row>46</xdr:row>
      <xdr:rowOff>9949</xdr:rowOff>
    </xdr:to>
    <xdr:grpSp>
      <xdr:nvGrpSpPr>
        <xdr:cNvPr id="70" name="Group 69">
          <a:extLst>
            <a:ext uri="{FF2B5EF4-FFF2-40B4-BE49-F238E27FC236}">
              <a16:creationId xmlns="" xmlns:a16="http://schemas.microsoft.com/office/drawing/2014/main" id="{123796AF-603C-C960-208F-01DAA693AD4F}"/>
            </a:ext>
          </a:extLst>
        </xdr:cNvPr>
        <xdr:cNvGrpSpPr/>
      </xdr:nvGrpSpPr>
      <xdr:grpSpPr>
        <a:xfrm>
          <a:off x="13324541" y="3596715"/>
          <a:ext cx="4675492" cy="3260028"/>
          <a:chOff x="12293600" y="3559175"/>
          <a:chExt cx="4185234" cy="3042074"/>
        </a:xfrm>
      </xdr:grpSpPr>
      <xdr:pic>
        <xdr:nvPicPr>
          <xdr:cNvPr id="68" name="Picture 67">
            <a:extLst>
              <a:ext uri="{FF2B5EF4-FFF2-40B4-BE49-F238E27FC236}">
                <a16:creationId xmlns="" xmlns:a16="http://schemas.microsoft.com/office/drawing/2014/main" id="{466EBCF4-92C0-AC25-EBCC-A0E7F31A69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293600" y="3559175"/>
            <a:ext cx="4185234" cy="3042074"/>
          </a:xfrm>
          <a:prstGeom prst="rect">
            <a:avLst/>
          </a:prstGeom>
        </xdr:spPr>
      </xdr:pic>
      <xdr:sp macro="" textlink="">
        <xdr:nvSpPr>
          <xdr:cNvPr id="69" name="TextBox 68">
            <a:extLst>
              <a:ext uri="{FF2B5EF4-FFF2-40B4-BE49-F238E27FC236}">
                <a16:creationId xmlns="" xmlns:a16="http://schemas.microsoft.com/office/drawing/2014/main" id="{B56D87BF-4C7B-B166-8009-90B4EEFBF1E9}"/>
              </a:ext>
            </a:extLst>
          </xdr:cNvPr>
          <xdr:cNvSpPr txBox="1"/>
        </xdr:nvSpPr>
        <xdr:spPr>
          <a:xfrm>
            <a:off x="12773025" y="3733800"/>
            <a:ext cx="894476" cy="264560"/>
          </a:xfrm>
          <a:prstGeom prst="rect">
            <a:avLst/>
          </a:prstGeom>
          <a:solidFill>
            <a:schemeClr val="accent2"/>
          </a:solidFill>
          <a:ln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Shear failure</a:t>
            </a:r>
          </a:p>
        </xdr:txBody>
      </xdr:sp>
    </xdr:grpSp>
    <xdr:clientData/>
  </xdr:twoCellAnchor>
  <xdr:twoCellAnchor editAs="oneCell">
    <xdr:from>
      <xdr:col>18</xdr:col>
      <xdr:colOff>210773</xdr:colOff>
      <xdr:row>49</xdr:row>
      <xdr:rowOff>161925</xdr:rowOff>
    </xdr:from>
    <xdr:to>
      <xdr:col>27</xdr:col>
      <xdr:colOff>140868</xdr:colOff>
      <xdr:row>68</xdr:row>
      <xdr:rowOff>714</xdr:rowOff>
    </xdr:to>
    <xdr:pic>
      <xdr:nvPicPr>
        <xdr:cNvPr id="71" name="Picture 70">
          <a:extLst>
            <a:ext uri="{FF2B5EF4-FFF2-40B4-BE49-F238E27FC236}">
              <a16:creationId xmlns="" xmlns:a16="http://schemas.microsoft.com/office/drawing/2014/main" id="{48258DB5-36F4-384F-C16C-6E4408CA5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440748" y="7477125"/>
          <a:ext cx="5359345" cy="3274139"/>
        </a:xfrm>
        <a:prstGeom prst="rect">
          <a:avLst/>
        </a:prstGeom>
      </xdr:spPr>
    </xdr:pic>
    <xdr:clientData/>
  </xdr:twoCellAnchor>
  <xdr:twoCellAnchor editAs="oneCell">
    <xdr:from>
      <xdr:col>10</xdr:col>
      <xdr:colOff>669924</xdr:colOff>
      <xdr:row>186</xdr:row>
      <xdr:rowOff>122998</xdr:rowOff>
    </xdr:from>
    <xdr:to>
      <xdr:col>20</xdr:col>
      <xdr:colOff>274339</xdr:colOff>
      <xdr:row>207</xdr:row>
      <xdr:rowOff>159634</xdr:rowOff>
    </xdr:to>
    <xdr:pic>
      <xdr:nvPicPr>
        <xdr:cNvPr id="72" name="Picture 71">
          <a:extLst>
            <a:ext uri="{FF2B5EF4-FFF2-40B4-BE49-F238E27FC236}">
              <a16:creationId xmlns="" xmlns:a16="http://schemas.microsoft.com/office/drawing/2014/main" id="{75FA5368-22D3-CE96-C04F-72C7D1DF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70724" y="32441323"/>
          <a:ext cx="5595640" cy="38371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170</xdr:row>
      <xdr:rowOff>14941</xdr:rowOff>
    </xdr:from>
    <xdr:to>
      <xdr:col>10</xdr:col>
      <xdr:colOff>709705</xdr:colOff>
      <xdr:row>181</xdr:row>
      <xdr:rowOff>104588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476249</xdr:colOff>
      <xdr:row>227</xdr:row>
      <xdr:rowOff>33617</xdr:rowOff>
    </xdr:from>
    <xdr:to>
      <xdr:col>9</xdr:col>
      <xdr:colOff>907676</xdr:colOff>
      <xdr:row>237</xdr:row>
      <xdr:rowOff>100854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459441</xdr:colOff>
      <xdr:row>239</xdr:row>
      <xdr:rowOff>56030</xdr:rowOff>
    </xdr:from>
    <xdr:to>
      <xdr:col>9</xdr:col>
      <xdr:colOff>907676</xdr:colOff>
      <xdr:row>249</xdr:row>
      <xdr:rowOff>123267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134470</xdr:colOff>
      <xdr:row>175</xdr:row>
      <xdr:rowOff>14941</xdr:rowOff>
    </xdr:from>
    <xdr:to>
      <xdr:col>10</xdr:col>
      <xdr:colOff>709705</xdr:colOff>
      <xdr:row>186</xdr:row>
      <xdr:rowOff>104588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58965C2-C487-464B-9A04-1299F7792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476249</xdr:colOff>
      <xdr:row>232</xdr:row>
      <xdr:rowOff>33617</xdr:rowOff>
    </xdr:from>
    <xdr:to>
      <xdr:col>9</xdr:col>
      <xdr:colOff>907676</xdr:colOff>
      <xdr:row>242</xdr:row>
      <xdr:rowOff>100854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37451BDE-75BD-4E0D-A6BA-C27AD9CB0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459441</xdr:colOff>
      <xdr:row>244</xdr:row>
      <xdr:rowOff>56030</xdr:rowOff>
    </xdr:from>
    <xdr:to>
      <xdr:col>9</xdr:col>
      <xdr:colOff>907676</xdr:colOff>
      <xdr:row>254</xdr:row>
      <xdr:rowOff>123267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65B001FA-F381-4144-AFA3-AFBFE83C0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302558</xdr:colOff>
      <xdr:row>552</xdr:row>
      <xdr:rowOff>44824</xdr:rowOff>
    </xdr:from>
    <xdr:to>
      <xdr:col>28</xdr:col>
      <xdr:colOff>50606</xdr:colOff>
      <xdr:row>558</xdr:row>
      <xdr:rowOff>73563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33176" y="32754795"/>
          <a:ext cx="5306165" cy="1171739"/>
        </a:xfrm>
        <a:prstGeom prst="rect">
          <a:avLst/>
        </a:prstGeom>
      </xdr:spPr>
    </xdr:pic>
    <xdr:clientData/>
  </xdr:twoCellAnchor>
  <xdr:twoCellAnchor editAs="oneCell">
    <xdr:from>
      <xdr:col>12</xdr:col>
      <xdr:colOff>305734</xdr:colOff>
      <xdr:row>564</xdr:row>
      <xdr:rowOff>115233</xdr:rowOff>
    </xdr:from>
    <xdr:to>
      <xdr:col>26</xdr:col>
      <xdr:colOff>11844</xdr:colOff>
      <xdr:row>577</xdr:row>
      <xdr:rowOff>64772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82146" y="34931909"/>
          <a:ext cx="4098816" cy="2426039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22413</xdr:colOff>
      <xdr:row>558</xdr:row>
      <xdr:rowOff>25586</xdr:rowOff>
    </xdr:from>
    <xdr:to>
      <xdr:col>25</xdr:col>
      <xdr:colOff>273797</xdr:colOff>
      <xdr:row>563</xdr:row>
      <xdr:rowOff>106659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12589" y="33699262"/>
          <a:ext cx="4022911" cy="1027223"/>
        </a:xfrm>
        <a:prstGeom prst="rect">
          <a:avLst/>
        </a:prstGeom>
      </xdr:spPr>
    </xdr:pic>
    <xdr:clientData/>
  </xdr:twoCellAnchor>
  <xdr:twoCellAnchor>
    <xdr:from>
      <xdr:col>13</xdr:col>
      <xdr:colOff>51735</xdr:colOff>
      <xdr:row>592</xdr:row>
      <xdr:rowOff>130737</xdr:rowOff>
    </xdr:from>
    <xdr:to>
      <xdr:col>28</xdr:col>
      <xdr:colOff>109058</xdr:colOff>
      <xdr:row>604</xdr:row>
      <xdr:rowOff>72580</xdr:rowOff>
    </xdr:to>
    <xdr:grpSp>
      <xdr:nvGrpSpPr>
        <xdr:cNvPr id="10" name="Group 9">
          <a:extLst>
            <a:ext uri="{FF2B5EF4-FFF2-40B4-BE49-F238E27FC236}">
              <a16:creationId xmlns="" xmlns:a16="http://schemas.microsoft.com/office/drawing/2014/main" id="{6CD0C531-CFCF-08EE-F524-3CCEEAE2F5F4}"/>
            </a:ext>
          </a:extLst>
        </xdr:cNvPr>
        <xdr:cNvGrpSpPr/>
      </xdr:nvGrpSpPr>
      <xdr:grpSpPr>
        <a:xfrm>
          <a:off x="13338736" y="25870649"/>
          <a:ext cx="4763794" cy="2224668"/>
          <a:chOff x="13402236" y="38783560"/>
          <a:chExt cx="4763795" cy="2263142"/>
        </a:xfrm>
      </xdr:grpSpPr>
      <xdr:pic>
        <xdr:nvPicPr>
          <xdr:cNvPr id="6" name="Picture 5">
            <a:extLst>
              <a:ext uri="{FF2B5EF4-FFF2-40B4-BE49-F238E27FC236}">
                <a16:creationId xmlns=""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402236" y="38783560"/>
            <a:ext cx="4763795" cy="135983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="" xmlns:a16="http://schemas.microsoft.com/office/drawing/2014/main" id="{00000000-0008-0000-05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413442" y="40202970"/>
            <a:ext cx="3383579" cy="843732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7471</xdr:colOff>
      <xdr:row>3</xdr:row>
      <xdr:rowOff>4390</xdr:rowOff>
    </xdr:from>
    <xdr:to>
      <xdr:col>16</xdr:col>
      <xdr:colOff>425824</xdr:colOff>
      <xdr:row>19</xdr:row>
      <xdr:rowOff>161411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FDD733D0-702B-9D6D-B7A4-AE79237D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9346" y="556840"/>
          <a:ext cx="3113929" cy="3052621"/>
        </a:xfrm>
        <a:prstGeom prst="rect">
          <a:avLst/>
        </a:prstGeom>
      </xdr:spPr>
    </xdr:pic>
    <xdr:clientData/>
  </xdr:twoCellAnchor>
  <xdr:oneCellAnchor>
    <xdr:from>
      <xdr:col>16</xdr:col>
      <xdr:colOff>39594</xdr:colOff>
      <xdr:row>22</xdr:row>
      <xdr:rowOff>62008</xdr:rowOff>
    </xdr:from>
    <xdr:ext cx="1251240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="" xmlns:a16="http://schemas.microsoft.com/office/drawing/2014/main" id="{2D898092-0340-1DEC-094C-4073F2FA1F95}"/>
                </a:ext>
              </a:extLst>
            </xdr:cNvPr>
            <xdr:cNvSpPr txBox="1"/>
          </xdr:nvSpPr>
          <xdr:spPr>
            <a:xfrm>
              <a:off x="13927044" y="4052983"/>
              <a:ext cx="1251240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</m:acc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𝑟𝑒𝑓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="" xmlns:a16="http://schemas.microsoft.com/office/drawing/2014/main" xmlns:a14="http://schemas.microsoft.com/office/drawing/2010/main" id="{2D898092-0340-1DEC-094C-4073F2FA1F95}"/>
                </a:ext>
              </a:extLst>
            </xdr:cNvPr>
            <xdr:cNvSpPr txBox="1"/>
          </xdr:nvSpPr>
          <xdr:spPr>
            <a:xfrm>
              <a:off x="13927044" y="4052983"/>
              <a:ext cx="1251240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𝐹=𝑞 ̅𝐴_𝑟𝑒𝑓 𝐶_𝐹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13</xdr:col>
      <xdr:colOff>91888</xdr:colOff>
      <xdr:row>106</xdr:row>
      <xdr:rowOff>24652</xdr:rowOff>
    </xdr:from>
    <xdr:ext cx="1027654" cy="4890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=""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11283763" y="14731252"/>
              <a:ext cx="1027654" cy="489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</m:oMath>
                </m:oMathPara>
              </a14:m>
              <a:endParaRPr lang="es-MX" sz="1600" b="0"/>
            </a:p>
            <a:p>
              <a:endParaRPr lang="en-US" sz="16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11283763" y="14731252"/>
              <a:ext cx="1027654" cy="4890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𝑀_𝑍  𝑓𝑜𝑟 𝐹_𝑌</a:t>
              </a:r>
              <a:endParaRPr lang="es-MX" sz="1600" b="0"/>
            </a:p>
            <a:p>
              <a:endParaRPr lang="en-US" sz="1600"/>
            </a:p>
          </xdr:txBody>
        </xdr:sp>
      </mc:Fallback>
    </mc:AlternateContent>
    <xdr:clientData/>
  </xdr:oneCellAnchor>
  <xdr:oneCellAnchor>
    <xdr:from>
      <xdr:col>13</xdr:col>
      <xdr:colOff>91888</xdr:colOff>
      <xdr:row>107</xdr:row>
      <xdr:rowOff>91889</xdr:rowOff>
    </xdr:from>
    <xdr:ext cx="1013033" cy="2566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="" xmlns:a16="http://schemas.microsoft.com/office/drawing/2014/main" id="{00000000-0008-0000-0600-000005000000}"/>
                </a:ext>
              </a:extLst>
            </xdr:cNvPr>
            <xdr:cNvSpPr txBox="1"/>
          </xdr:nvSpPr>
          <xdr:spPr>
            <a:xfrm>
              <a:off x="11283763" y="14979464"/>
              <a:ext cx="1013033" cy="2566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𝑌</m:t>
                        </m:r>
                      </m:sub>
                    </m:sSub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𝑓𝑜𝑟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1283763" y="14979464"/>
              <a:ext cx="1013033" cy="2566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𝑀_𝑌  𝑓𝑜𝑟 𝐹_𝑍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16</xdr:col>
      <xdr:colOff>46317</xdr:colOff>
      <xdr:row>24</xdr:row>
      <xdr:rowOff>23908</xdr:rowOff>
    </xdr:from>
    <xdr:ext cx="1549911" cy="2659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="" xmlns:a16="http://schemas.microsoft.com/office/drawing/2014/main" id="{2D898092-0340-1DEC-094C-4073F2FA1F95}"/>
                </a:ext>
              </a:extLst>
            </xdr:cNvPr>
            <xdr:cNvSpPr txBox="1"/>
          </xdr:nvSpPr>
          <xdr:spPr>
            <a:xfrm>
              <a:off x="13933767" y="4376833"/>
              <a:ext cx="1549911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600" b="0" i="1">
                        <a:latin typeface="Cambria Math" panose="02040503050406030204" pitchFamily="18" charset="0"/>
                      </a:rPr>
                      <m:t>𝑀</m:t>
                    </m:r>
                    <m:r>
                      <a:rPr lang="es-MX" sz="16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</m:acc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𝑟𝑒𝑓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sub>
                    </m:sSub>
                    <m:sSub>
                      <m:sSubPr>
                        <m:ctrlPr>
                          <a:rPr lang="es-MX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600" b="0" i="1">
                            <a:latin typeface="Cambria Math" panose="02040503050406030204" pitchFamily="18" charset="0"/>
                          </a:rPr>
                          <m:t>𝑀</m:t>
                        </m:r>
                      </m:sub>
                    </m:sSub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="" xmlns:a16="http://schemas.microsoft.com/office/drawing/2014/main" xmlns:a14="http://schemas.microsoft.com/office/drawing/2010/main" id="{2D898092-0340-1DEC-094C-4073F2FA1F95}"/>
                </a:ext>
              </a:extLst>
            </xdr:cNvPr>
            <xdr:cNvSpPr txBox="1"/>
          </xdr:nvSpPr>
          <xdr:spPr>
            <a:xfrm>
              <a:off x="13933767" y="4376833"/>
              <a:ext cx="1549911" cy="265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600" b="0" i="0">
                  <a:latin typeface="Cambria Math" panose="02040503050406030204" pitchFamily="18" charset="0"/>
                </a:rPr>
                <a:t>𝑀=𝑞 ̅𝐴_𝑟𝑒𝑓 𝐿_𝑟 𝐶_𝑀</a:t>
              </a:r>
              <a:endParaRPr lang="en-US" sz="1600"/>
            </a:p>
          </xdr:txBody>
        </xdr:sp>
      </mc:Fallback>
    </mc:AlternateContent>
    <xdr:clientData/>
  </xdr:oneCellAnchor>
  <xdr:twoCellAnchor>
    <xdr:from>
      <xdr:col>9</xdr:col>
      <xdr:colOff>67236</xdr:colOff>
      <xdr:row>53</xdr:row>
      <xdr:rowOff>159871</xdr:rowOff>
    </xdr:from>
    <xdr:to>
      <xdr:col>15</xdr:col>
      <xdr:colOff>201706</xdr:colOff>
      <xdr:row>68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C3669FF7-AC46-D785-A682-61E6EC40B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580358</xdr:colOff>
      <xdr:row>1</xdr:row>
      <xdr:rowOff>28574</xdr:rowOff>
    </xdr:from>
    <xdr:to>
      <xdr:col>8</xdr:col>
      <xdr:colOff>267636</xdr:colOff>
      <xdr:row>12</xdr:row>
      <xdr:rowOff>64411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C3C2806-C192-4C8E-400B-77250FF88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2733" y="209549"/>
          <a:ext cx="2125678" cy="2064662"/>
        </a:xfrm>
        <a:prstGeom prst="rect">
          <a:avLst/>
        </a:prstGeom>
      </xdr:spPr>
    </xdr:pic>
    <xdr:clientData/>
  </xdr:twoCellAnchor>
  <xdr:twoCellAnchor editAs="oneCell">
    <xdr:from>
      <xdr:col>4</xdr:col>
      <xdr:colOff>104039</xdr:colOff>
      <xdr:row>13</xdr:row>
      <xdr:rowOff>6350</xdr:rowOff>
    </xdr:from>
    <xdr:to>
      <xdr:col>9</xdr:col>
      <xdr:colOff>7103</xdr:colOff>
      <xdr:row>22</xdr:row>
      <xdr:rowOff>29003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49E023-F1F9-85DB-71B0-14903EA1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6414" y="2406650"/>
          <a:ext cx="2951064" cy="1680003"/>
        </a:xfrm>
        <a:prstGeom prst="rect">
          <a:avLst/>
        </a:prstGeom>
      </xdr:spPr>
    </xdr:pic>
    <xdr:clientData/>
  </xdr:twoCellAnchor>
  <xdr:twoCellAnchor editAs="oneCell">
    <xdr:from>
      <xdr:col>3</xdr:col>
      <xdr:colOff>647674</xdr:colOff>
      <xdr:row>23</xdr:row>
      <xdr:rowOff>9525</xdr:rowOff>
    </xdr:from>
    <xdr:to>
      <xdr:col>9</xdr:col>
      <xdr:colOff>140690</xdr:colOff>
      <xdr:row>46</xdr:row>
      <xdr:rowOff>142875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31466A9B-9FE0-4282-E083-96028C27B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81999" y="4248150"/>
          <a:ext cx="5989066" cy="4295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5</xdr:row>
      <xdr:rowOff>1587</xdr:rowOff>
    </xdr:from>
    <xdr:to>
      <xdr:col>13</xdr:col>
      <xdr:colOff>533400</xdr:colOff>
      <xdr:row>30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940D527C-4366-00CE-4B25-D1D345FA8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322262</xdr:colOff>
      <xdr:row>3</xdr:row>
      <xdr:rowOff>169862</xdr:rowOff>
    </xdr:from>
    <xdr:ext cx="202965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="" xmlns:a16="http://schemas.microsoft.com/office/drawing/2014/main" id="{A761C379-9697-216A-9A7E-CFB8449EE35F}"/>
                </a:ext>
              </a:extLst>
            </xdr:cNvPr>
            <xdr:cNvSpPr txBox="1"/>
          </xdr:nvSpPr>
          <xdr:spPr>
            <a:xfrm>
              <a:off x="1232684" y="904320"/>
              <a:ext cx="20296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m:rPr>
                        <m:lit/>
                      </m:rPr>
                      <a:rPr lang="es-MX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𝑛𝑜𝑠𝑒𝑐𝑜𝑛𝑒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𝑟𝑎𝑑𝑖𝑎𝑛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761C379-9697-216A-9A7E-CFB8449EE35F}"/>
                </a:ext>
              </a:extLst>
            </xdr:cNvPr>
            <xdr:cNvSpPr txBox="1"/>
          </xdr:nvSpPr>
          <xdr:spPr>
            <a:xfrm>
              <a:off x="1232684" y="904320"/>
              <a:ext cx="202965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𝐿_𝑛 \/𝑑 𝐶_𝑁0  𝑛𝑜𝑠𝑒𝑐𝑜𝑛𝑒 (𝑝𝑒𝑟 𝑟𝑎𝑑𝑖𝑎𝑛)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7</xdr:col>
      <xdr:colOff>322262</xdr:colOff>
      <xdr:row>32</xdr:row>
      <xdr:rowOff>20637</xdr:rowOff>
    </xdr:from>
    <xdr:to>
      <xdr:col>14</xdr:col>
      <xdr:colOff>600075</xdr:colOff>
      <xdr:row>45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9C9DD64C-8DAF-E3DC-52EF-344D71B51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160337</xdr:colOff>
      <xdr:row>48</xdr:row>
      <xdr:rowOff>96837</xdr:rowOff>
    </xdr:from>
    <xdr:ext cx="2243178" cy="2403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="" xmlns:a16="http://schemas.microsoft.com/office/drawing/2014/main" id="{C30842E1-FA76-C7DF-5357-28BDD94979CA}"/>
                </a:ext>
              </a:extLst>
            </xdr:cNvPr>
            <xdr:cNvSpPr txBox="1"/>
          </xdr:nvSpPr>
          <xdr:spPr>
            <a:xfrm>
              <a:off x="160337" y="9644789"/>
              <a:ext cx="2243178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𝑁</m:t>
                      </m:r>
                    </m:sub>
                  </m:sSub>
                  <m:r>
                    <a:rPr lang="es-MX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𝑁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func>
                    <m:func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sin</m:t>
                      </m:r>
                    </m:fName>
                    <m:e>
                      <m:d>
                        <m:d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𝛼</m:t>
                          </m:r>
                        </m:e>
                      </m:d>
                    </m:e>
                  </m:func>
                  <m:func>
                    <m:func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cos</m:t>
                      </m:r>
                    </m:fName>
                    <m:e>
                      <m:d>
                        <m:d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𝛼</m:t>
                          </m:r>
                        </m:e>
                      </m:d>
                    </m:e>
                  </m:func>
                  <m:r>
                    <a:rPr lang="es-MX" sz="11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4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𝜋</m:t>
                      </m:r>
                      <m:r>
                        <a:rPr lang="es-MX" sz="11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𝐿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𝑑</m:t>
                      </m:r>
                    </m:den>
                  </m:f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</m:t>
                      </m:r>
                    </m:e>
                    <m:sub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NC</m:t>
                      </m:r>
                    </m:sub>
                  </m:sSub>
                  <m:sSub>
                    <m:sSub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C</m:t>
                      </m:r>
                    </m:e>
                    <m:sub>
                      <m:r>
                        <m:rPr>
                          <m:sty m:val="p"/>
                        </m:rPr>
                        <a:rPr lang="es-MX" sz="1100" b="0" i="0">
                          <a:latin typeface="Cambria Math" panose="02040503050406030204" pitchFamily="18" charset="0"/>
                        </a:rPr>
                        <m:t>PL</m:t>
                      </m:r>
                    </m:sub>
                  </m:sSub>
                </m:oMath>
              </a14:m>
              <a:r>
                <a:rPr lang="en-US" sz="1100"/>
                <a:t>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0842E1-FA76-C7DF-5357-28BDD94979CA}"/>
                </a:ext>
              </a:extLst>
            </xdr:cNvPr>
            <xdr:cNvSpPr txBox="1"/>
          </xdr:nvSpPr>
          <xdr:spPr>
            <a:xfrm>
              <a:off x="160337" y="9644789"/>
              <a:ext cx="2243178" cy="240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𝐶_𝑁=𝐶_𝑁0  sin⁡(𝛼)  cos⁡(𝛼)+4/(𝜋 )  𝐿/𝑑 C_NC C_PL</a:t>
              </a:r>
              <a:r>
                <a:rPr lang="en-US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227012</xdr:colOff>
      <xdr:row>52</xdr:row>
      <xdr:rowOff>20637</xdr:rowOff>
    </xdr:from>
    <xdr:ext cx="1603772" cy="317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="" xmlns:a16="http://schemas.microsoft.com/office/drawing/2014/main" id="{238526A6-FCD4-8548-FF55-6B3C91F39C4B}"/>
                </a:ext>
              </a:extLst>
            </xdr:cNvPr>
            <xdr:cNvSpPr txBox="1"/>
          </xdr:nvSpPr>
          <xdr:spPr>
            <a:xfrm>
              <a:off x="227012" y="10174287"/>
              <a:ext cx="1603772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𝑁𝑐𝑟𝑜𝑠𝑠𝑓𝑙𝑜𝑤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den>
                    </m:f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𝐿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</m:t>
                        </m:r>
                      </m:den>
                    </m:f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NC</m:t>
                        </m:r>
                      </m:sub>
                    </m:sSub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PL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38526A6-FCD4-8548-FF55-6B3C91F39C4B}"/>
                </a:ext>
              </a:extLst>
            </xdr:cNvPr>
            <xdr:cNvSpPr txBox="1"/>
          </xdr:nvSpPr>
          <xdr:spPr>
            <a:xfrm>
              <a:off x="227012" y="10174287"/>
              <a:ext cx="1603772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𝐶_𝑁𝑐𝑟𝑜𝑠𝑠𝑓𝑙𝑜𝑤=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4/(𝜋 )  𝐿/𝑑 C_NC C_PL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196850</xdr:colOff>
      <xdr:row>50</xdr:row>
      <xdr:rowOff>63500</xdr:rowOff>
    </xdr:from>
    <xdr:ext cx="1981183" cy="18280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="" xmlns:a16="http://schemas.microsoft.com/office/drawing/2014/main" id="{1D924C9F-B1DD-4B9D-BFCF-B5695F959620}"/>
                </a:ext>
              </a:extLst>
            </xdr:cNvPr>
            <xdr:cNvSpPr txBox="1"/>
          </xdr:nvSpPr>
          <xdr:spPr>
            <a:xfrm>
              <a:off x="196850" y="9855200"/>
              <a:ext cx="1981183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𝑁𝑓𝑜𝑟𝑒𝑏𝑜𝑑𝑦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</m:t>
                        </m:r>
                      </m:sub>
                    </m:sSub>
                    <m:func>
                      <m:func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D924C9F-B1DD-4B9D-BFCF-B5695F959620}"/>
                </a:ext>
              </a:extLst>
            </xdr:cNvPr>
            <xdr:cNvSpPr txBox="1"/>
          </xdr:nvSpPr>
          <xdr:spPr>
            <a:xfrm>
              <a:off x="196850" y="9855200"/>
              <a:ext cx="1981183" cy="1828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𝐶_𝑁𝑓𝑜𝑟𝑒𝑏𝑜𝑑𝑦=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𝐶_𝑁𝛼0  sin⁡(𝛼)  cos⁡(𝛼)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4</xdr:col>
      <xdr:colOff>19048</xdr:colOff>
      <xdr:row>50</xdr:row>
      <xdr:rowOff>7936</xdr:rowOff>
    </xdr:from>
    <xdr:to>
      <xdr:col>10</xdr:col>
      <xdr:colOff>571499</xdr:colOff>
      <xdr:row>64</xdr:row>
      <xdr:rowOff>165099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00593C10-B837-4C24-7607-B834AEF68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66</xdr:row>
      <xdr:rowOff>11112</xdr:rowOff>
    </xdr:from>
    <xdr:to>
      <xdr:col>10</xdr:col>
      <xdr:colOff>590550</xdr:colOff>
      <xdr:row>80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064315BC-E7A3-C5F1-199F-03D3DC0B7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112712</xdr:colOff>
      <xdr:row>83</xdr:row>
      <xdr:rowOff>106362</xdr:rowOff>
    </xdr:from>
    <xdr:ext cx="1719252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="" xmlns:a16="http://schemas.microsoft.com/office/drawing/2014/main" id="{8CDE8A02-B0ED-012D-019B-E87D218D6924}"/>
                </a:ext>
              </a:extLst>
            </xdr:cNvPr>
            <xdr:cNvSpPr txBox="1"/>
          </xdr:nvSpPr>
          <xdr:spPr>
            <a:xfrm>
              <a:off x="112712" y="15870237"/>
              <a:ext cx="171925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𝑃𝐿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𝑝𝑎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CDE8A02-B0ED-012D-019B-E87D218D6924}"/>
                </a:ext>
              </a:extLst>
            </xdr:cNvPr>
            <xdr:cNvSpPr txBox="1"/>
          </xdr:nvSpPr>
          <xdr:spPr>
            <a:xfrm>
              <a:off x="112712" y="15870237"/>
              <a:ext cx="1719252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𝐶_𝑃𝐿=𝐶_𝑃𝑓  𝐿_𝑁/𝐿+𝐿_𝑚/𝐿+𝐶_𝑝𝑎  𝐿_𝑇/𝐿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93662</xdr:colOff>
      <xdr:row>90</xdr:row>
      <xdr:rowOff>77787</xdr:rowOff>
    </xdr:from>
    <xdr:ext cx="2769733" cy="63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=""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93662" y="17108487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e>
                                </m:rad>
                              </m:den>
                            </m:f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𝑠𝑖</m:t>
                            </m:r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rad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93662" y="17108487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𝐶_𝑃𝑓=1/2 (((𝐹+1)^2/√(2𝐹+1) 𝑠𝑖𝑛^(−1) (√(2𝐹+1)/(𝐹+1)))−𝐹)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179387</xdr:colOff>
      <xdr:row>93</xdr:row>
      <xdr:rowOff>153987</xdr:rowOff>
    </xdr:from>
    <xdr:ext cx="1311641" cy="4424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="" xmlns:a16="http://schemas.microsoft.com/office/drawing/2014/main" id="{6623A625-4973-241C-C2D8-E55AF8EEB25E}"/>
                </a:ext>
              </a:extLst>
            </xdr:cNvPr>
            <xdr:cNvSpPr txBox="1"/>
          </xdr:nvSpPr>
          <xdr:spPr>
            <a:xfrm>
              <a:off x="179387" y="17727612"/>
              <a:ext cx="1311641" cy="44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𝐹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𝐿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𝑑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623A625-4973-241C-C2D8-E55AF8EEB25E}"/>
                </a:ext>
              </a:extLst>
            </xdr:cNvPr>
            <xdr:cNvSpPr txBox="1"/>
          </xdr:nvSpPr>
          <xdr:spPr>
            <a:xfrm>
              <a:off x="179387" y="17727612"/>
              <a:ext cx="1311641" cy="44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𝐹=1/2 (4(𝐿_𝑁/𝑑)^2−1)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76912</xdr:colOff>
      <xdr:row>98</xdr:row>
      <xdr:rowOff>44272</xdr:rowOff>
    </xdr:from>
    <xdr:ext cx="1482329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="" xmlns:a16="http://schemas.microsoft.com/office/drawing/2014/main" id="{2736D442-88E4-B09D-E012-92D915CB7DF1}"/>
                </a:ext>
              </a:extLst>
            </xdr:cNvPr>
            <xdr:cNvSpPr txBox="1"/>
          </xdr:nvSpPr>
          <xdr:spPr>
            <a:xfrm>
              <a:off x="76912" y="18441468"/>
              <a:ext cx="1482329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𝑃𝐿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736D442-88E4-B09D-E012-92D915CB7DF1}"/>
                </a:ext>
              </a:extLst>
            </xdr:cNvPr>
            <xdr:cNvSpPr txBox="1"/>
          </xdr:nvSpPr>
          <xdr:spPr>
            <a:xfrm>
              <a:off x="76912" y="18441468"/>
              <a:ext cx="1482329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𝐶_𝑃𝐿=𝐶_𝑃𝑓  𝐿_𝑁/𝐿+(𝐿_𝑚+𝐿_𝑇)/𝐿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6</xdr:col>
      <xdr:colOff>356075</xdr:colOff>
      <xdr:row>83</xdr:row>
      <xdr:rowOff>83899</xdr:rowOff>
    </xdr:from>
    <xdr:to>
      <xdr:col>15</xdr:col>
      <xdr:colOff>299901</xdr:colOff>
      <xdr:row>96</xdr:row>
      <xdr:rowOff>93280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EA6BB45-C842-F85B-2CD2-48F390F7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1496" y="15721516"/>
          <a:ext cx="5658826" cy="2401016"/>
        </a:xfrm>
        <a:prstGeom prst="rect">
          <a:avLst/>
        </a:prstGeom>
      </xdr:spPr>
    </xdr:pic>
    <xdr:clientData/>
  </xdr:twoCellAnchor>
  <xdr:twoCellAnchor editAs="oneCell">
    <xdr:from>
      <xdr:col>0</xdr:col>
      <xdr:colOff>142432</xdr:colOff>
      <xdr:row>103</xdr:row>
      <xdr:rowOff>53768</xdr:rowOff>
    </xdr:from>
    <xdr:to>
      <xdr:col>7</xdr:col>
      <xdr:colOff>365174</xdr:colOff>
      <xdr:row>115</xdr:row>
      <xdr:rowOff>94878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71695D33-2EF6-CC71-803C-53E251A3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432" y="19300160"/>
          <a:ext cx="5080165" cy="2240697"/>
        </a:xfrm>
        <a:prstGeom prst="rect">
          <a:avLst/>
        </a:prstGeom>
      </xdr:spPr>
    </xdr:pic>
    <xdr:clientData/>
  </xdr:twoCellAnchor>
  <xdr:oneCellAnchor>
    <xdr:from>
      <xdr:col>7</xdr:col>
      <xdr:colOff>159996</xdr:colOff>
      <xdr:row>106</xdr:row>
      <xdr:rowOff>145160</xdr:rowOff>
    </xdr:from>
    <xdr:ext cx="683200" cy="346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="" xmlns:a16="http://schemas.microsoft.com/office/drawing/2014/main" id="{F9B0840E-4CE9-ABAA-F86E-A2C5A3298F58}"/>
                </a:ext>
              </a:extLst>
            </xdr:cNvPr>
            <xdr:cNvSpPr txBox="1"/>
          </xdr:nvSpPr>
          <xdr:spPr>
            <a:xfrm>
              <a:off x="5020417" y="20014132"/>
              <a:ext cx="6832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9B0840E-4CE9-ABAA-F86E-A2C5A3298F58}"/>
                </a:ext>
              </a:extLst>
            </xdr:cNvPr>
            <xdr:cNvSpPr txBox="1"/>
          </xdr:nvSpPr>
          <xdr:spPr>
            <a:xfrm>
              <a:off x="5020417" y="20014132"/>
              <a:ext cx="68320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𝑋/𝑑=−𝐶_𝑚𝛼/𝐶_𝑁𝛼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142432</xdr:colOff>
      <xdr:row>109</xdr:row>
      <xdr:rowOff>53767</xdr:rowOff>
    </xdr:from>
    <xdr:ext cx="1109022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="" xmlns:a16="http://schemas.microsoft.com/office/drawing/2014/main" id="{26F5E52C-9462-4017-812B-1B440BA856B0}"/>
                </a:ext>
              </a:extLst>
            </xdr:cNvPr>
            <xdr:cNvSpPr txBox="1"/>
          </xdr:nvSpPr>
          <xdr:spPr>
            <a:xfrm>
              <a:off x="5001188" y="20465713"/>
              <a:ext cx="110902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𝑛𝑜𝑠𝑒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𝑛𝑜𝑠𝑒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𝛼</m:t>
                            </m:r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F5E52C-9462-4017-812B-1B440BA856B0}"/>
                </a:ext>
              </a:extLst>
            </xdr:cNvPr>
            <xdr:cNvSpPr txBox="1"/>
          </xdr:nvSpPr>
          <xdr:spPr>
            <a:xfrm>
              <a:off x="5001188" y="20465713"/>
              <a:ext cx="110902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𝑋_(𝑛𝑜𝑠𝑒 𝛼)/𝑑=𝑋_(𝑛𝑜𝑠𝑒 𝛼0)/𝑑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40698</xdr:colOff>
      <xdr:row>112</xdr:row>
      <xdr:rowOff>91208</xdr:rowOff>
    </xdr:from>
    <xdr:ext cx="111806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="" xmlns:a16="http://schemas.microsoft.com/office/drawing/2014/main" id="{EDCB27B8-A82C-0368-52DC-5AD97013AFC5}"/>
                </a:ext>
              </a:extLst>
            </xdr:cNvPr>
            <xdr:cNvSpPr txBox="1"/>
          </xdr:nvSpPr>
          <xdr:spPr>
            <a:xfrm>
              <a:off x="4897005" y="21464731"/>
              <a:ext cx="111806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𝑐𝑟𝑜𝑠𝑠𝑓𝑙𝑜𝑤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𝐶𝐿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CB27B8-A82C-0368-52DC-5AD97013AFC5}"/>
                </a:ext>
              </a:extLst>
            </xdr:cNvPr>
            <xdr:cNvSpPr txBox="1"/>
          </xdr:nvSpPr>
          <xdr:spPr>
            <a:xfrm>
              <a:off x="4897005" y="21464731"/>
              <a:ext cx="111806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𝑋_𝑐𝑟𝑜𝑠𝑠𝑓𝑙𝑜𝑤=𝐿/2 𝐶_𝐶𝐿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4</xdr:col>
      <xdr:colOff>486721</xdr:colOff>
      <xdr:row>115</xdr:row>
      <xdr:rowOff>28862</xdr:rowOff>
    </xdr:from>
    <xdr:to>
      <xdr:col>16</xdr:col>
      <xdr:colOff>379417</xdr:colOff>
      <xdr:row>119</xdr:row>
      <xdr:rowOff>112455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A4E79A02-8F63-33C0-1D45-29D3BDA6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38028" y="21965226"/>
          <a:ext cx="7512696" cy="834047"/>
        </a:xfrm>
        <a:prstGeom prst="rect">
          <a:avLst/>
        </a:prstGeom>
      </xdr:spPr>
    </xdr:pic>
    <xdr:clientData/>
  </xdr:twoCellAnchor>
  <xdr:twoCellAnchor editAs="oneCell">
    <xdr:from>
      <xdr:col>5</xdr:col>
      <xdr:colOff>196392</xdr:colOff>
      <xdr:row>120</xdr:row>
      <xdr:rowOff>78555</xdr:rowOff>
    </xdr:from>
    <xdr:to>
      <xdr:col>14</xdr:col>
      <xdr:colOff>92768</xdr:colOff>
      <xdr:row>130</xdr:row>
      <xdr:rowOff>19639</xdr:rowOff>
    </xdr:to>
    <xdr:pic>
      <xdr:nvPicPr>
        <xdr:cNvPr id="20" name="Picture 19">
          <a:extLst>
            <a:ext uri="{FF2B5EF4-FFF2-40B4-BE49-F238E27FC236}">
              <a16:creationId xmlns=""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24227" y="21897679"/>
          <a:ext cx="6171093" cy="1708609"/>
        </a:xfrm>
        <a:prstGeom prst="rect">
          <a:avLst/>
        </a:prstGeom>
      </xdr:spPr>
    </xdr:pic>
    <xdr:clientData/>
  </xdr:twoCellAnchor>
  <xdr:oneCellAnchor>
    <xdr:from>
      <xdr:col>5</xdr:col>
      <xdr:colOff>265129</xdr:colOff>
      <xdr:row>131</xdr:row>
      <xdr:rowOff>39279</xdr:rowOff>
    </xdr:from>
    <xdr:ext cx="2769733" cy="6322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="" xmlns:a16="http://schemas.microsoft.com/office/drawing/2014/main" id="{EE797A0D-38FE-68C2-1937-5CEA76EEAF0D}"/>
                </a:ext>
              </a:extLst>
            </xdr:cNvPr>
            <xdr:cNvSpPr txBox="1"/>
          </xdr:nvSpPr>
          <xdr:spPr>
            <a:xfrm>
              <a:off x="4192964" y="23802681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𝑃𝑓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ad>
                                  <m:radPr>
                                    <m:deg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radPr>
                                  <m:deg/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e>
                                </m:rad>
                              </m:den>
                            </m:f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𝑠𝑖</m:t>
                            </m:r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p>
                            </m:sSup>
                            <m:d>
                              <m:d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+1</m:t>
                                        </m:r>
                                      </m:e>
                                    </m:rad>
                                  </m:num>
                                  <m:den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𝐹</m:t>
                                    </m:r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+1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xmlns="" xmlns:a14="http://schemas.microsoft.com/office/drawing/2010/main" id="{EE797A0D-38FE-68C2-1937-5CEA76EEAF0D}"/>
                </a:ext>
              </a:extLst>
            </xdr:cNvPr>
            <xdr:cNvSpPr txBox="1"/>
          </xdr:nvSpPr>
          <xdr:spPr>
            <a:xfrm>
              <a:off x="4192964" y="23802681"/>
              <a:ext cx="2769733" cy="6322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𝐶_𝑃𝑓=1/2 (((𝐹+1)^2/√(2𝐹+1) 𝑠𝑖𝑛^(−1) (√(2𝐹+1)/(𝐹+1)))−𝐹)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id="1" name="Table1" displayName="Table1" ref="B76:G81" totalsRowShown="0" headerRowDxfId="9" dataDxfId="8">
  <autoFilter ref="B76:G81"/>
  <tableColumns count="6">
    <tableColumn id="1" name="Fin type" dataDxfId="7"/>
    <tableColumn id="2" name="Sweeped" dataDxfId="6">
      <calculatedColumnFormula>I64</calculatedColumnFormula>
    </tableColumn>
    <tableColumn id="3" name="Tapered 1/4" dataDxfId="5">
      <calculatedColumnFormula>K64</calculatedColumnFormula>
    </tableColumn>
    <tableColumn id="4" name="Tapered sweeped" dataDxfId="4"/>
    <tableColumn id="5" name="Column4" dataDxfId="3"/>
    <tableColumn id="6" name="Column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1.bin"/><Relationship Id="rId7" Type="http://schemas.openxmlformats.org/officeDocument/2006/relationships/vmlDrawing" Target="../drawings/vmlDrawing2.vml"/><Relationship Id="rId2" Type="http://schemas.openxmlformats.org/officeDocument/2006/relationships/hyperlink" Target="https://innovationspace.ansys.com/product/aerodynamics-of-a-rocket-using-ansys-fluent/" TargetMode="External"/><Relationship Id="rId1" Type="http://schemas.openxmlformats.org/officeDocument/2006/relationships/hyperlink" Target="https://ansyshelp.ansys.com/public/account/secured?returnurl=/Views/Secured/corp/v242/en/flu_tg/flu_tg_oneram6_wing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youtube.com/watch?v=-05AlwGI7Jo" TargetMode="External"/><Relationship Id="rId1" Type="http://schemas.openxmlformats.org/officeDocument/2006/relationships/hyperlink" Target="https://www.youtube.com/watch?v=-05AlwGI7Jo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www.fibraq.com/collections/material-para-vacio-e-infusion/products/pelicula-antiadherente-malla-de-sangrado" TargetMode="External"/><Relationship Id="rId7" Type="http://schemas.openxmlformats.org/officeDocument/2006/relationships/vmlDrawing" Target="../drawings/vmlDrawing5.vml"/><Relationship Id="rId2" Type="http://schemas.openxmlformats.org/officeDocument/2006/relationships/hyperlink" Target="https://www.fibraq.com/collections/material-para-vacio-e-infusion/products/tubo-de-absorcion-pebd-de-infusion-o-10-x-12-mm" TargetMode="External"/><Relationship Id="rId1" Type="http://schemas.openxmlformats.org/officeDocument/2006/relationships/hyperlink" Target="https://courses.hardhatengineer.com/courses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ibraq.com/collections/material-para-vacio-e-infusion/products/toma-de-infusion-para-vacio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52:L268"/>
  <sheetViews>
    <sheetView view="pageLayout" topLeftCell="A54" zoomScale="80" zoomScaleNormal="100" zoomScalePageLayoutView="80" workbookViewId="0">
      <selection activeCell="J215" sqref="J215"/>
    </sheetView>
  </sheetViews>
  <sheetFormatPr defaultColWidth="8.875" defaultRowHeight="12.75"/>
  <cols>
    <col min="1" max="1" width="12.75" style="112" customWidth="1"/>
    <col min="2" max="9" width="7.25" style="112" customWidth="1"/>
    <col min="10" max="16384" width="8.875" style="112"/>
  </cols>
  <sheetData>
    <row r="52" spans="1:12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</row>
    <row r="53" spans="1:12" ht="13.5" thickBot="1">
      <c r="A53" s="111"/>
      <c r="B53" s="113" t="s">
        <v>0</v>
      </c>
      <c r="C53" s="111"/>
      <c r="D53" s="111"/>
      <c r="E53" s="111"/>
      <c r="F53" s="111"/>
      <c r="G53" s="111"/>
      <c r="H53" s="111"/>
      <c r="I53" s="111"/>
      <c r="J53" s="111"/>
      <c r="K53" s="111"/>
      <c r="L53" s="111"/>
    </row>
    <row r="54" spans="1:12">
      <c r="A54" s="111"/>
      <c r="B54" s="114"/>
      <c r="C54" s="111"/>
      <c r="D54" s="111"/>
      <c r="E54" s="111"/>
      <c r="F54" s="111"/>
      <c r="G54" s="111"/>
      <c r="H54" s="111"/>
      <c r="I54" s="111"/>
      <c r="J54" s="111"/>
      <c r="K54" s="111"/>
      <c r="L54" s="111"/>
    </row>
    <row r="55" spans="1:12" ht="13.5" thickBot="1">
      <c r="A55" s="111"/>
      <c r="B55" s="115" t="s">
        <v>1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</row>
    <row r="56" spans="1:12">
      <c r="A56" s="111"/>
      <c r="B56" s="111" t="s">
        <v>2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</row>
    <row r="57" spans="1:12">
      <c r="A57" s="111"/>
      <c r="B57" s="111" t="s">
        <v>3</v>
      </c>
      <c r="C57" s="111"/>
      <c r="D57" s="111"/>
      <c r="E57" s="111"/>
      <c r="F57" s="111"/>
      <c r="G57" s="111"/>
      <c r="H57" s="111"/>
      <c r="I57" s="111"/>
      <c r="J57" s="111"/>
      <c r="K57" s="111"/>
      <c r="L57" s="111"/>
    </row>
    <row r="58" spans="1:12">
      <c r="A58" s="111"/>
      <c r="B58" s="111" t="s">
        <v>4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</row>
    <row r="59" spans="1:12">
      <c r="A59" s="111"/>
      <c r="B59" s="111" t="s">
        <v>5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1"/>
    </row>
    <row r="60" spans="1:12">
      <c r="A60" s="111"/>
      <c r="B60" s="111" t="s">
        <v>6</v>
      </c>
      <c r="C60" s="111"/>
      <c r="D60" s="111"/>
      <c r="E60" s="111"/>
      <c r="F60" s="111"/>
      <c r="G60" s="111"/>
      <c r="H60" s="111"/>
      <c r="I60" s="111"/>
      <c r="J60" s="111"/>
      <c r="K60" s="111"/>
      <c r="L60" s="111"/>
    </row>
    <row r="61" spans="1:12">
      <c r="A61" s="111"/>
      <c r="B61" s="111" t="s">
        <v>7</v>
      </c>
      <c r="C61" s="111"/>
      <c r="D61" s="111"/>
      <c r="E61" s="111"/>
      <c r="F61" s="111"/>
      <c r="G61" s="111"/>
      <c r="H61" s="111"/>
      <c r="I61" s="111"/>
      <c r="J61" s="111"/>
      <c r="K61" s="111"/>
      <c r="L61" s="111"/>
    </row>
    <row r="62" spans="1:12">
      <c r="A62" s="111"/>
      <c r="B62" s="111" t="s">
        <v>8</v>
      </c>
      <c r="C62" s="111"/>
      <c r="D62" s="111"/>
      <c r="E62" s="111"/>
      <c r="F62" s="111"/>
      <c r="G62" s="111"/>
      <c r="H62" s="111"/>
      <c r="I62" s="114"/>
      <c r="J62" s="111"/>
      <c r="K62" s="111"/>
      <c r="L62" s="111"/>
    </row>
    <row r="63" spans="1:12">
      <c r="A63" s="111"/>
      <c r="B63" s="111" t="s">
        <v>9</v>
      </c>
      <c r="C63" s="111"/>
      <c r="D63" s="111"/>
      <c r="E63" s="111"/>
      <c r="F63" s="111"/>
      <c r="G63" s="111"/>
      <c r="H63" s="111"/>
      <c r="I63" s="111"/>
      <c r="J63" s="111"/>
      <c r="K63" s="111"/>
      <c r="L63" s="111"/>
    </row>
    <row r="64" spans="1:12">
      <c r="A64" s="111"/>
      <c r="B64" s="111" t="s">
        <v>10</v>
      </c>
      <c r="C64" s="111"/>
      <c r="D64" s="111"/>
      <c r="E64" s="111"/>
      <c r="F64" s="111"/>
      <c r="G64" s="111"/>
      <c r="H64" s="111"/>
      <c r="I64" s="111"/>
      <c r="J64" s="111"/>
      <c r="K64" s="111"/>
      <c r="L64" s="111"/>
    </row>
    <row r="65" spans="1:12">
      <c r="A65" s="111"/>
      <c r="B65" s="111" t="s">
        <v>11</v>
      </c>
      <c r="C65" s="111"/>
      <c r="D65" s="111"/>
      <c r="E65" s="111"/>
      <c r="F65" s="111"/>
      <c r="G65" s="111"/>
      <c r="H65" s="111"/>
      <c r="I65" s="111"/>
      <c r="J65" s="111"/>
      <c r="K65" s="111"/>
      <c r="L65" s="111"/>
    </row>
    <row r="66" spans="1:12">
      <c r="A66" s="111"/>
      <c r="B66" s="111" t="s">
        <v>12</v>
      </c>
      <c r="C66" s="111"/>
      <c r="D66" s="111"/>
      <c r="E66" s="111"/>
      <c r="F66" s="111"/>
      <c r="G66" s="111"/>
      <c r="H66" s="111"/>
      <c r="I66" s="111"/>
      <c r="J66" s="111"/>
      <c r="K66" s="111"/>
      <c r="L66" s="111"/>
    </row>
    <row r="67" spans="1:12">
      <c r="A67" s="111"/>
      <c r="B67" s="111" t="s">
        <v>13</v>
      </c>
      <c r="C67" s="111"/>
      <c r="D67" s="111"/>
      <c r="E67" s="111"/>
      <c r="F67" s="111"/>
      <c r="G67" s="111"/>
      <c r="H67" s="111"/>
      <c r="I67" s="111"/>
      <c r="J67" s="111"/>
      <c r="K67" s="111"/>
      <c r="L67" s="111"/>
    </row>
    <row r="68" spans="1:12">
      <c r="A68" s="111"/>
      <c r="B68" s="111" t="s">
        <v>14</v>
      </c>
      <c r="C68" s="111"/>
      <c r="D68" s="111"/>
      <c r="E68" s="111"/>
      <c r="F68" s="111"/>
      <c r="G68" s="111"/>
      <c r="H68" s="111"/>
      <c r="I68" s="111"/>
      <c r="J68" s="111"/>
      <c r="K68" s="111"/>
      <c r="L68" s="111"/>
    </row>
    <row r="69" spans="1:12">
      <c r="A69" s="111"/>
      <c r="B69" s="111" t="s">
        <v>15</v>
      </c>
      <c r="C69" s="111"/>
      <c r="D69" s="111"/>
      <c r="E69" s="111"/>
      <c r="F69" s="111"/>
      <c r="G69" s="111"/>
      <c r="H69" s="111"/>
      <c r="I69" s="111"/>
      <c r="J69" s="111"/>
      <c r="K69" s="111"/>
      <c r="L69" s="111"/>
    </row>
    <row r="70" spans="1:12">
      <c r="A70" s="111"/>
      <c r="B70" s="111" t="s">
        <v>16</v>
      </c>
      <c r="C70" s="111"/>
      <c r="D70" s="111"/>
      <c r="E70" s="111"/>
      <c r="F70" s="111"/>
      <c r="G70" s="111"/>
      <c r="H70" s="111"/>
      <c r="I70" s="111"/>
      <c r="J70" s="111"/>
      <c r="K70" s="111"/>
      <c r="L70" s="111"/>
    </row>
    <row r="71" spans="1:12">
      <c r="A71" s="111"/>
      <c r="B71" s="111" t="s">
        <v>17</v>
      </c>
      <c r="C71" s="111"/>
      <c r="D71" s="111"/>
      <c r="E71" s="111"/>
      <c r="F71" s="111"/>
      <c r="G71" s="111"/>
      <c r="H71" s="111"/>
      <c r="I71" s="111"/>
      <c r="J71" s="111"/>
      <c r="K71" s="111"/>
      <c r="L71" s="111"/>
    </row>
    <row r="72" spans="1:12">
      <c r="A72" s="111"/>
      <c r="B72" s="111" t="s">
        <v>18</v>
      </c>
      <c r="C72" s="111"/>
      <c r="D72" s="111"/>
      <c r="E72" s="111"/>
      <c r="F72" s="111"/>
      <c r="G72" s="111"/>
      <c r="H72" s="111"/>
      <c r="I72" s="111"/>
      <c r="J72" s="111"/>
      <c r="K72" s="111"/>
      <c r="L72" s="111"/>
    </row>
    <row r="73" spans="1:12">
      <c r="A73" s="111"/>
      <c r="B73" s="111" t="s">
        <v>19</v>
      </c>
      <c r="C73" s="111"/>
      <c r="D73" s="111"/>
      <c r="E73" s="111"/>
      <c r="F73" s="111"/>
      <c r="G73" s="111"/>
      <c r="H73" s="111"/>
      <c r="I73" s="111"/>
      <c r="J73" s="111"/>
      <c r="K73" s="111"/>
      <c r="L73" s="111"/>
    </row>
    <row r="74" spans="1:12">
      <c r="A74" s="111"/>
      <c r="B74" s="111" t="s">
        <v>20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1"/>
    </row>
    <row r="75" spans="1:12">
      <c r="A75" s="111"/>
      <c r="B75" s="111" t="s">
        <v>21</v>
      </c>
      <c r="C75" s="111"/>
      <c r="D75" s="111"/>
      <c r="E75" s="111"/>
      <c r="F75" s="111"/>
      <c r="G75" s="111"/>
      <c r="H75" s="111"/>
      <c r="I75" s="111"/>
      <c r="J75" s="111"/>
      <c r="K75" s="111"/>
      <c r="L75" s="111"/>
    </row>
    <row r="76" spans="1:12">
      <c r="A76" s="111"/>
      <c r="B76" s="111" t="s">
        <v>22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1"/>
    </row>
    <row r="77" spans="1:12">
      <c r="A77" s="111"/>
      <c r="B77" s="111" t="s">
        <v>23</v>
      </c>
      <c r="C77" s="111"/>
      <c r="D77" s="111"/>
      <c r="E77" s="111"/>
      <c r="F77" s="111"/>
      <c r="G77" s="111"/>
      <c r="H77" s="111"/>
      <c r="I77" s="111"/>
      <c r="J77" s="111"/>
      <c r="K77" s="111"/>
      <c r="L77" s="111"/>
    </row>
    <row r="78" spans="1:12">
      <c r="A78" s="111"/>
      <c r="B78" s="111" t="s">
        <v>24</v>
      </c>
      <c r="C78" s="111"/>
      <c r="D78" s="111"/>
      <c r="E78" s="111"/>
      <c r="F78" s="111"/>
      <c r="G78" s="111"/>
      <c r="H78" s="111"/>
      <c r="I78" s="111"/>
      <c r="J78" s="111"/>
      <c r="K78" s="111"/>
      <c r="L78" s="111"/>
    </row>
    <row r="79" spans="1:12">
      <c r="A79" s="111"/>
      <c r="B79" s="111" t="s">
        <v>25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</row>
    <row r="80" spans="1:12">
      <c r="A80" s="111"/>
      <c r="B80" s="111" t="s">
        <v>26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1"/>
    </row>
    <row r="81" spans="1:12">
      <c r="A81" s="111"/>
      <c r="B81" s="111" t="s">
        <v>27</v>
      </c>
      <c r="C81" s="111"/>
      <c r="D81" s="111"/>
      <c r="E81" s="111"/>
      <c r="F81" s="111"/>
      <c r="G81" s="111"/>
      <c r="H81" s="111"/>
      <c r="I81" s="111"/>
      <c r="J81" s="111"/>
      <c r="K81" s="111"/>
      <c r="L81" s="111"/>
    </row>
    <row r="82" spans="1:12">
      <c r="A82" s="111"/>
      <c r="B82" s="111" t="s">
        <v>28</v>
      </c>
      <c r="C82" s="111"/>
      <c r="D82" s="111"/>
      <c r="E82" s="111"/>
      <c r="F82" s="111"/>
      <c r="G82" s="111"/>
      <c r="H82" s="111"/>
      <c r="I82" s="111"/>
      <c r="J82" s="111"/>
      <c r="K82" s="111"/>
      <c r="L82" s="111"/>
    </row>
    <row r="83" spans="1:12">
      <c r="A83" s="111"/>
      <c r="B83" s="111" t="s">
        <v>29</v>
      </c>
      <c r="C83" s="111"/>
      <c r="D83" s="111"/>
      <c r="E83" s="111"/>
      <c r="F83" s="111"/>
      <c r="G83" s="111"/>
      <c r="H83" s="111"/>
      <c r="I83" s="111"/>
      <c r="J83" s="111"/>
      <c r="K83" s="111"/>
      <c r="L83" s="111"/>
    </row>
    <row r="84" spans="1:12">
      <c r="A84" s="111"/>
      <c r="B84" s="111" t="s">
        <v>30</v>
      </c>
      <c r="C84" s="111"/>
      <c r="D84" s="111"/>
      <c r="E84" s="111"/>
      <c r="F84" s="111"/>
      <c r="G84" s="111"/>
      <c r="H84" s="111"/>
      <c r="I84" s="111"/>
      <c r="J84" s="111"/>
      <c r="K84" s="111"/>
      <c r="L84" s="111"/>
    </row>
    <row r="85" spans="1:12">
      <c r="A85" s="111"/>
      <c r="B85" s="111" t="s">
        <v>31</v>
      </c>
      <c r="C85" s="111"/>
      <c r="D85" s="111"/>
      <c r="E85" s="111"/>
      <c r="F85" s="111"/>
      <c r="G85" s="111"/>
      <c r="H85" s="111"/>
      <c r="I85" s="111"/>
      <c r="J85" s="111"/>
      <c r="K85" s="111"/>
      <c r="L85" s="111"/>
    </row>
    <row r="86" spans="1:12">
      <c r="A86" s="111"/>
      <c r="B86" s="111" t="s">
        <v>32</v>
      </c>
      <c r="C86" s="111"/>
      <c r="D86" s="111"/>
      <c r="E86" s="111"/>
      <c r="F86" s="111"/>
      <c r="G86" s="111"/>
      <c r="H86" s="111"/>
      <c r="I86" s="111"/>
      <c r="J86" s="111"/>
      <c r="K86" s="111"/>
      <c r="L86" s="111"/>
    </row>
    <row r="87" spans="1:12">
      <c r="A87" s="111"/>
      <c r="B87" s="111" t="s">
        <v>33</v>
      </c>
      <c r="C87" s="111"/>
      <c r="D87" s="111"/>
      <c r="E87" s="111"/>
      <c r="F87" s="111"/>
      <c r="G87" s="111"/>
      <c r="H87" s="111"/>
      <c r="I87" s="111"/>
      <c r="J87" s="111"/>
      <c r="K87" s="111"/>
      <c r="L87" s="111"/>
    </row>
    <row r="88" spans="1:12">
      <c r="A88" s="111"/>
      <c r="B88" s="111" t="s">
        <v>34</v>
      </c>
      <c r="C88" s="111"/>
      <c r="D88" s="111"/>
      <c r="E88" s="111"/>
      <c r="F88" s="111"/>
      <c r="G88" s="111"/>
      <c r="H88" s="111"/>
      <c r="I88" s="111"/>
      <c r="J88" s="111"/>
      <c r="K88" s="111"/>
      <c r="L88" s="111"/>
    </row>
    <row r="89" spans="1:12">
      <c r="A89" s="111"/>
      <c r="B89" s="111" t="s">
        <v>35</v>
      </c>
      <c r="C89" s="111"/>
      <c r="D89" s="111"/>
      <c r="E89" s="111"/>
      <c r="F89" s="111"/>
      <c r="G89" s="111"/>
      <c r="H89" s="111"/>
      <c r="I89" s="111"/>
      <c r="J89" s="111"/>
      <c r="K89" s="111"/>
      <c r="L89" s="111"/>
    </row>
    <row r="90" spans="1:12">
      <c r="A90" s="111"/>
      <c r="B90" s="111" t="s">
        <v>36</v>
      </c>
      <c r="C90" s="111"/>
      <c r="D90" s="111"/>
      <c r="E90" s="111"/>
      <c r="F90" s="111"/>
      <c r="G90" s="111"/>
      <c r="H90" s="111"/>
      <c r="I90" s="111"/>
      <c r="J90" s="111"/>
      <c r="K90" s="111"/>
      <c r="L90" s="111"/>
    </row>
    <row r="91" spans="1:12">
      <c r="A91" s="111"/>
      <c r="B91" s="111" t="s">
        <v>37</v>
      </c>
      <c r="C91" s="111"/>
      <c r="D91" s="111"/>
      <c r="E91" s="111"/>
      <c r="F91" s="111"/>
      <c r="G91" s="111"/>
      <c r="H91" s="111"/>
      <c r="I91" s="111"/>
      <c r="J91" s="111"/>
      <c r="K91" s="111"/>
      <c r="L91" s="111"/>
    </row>
    <row r="92" spans="1:12">
      <c r="A92" s="111"/>
      <c r="B92" s="111" t="s">
        <v>38</v>
      </c>
      <c r="C92" s="111"/>
      <c r="D92" s="111"/>
      <c r="E92" s="111"/>
      <c r="F92" s="111"/>
      <c r="G92" s="111"/>
      <c r="H92" s="111"/>
      <c r="I92" s="111"/>
      <c r="J92" s="111"/>
      <c r="K92" s="111"/>
      <c r="L92" s="111"/>
    </row>
    <row r="93" spans="1:12">
      <c r="A93" s="111"/>
      <c r="B93" s="111" t="s">
        <v>39</v>
      </c>
      <c r="C93" s="111"/>
      <c r="D93" s="111"/>
      <c r="E93" s="111"/>
      <c r="F93" s="111"/>
      <c r="G93" s="111"/>
      <c r="H93" s="111"/>
      <c r="I93" s="111"/>
      <c r="J93" s="111"/>
      <c r="K93" s="111"/>
      <c r="L93" s="111"/>
    </row>
    <row r="94" spans="1:12">
      <c r="A94" s="111"/>
      <c r="B94" s="111" t="s">
        <v>40</v>
      </c>
      <c r="C94" s="111"/>
      <c r="D94" s="111"/>
      <c r="E94" s="111"/>
      <c r="F94" s="111"/>
      <c r="G94" s="111"/>
      <c r="H94" s="111"/>
      <c r="I94" s="111"/>
      <c r="J94" s="111"/>
      <c r="K94" s="111"/>
      <c r="L94" s="111"/>
    </row>
    <row r="95" spans="1:12">
      <c r="A95" s="111"/>
      <c r="B95" s="111" t="s">
        <v>41</v>
      </c>
      <c r="C95" s="111"/>
      <c r="D95" s="111"/>
      <c r="E95" s="111"/>
      <c r="F95" s="111"/>
      <c r="G95" s="111"/>
      <c r="H95" s="111"/>
      <c r="I95" s="111"/>
      <c r="J95" s="111"/>
      <c r="K95" s="111"/>
      <c r="L95" s="111"/>
    </row>
    <row r="96" spans="1:12">
      <c r="A96" s="111"/>
      <c r="B96" s="111" t="s">
        <v>42</v>
      </c>
      <c r="C96" s="111"/>
      <c r="D96" s="111"/>
      <c r="E96" s="111"/>
      <c r="F96" s="111"/>
      <c r="G96" s="111"/>
      <c r="H96" s="111"/>
      <c r="I96" s="111"/>
      <c r="J96" s="111"/>
      <c r="K96" s="111"/>
      <c r="L96" s="111"/>
    </row>
    <row r="97" spans="1:12">
      <c r="A97" s="111"/>
      <c r="B97" s="111" t="s">
        <v>43</v>
      </c>
      <c r="C97" s="111"/>
      <c r="D97" s="111"/>
      <c r="E97" s="111"/>
      <c r="F97" s="111"/>
      <c r="G97" s="111"/>
      <c r="H97" s="111"/>
      <c r="I97" s="111"/>
      <c r="J97" s="111"/>
      <c r="K97" s="111"/>
      <c r="L97" s="111"/>
    </row>
    <row r="98" spans="1:12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</row>
    <row r="99" spans="1:12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</row>
    <row r="100" spans="1:12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</row>
    <row r="101" spans="1:12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</row>
    <row r="102" spans="1:1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</row>
    <row r="103" spans="1:12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</row>
    <row r="104" spans="1:12" ht="13.5" thickBot="1"/>
    <row r="105" spans="1:12" ht="13.5" thickBot="1">
      <c r="A105" s="116" t="s">
        <v>44</v>
      </c>
      <c r="B105" s="117" t="s">
        <v>45</v>
      </c>
      <c r="C105" s="118"/>
      <c r="D105" s="118"/>
      <c r="E105" s="118"/>
      <c r="F105" s="119" t="s">
        <v>46</v>
      </c>
      <c r="G105" s="98" t="s">
        <v>47</v>
      </c>
      <c r="H105" s="98"/>
      <c r="I105" s="116" t="s">
        <v>48</v>
      </c>
      <c r="J105" s="117">
        <v>1</v>
      </c>
      <c r="K105" s="120" t="s">
        <v>49</v>
      </c>
      <c r="L105" s="121">
        <v>2</v>
      </c>
    </row>
    <row r="106" spans="1:12" ht="13.5" thickBot="1">
      <c r="A106" s="116" t="s">
        <v>50</v>
      </c>
      <c r="B106" s="117" t="s">
        <v>51</v>
      </c>
      <c r="C106" s="118"/>
      <c r="D106" s="118"/>
      <c r="E106" s="121"/>
      <c r="F106" s="116" t="s">
        <v>52</v>
      </c>
      <c r="G106" s="117"/>
      <c r="H106" s="118"/>
      <c r="I106" s="118"/>
      <c r="J106" s="115"/>
      <c r="K106" s="115"/>
      <c r="L106" s="122"/>
    </row>
    <row r="107" spans="1:12" ht="13.5" thickBot="1">
      <c r="A107" s="116" t="s">
        <v>53</v>
      </c>
      <c r="B107" s="123" t="s">
        <v>54</v>
      </c>
      <c r="C107" s="118"/>
      <c r="D107" s="118"/>
      <c r="E107" s="121"/>
      <c r="F107" s="116" t="s">
        <v>55</v>
      </c>
      <c r="G107" s="117"/>
      <c r="H107" s="118"/>
      <c r="I107" s="118"/>
      <c r="J107" s="118"/>
      <c r="K107" s="118"/>
      <c r="L107" s="121"/>
    </row>
    <row r="108" spans="1:12">
      <c r="A108" s="401" t="s">
        <v>56</v>
      </c>
      <c r="B108" s="124" t="s">
        <v>57</v>
      </c>
      <c r="C108" s="98"/>
      <c r="D108" s="98"/>
      <c r="E108" s="98"/>
      <c r="F108" s="98"/>
      <c r="G108" s="98"/>
      <c r="H108" s="98"/>
      <c r="I108" s="98"/>
      <c r="J108" s="98"/>
      <c r="K108" s="98"/>
      <c r="L108" s="125"/>
    </row>
    <row r="109" spans="1:12">
      <c r="A109" s="401"/>
      <c r="B109" s="126"/>
      <c r="C109" s="111"/>
      <c r="D109" s="111"/>
      <c r="E109" s="111"/>
      <c r="F109" s="111"/>
      <c r="G109" s="111"/>
      <c r="H109" s="111"/>
      <c r="I109" s="111"/>
      <c r="J109" s="111"/>
      <c r="K109" s="111"/>
      <c r="L109" s="127"/>
    </row>
    <row r="110" spans="1:12" ht="13.5" thickBot="1">
      <c r="A110" s="401"/>
      <c r="B110" s="128"/>
      <c r="C110" s="115"/>
      <c r="D110" s="115"/>
      <c r="E110" s="115"/>
      <c r="F110" s="115"/>
      <c r="G110" s="115"/>
      <c r="H110" s="115"/>
      <c r="I110" s="115"/>
      <c r="J110" s="115"/>
      <c r="K110" s="115"/>
      <c r="L110" s="122"/>
    </row>
    <row r="111" spans="1:12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</row>
    <row r="112" spans="1:12">
      <c r="A112" s="114" t="s">
        <v>58</v>
      </c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</row>
    <row r="113" spans="1:12">
      <c r="A113" s="114" t="s">
        <v>59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</row>
    <row r="114" spans="1:12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</row>
    <row r="115" spans="1:12">
      <c r="A115" s="111" t="s">
        <v>60</v>
      </c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</row>
    <row r="116" spans="1:12">
      <c r="A116" s="111" t="s">
        <v>61</v>
      </c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</row>
    <row r="117" spans="1:12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</row>
    <row r="118" spans="1:12" ht="14.25">
      <c r="A118" s="111"/>
      <c r="B118" s="111"/>
      <c r="C118" s="111"/>
      <c r="D118" s="111"/>
      <c r="E118" s="111"/>
      <c r="F118" s="129" t="s">
        <v>62</v>
      </c>
      <c r="G118" s="111"/>
      <c r="H118" s="111"/>
      <c r="I118" s="111"/>
      <c r="J118" s="111"/>
      <c r="K118" s="111"/>
      <c r="L118" s="111"/>
    </row>
    <row r="119" spans="1:12">
      <c r="A119" s="111"/>
      <c r="B119" s="111"/>
      <c r="C119" s="111"/>
      <c r="D119" s="111"/>
      <c r="E119" s="111"/>
      <c r="F119" s="111" t="s">
        <v>63</v>
      </c>
      <c r="G119" s="111"/>
      <c r="H119" s="111"/>
      <c r="I119" s="111"/>
      <c r="J119" s="111"/>
      <c r="K119" s="111"/>
      <c r="L119" s="111"/>
    </row>
    <row r="120" spans="1:12">
      <c r="A120" s="111"/>
      <c r="B120" s="111"/>
      <c r="C120" s="111"/>
      <c r="D120" s="111"/>
      <c r="E120" s="111"/>
      <c r="F120" s="111" t="s">
        <v>64</v>
      </c>
      <c r="G120" s="111"/>
      <c r="H120" s="111"/>
      <c r="I120" s="111"/>
      <c r="J120" s="111"/>
      <c r="K120" s="111"/>
      <c r="L120" s="111"/>
    </row>
    <row r="121" spans="1:12">
      <c r="A121" s="111"/>
      <c r="B121" s="111"/>
      <c r="C121" s="111"/>
      <c r="D121" s="111"/>
      <c r="E121" s="111"/>
      <c r="F121" s="111" t="s">
        <v>65</v>
      </c>
      <c r="G121" s="111"/>
      <c r="H121" s="111"/>
      <c r="I121" s="111"/>
      <c r="J121" s="111"/>
      <c r="K121" s="111"/>
      <c r="L121" s="111"/>
    </row>
    <row r="122" spans="1:12">
      <c r="A122" s="111"/>
      <c r="B122" s="111"/>
      <c r="C122" s="111"/>
      <c r="D122" s="111"/>
      <c r="E122" s="111"/>
      <c r="F122" s="111" t="s">
        <v>66</v>
      </c>
      <c r="G122" s="111"/>
      <c r="H122" s="111"/>
      <c r="I122" s="111"/>
      <c r="J122" s="111"/>
      <c r="K122" s="111"/>
      <c r="L122" s="111"/>
    </row>
    <row r="123" spans="1:12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</row>
    <row r="124" spans="1:12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</row>
    <row r="125" spans="1:12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</row>
    <row r="126" spans="1:12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</row>
    <row r="127" spans="1:12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</row>
    <row r="128" spans="1:12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</row>
    <row r="129" spans="1:12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</row>
    <row r="130" spans="1:12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</row>
    <row r="131" spans="1:12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</row>
    <row r="132" spans="1:1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</row>
    <row r="133" spans="1:12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</row>
    <row r="134" spans="1:12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</row>
    <row r="135" spans="1:12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</row>
    <row r="136" spans="1:12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</row>
    <row r="137" spans="1:12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</row>
    <row r="138" spans="1:12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</row>
    <row r="139" spans="1:12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</row>
    <row r="140" spans="1:12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</row>
    <row r="141" spans="1:12">
      <c r="A141" s="111"/>
      <c r="B141" s="111"/>
      <c r="C141" s="111"/>
      <c r="D141" s="111"/>
      <c r="E141" s="111"/>
      <c r="F141" s="111" t="s">
        <v>67</v>
      </c>
      <c r="G141" s="111"/>
      <c r="H141" s="111"/>
      <c r="I141" s="111"/>
      <c r="J141" s="111"/>
      <c r="K141" s="111"/>
      <c r="L141" s="111"/>
    </row>
    <row r="142" spans="1:12">
      <c r="A142" s="111"/>
      <c r="B142" s="111"/>
      <c r="C142" s="111"/>
      <c r="D142" s="111"/>
      <c r="E142" s="111"/>
      <c r="F142" s="111" t="s">
        <v>68</v>
      </c>
      <c r="G142" s="111"/>
      <c r="H142" s="111"/>
      <c r="I142" s="111"/>
      <c r="J142" s="111"/>
      <c r="K142" s="111"/>
      <c r="L142" s="111"/>
    </row>
    <row r="143" spans="1:12">
      <c r="A143" s="111"/>
      <c r="B143" s="111"/>
      <c r="C143" s="111"/>
      <c r="D143" s="111"/>
      <c r="E143" s="111"/>
      <c r="F143" s="111" t="s">
        <v>69</v>
      </c>
      <c r="G143" s="111"/>
      <c r="H143" s="111"/>
      <c r="I143" s="111"/>
      <c r="J143" s="111"/>
      <c r="K143" s="111"/>
      <c r="L143" s="111"/>
    </row>
    <row r="144" spans="1:12">
      <c r="A144" s="111"/>
      <c r="B144" s="111"/>
      <c r="C144" s="111"/>
      <c r="D144" s="111"/>
      <c r="E144" s="111"/>
      <c r="F144" s="111" t="s">
        <v>70</v>
      </c>
      <c r="G144" s="111"/>
      <c r="H144" s="111"/>
      <c r="I144" s="111"/>
      <c r="J144" s="111"/>
      <c r="K144" s="111"/>
      <c r="L144" s="111"/>
    </row>
    <row r="145" spans="1:12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</row>
    <row r="146" spans="1:12">
      <c r="A146" s="111" t="s">
        <v>71</v>
      </c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</row>
    <row r="147" spans="1:12">
      <c r="A147" s="111" t="s">
        <v>72</v>
      </c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</row>
    <row r="148" spans="1:12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</row>
    <row r="149" spans="1:12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</row>
    <row r="150" spans="1:12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</row>
    <row r="151" spans="1:12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</row>
    <row r="152" spans="1:12">
      <c r="A152" s="111" t="s">
        <v>73</v>
      </c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</row>
    <row r="153" spans="1:12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</row>
    <row r="154" spans="1:12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</row>
    <row r="155" spans="1:12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</row>
    <row r="156" spans="1:12" ht="13.5" thickBo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</row>
    <row r="157" spans="1:12" ht="13.5" thickBot="1">
      <c r="A157" s="116" t="s">
        <v>44</v>
      </c>
      <c r="B157" s="117" t="s">
        <v>74</v>
      </c>
      <c r="C157" s="118"/>
      <c r="D157" s="118"/>
      <c r="E157" s="118"/>
      <c r="F157" s="119" t="s">
        <v>46</v>
      </c>
      <c r="G157" s="98" t="s">
        <v>47</v>
      </c>
      <c r="H157" s="98"/>
      <c r="I157" s="116" t="s">
        <v>48</v>
      </c>
      <c r="J157" s="117">
        <v>2</v>
      </c>
      <c r="K157" s="120" t="s">
        <v>49</v>
      </c>
      <c r="L157" s="121">
        <v>2</v>
      </c>
    </row>
    <row r="158" spans="1:12" ht="13.5" thickBot="1">
      <c r="A158" s="116" t="s">
        <v>50</v>
      </c>
      <c r="B158" s="117" t="s">
        <v>51</v>
      </c>
      <c r="C158" s="118"/>
      <c r="D158" s="118"/>
      <c r="E158" s="121"/>
      <c r="F158" s="116" t="s">
        <v>52</v>
      </c>
      <c r="G158" s="117"/>
      <c r="H158" s="118"/>
      <c r="I158" s="118"/>
      <c r="J158" s="115"/>
      <c r="K158" s="115"/>
      <c r="L158" s="122"/>
    </row>
    <row r="159" spans="1:12" ht="13.5" thickBot="1">
      <c r="A159" s="116" t="s">
        <v>53</v>
      </c>
      <c r="B159" s="117" t="s">
        <v>75</v>
      </c>
      <c r="C159" s="118"/>
      <c r="D159" s="118"/>
      <c r="E159" s="121"/>
      <c r="F159" s="116" t="s">
        <v>55</v>
      </c>
      <c r="G159" s="117"/>
      <c r="H159" s="118"/>
      <c r="I159" s="118"/>
      <c r="J159" s="118"/>
      <c r="K159" s="118"/>
      <c r="L159" s="121"/>
    </row>
    <row r="160" spans="1:12">
      <c r="A160" s="401" t="s">
        <v>56</v>
      </c>
      <c r="B160" s="124" t="s">
        <v>57</v>
      </c>
      <c r="C160" s="98"/>
      <c r="D160" s="98"/>
      <c r="E160" s="98"/>
      <c r="F160" s="98"/>
      <c r="G160" s="98"/>
      <c r="H160" s="98"/>
      <c r="I160" s="98"/>
      <c r="J160" s="98"/>
      <c r="K160" s="98"/>
      <c r="L160" s="125"/>
    </row>
    <row r="161" spans="1:12">
      <c r="A161" s="401"/>
      <c r="B161" s="126"/>
      <c r="C161" s="111"/>
      <c r="D161" s="111"/>
      <c r="E161" s="111"/>
      <c r="F161" s="111"/>
      <c r="G161" s="111"/>
      <c r="H161" s="111"/>
      <c r="I161" s="111"/>
      <c r="J161" s="111"/>
      <c r="K161" s="111"/>
      <c r="L161" s="127"/>
    </row>
    <row r="162" spans="1:12" ht="13.5" thickBot="1">
      <c r="A162" s="401"/>
      <c r="B162" s="128"/>
      <c r="C162" s="115"/>
      <c r="D162" s="115"/>
      <c r="E162" s="115"/>
      <c r="F162" s="115"/>
      <c r="G162" s="115"/>
      <c r="H162" s="115"/>
      <c r="I162" s="115"/>
      <c r="J162" s="115"/>
      <c r="K162" s="115"/>
      <c r="L162" s="122"/>
    </row>
    <row r="163" spans="1:12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</row>
    <row r="164" spans="1:12" ht="13.5" thickBot="1">
      <c r="A164" s="114" t="s">
        <v>76</v>
      </c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</row>
    <row r="165" spans="1:12" ht="13.5" thickBot="1">
      <c r="A165" s="130" t="s">
        <v>77</v>
      </c>
      <c r="B165" s="131">
        <v>-0.12</v>
      </c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</row>
    <row r="166" spans="1:12" ht="13.5" thickBot="1">
      <c r="A166" s="107" t="s">
        <v>78</v>
      </c>
      <c r="B166" s="108" t="s">
        <v>79</v>
      </c>
      <c r="C166" s="109" t="s">
        <v>80</v>
      </c>
      <c r="D166" s="111"/>
      <c r="E166" s="111"/>
      <c r="F166" s="111"/>
      <c r="G166" s="111"/>
      <c r="H166" s="111"/>
      <c r="I166" s="111"/>
      <c r="J166" s="111"/>
      <c r="K166" s="111"/>
      <c r="L166" s="111"/>
    </row>
    <row r="167" spans="1:12">
      <c r="A167" s="101">
        <v>0.5</v>
      </c>
      <c r="B167" s="102">
        <f>2/(1.4*A167^2)*(((1+((1.4-1)/2)*A167^2)/(1+(1.4-1)/2))^(1.4/(1.4-1))-1)</f>
        <v>-2.133402668349714</v>
      </c>
      <c r="C167" s="103">
        <f>$B$165/(SQRT(1-A167^2))</f>
        <v>-0.13856406460551018</v>
      </c>
      <c r="D167" s="111"/>
      <c r="E167" s="111"/>
      <c r="F167" s="111"/>
      <c r="G167" s="111"/>
      <c r="H167" s="111"/>
      <c r="I167" s="111"/>
      <c r="J167" s="111"/>
      <c r="K167" s="111"/>
      <c r="L167" s="111"/>
    </row>
    <row r="168" spans="1:12">
      <c r="A168" s="101">
        <f>A167+0.025</f>
        <v>0.52500000000000002</v>
      </c>
      <c r="B168" s="102">
        <f t="shared" ref="B168:B187" si="0">2/(1.4*A168^2)*(((1+((1.4-1)/2)*A168^2)/(1+(1.4-1)/2))^(1.4/(1.4-1))-1)</f>
        <v>-1.8792336576441555</v>
      </c>
      <c r="C168" s="103">
        <f t="shared" ref="C168:C186" si="1">$B$165/(SQRT(1-A168^2))</f>
        <v>-0.14099363890705119</v>
      </c>
      <c r="D168" s="111"/>
      <c r="E168" s="111"/>
      <c r="F168" s="111"/>
      <c r="G168" s="111"/>
      <c r="H168" s="111"/>
      <c r="I168" s="111"/>
      <c r="J168" s="111"/>
      <c r="K168" s="111"/>
      <c r="L168" s="111"/>
    </row>
    <row r="169" spans="1:12">
      <c r="A169" s="101">
        <f t="shared" ref="A169:A187" si="2">A168+0.025</f>
        <v>0.55000000000000004</v>
      </c>
      <c r="B169" s="102">
        <f t="shared" si="0"/>
        <v>-1.6582622168975083</v>
      </c>
      <c r="C169" s="103">
        <f t="shared" si="1"/>
        <v>-0.14368424162141991</v>
      </c>
      <c r="D169" s="111"/>
      <c r="E169" s="111"/>
      <c r="F169" s="111"/>
      <c r="G169" s="111"/>
      <c r="H169" s="111"/>
      <c r="I169" s="111"/>
      <c r="J169" s="111"/>
      <c r="K169" s="111"/>
      <c r="L169" s="111"/>
    </row>
    <row r="170" spans="1:12">
      <c r="A170" s="101">
        <f t="shared" si="2"/>
        <v>0.57500000000000007</v>
      </c>
      <c r="B170" s="102">
        <f t="shared" si="0"/>
        <v>-1.464806802032955</v>
      </c>
      <c r="C170" s="103">
        <f t="shared" si="1"/>
        <v>-0.14667175952451381</v>
      </c>
      <c r="D170" s="111"/>
      <c r="E170" s="111"/>
      <c r="F170" s="111"/>
      <c r="G170" s="111"/>
      <c r="H170" s="111"/>
      <c r="I170" s="111"/>
      <c r="J170" s="111"/>
      <c r="K170" s="111"/>
      <c r="L170" s="111"/>
    </row>
    <row r="171" spans="1:12">
      <c r="A171" s="101">
        <f t="shared" si="2"/>
        <v>0.60000000000000009</v>
      </c>
      <c r="B171" s="102">
        <f t="shared" si="0"/>
        <v>-1.2943435904552825</v>
      </c>
      <c r="C171" s="103">
        <f t="shared" si="1"/>
        <v>-0.15</v>
      </c>
      <c r="D171" s="111"/>
      <c r="E171" s="111"/>
      <c r="F171" s="111"/>
      <c r="G171" s="111"/>
      <c r="H171" s="111"/>
      <c r="I171" s="111"/>
      <c r="J171" s="111"/>
      <c r="K171" s="111"/>
      <c r="L171" s="111"/>
    </row>
    <row r="172" spans="1:12">
      <c r="A172" s="101">
        <f t="shared" si="2"/>
        <v>0.62500000000000011</v>
      </c>
      <c r="B172" s="102">
        <f t="shared" si="0"/>
        <v>-1.1432343202924669</v>
      </c>
      <c r="C172" s="103">
        <f t="shared" si="1"/>
        <v>-0.15372302765288365</v>
      </c>
      <c r="D172" s="111"/>
      <c r="E172" s="111"/>
      <c r="F172" s="111"/>
      <c r="G172" s="111"/>
      <c r="H172" s="111"/>
      <c r="I172" s="111"/>
      <c r="J172" s="111"/>
      <c r="K172" s="111"/>
      <c r="L172" s="111"/>
    </row>
    <row r="173" spans="1:12">
      <c r="A173" s="101">
        <f t="shared" si="2"/>
        <v>0.65000000000000013</v>
      </c>
      <c r="B173" s="102">
        <f t="shared" si="0"/>
        <v>-1.0085259417860786</v>
      </c>
      <c r="C173" s="103">
        <f t="shared" si="1"/>
        <v>-0.15790840679034457</v>
      </c>
      <c r="D173" s="111"/>
      <c r="E173" s="111"/>
      <c r="F173" s="111"/>
      <c r="G173" s="111"/>
      <c r="H173" s="111"/>
      <c r="I173" s="111"/>
      <c r="J173" s="111"/>
      <c r="K173" s="111"/>
      <c r="L173" s="111"/>
    </row>
    <row r="174" spans="1:12">
      <c r="A174" s="101">
        <f t="shared" si="2"/>
        <v>0.67500000000000016</v>
      </c>
      <c r="B174" s="102">
        <f t="shared" si="0"/>
        <v>-0.88780121440446147</v>
      </c>
      <c r="C174" s="103">
        <f t="shared" si="1"/>
        <v>-0.16264179541720736</v>
      </c>
      <c r="D174" s="111"/>
      <c r="E174" s="111"/>
      <c r="F174" s="111"/>
      <c r="G174" s="111"/>
      <c r="H174" s="111"/>
      <c r="I174" s="111"/>
      <c r="J174" s="111"/>
      <c r="K174" s="111"/>
      <c r="L174" s="111"/>
    </row>
    <row r="175" spans="1:12">
      <c r="A175" s="101">
        <f t="shared" si="2"/>
        <v>0.70000000000000018</v>
      </c>
      <c r="B175" s="102">
        <f t="shared" si="0"/>
        <v>-0.77906596455962962</v>
      </c>
      <c r="C175" s="103">
        <f t="shared" si="1"/>
        <v>-0.16803361008336121</v>
      </c>
      <c r="D175" s="111"/>
      <c r="E175" s="111"/>
      <c r="F175" s="111"/>
      <c r="G175" s="111"/>
      <c r="H175" s="111"/>
      <c r="I175" s="111"/>
      <c r="J175" s="111"/>
      <c r="K175" s="111"/>
      <c r="L175" s="111"/>
    </row>
    <row r="176" spans="1:12">
      <c r="A176" s="101">
        <f t="shared" si="2"/>
        <v>0.7250000000000002</v>
      </c>
      <c r="B176" s="102">
        <f t="shared" si="0"/>
        <v>-0.68066307202112553</v>
      </c>
      <c r="C176" s="103">
        <f t="shared" si="1"/>
        <v>-0.17422896207375071</v>
      </c>
      <c r="D176" s="111"/>
      <c r="E176" s="111"/>
      <c r="F176" s="111"/>
      <c r="G176" s="111"/>
      <c r="H176" s="111"/>
      <c r="I176" s="111"/>
      <c r="J176" s="111"/>
      <c r="K176" s="111"/>
      <c r="L176" s="111"/>
    </row>
    <row r="177" spans="1:12">
      <c r="A177" s="101">
        <f t="shared" si="2"/>
        <v>0.75000000000000022</v>
      </c>
      <c r="B177" s="102">
        <f t="shared" si="0"/>
        <v>-0.59120618074665254</v>
      </c>
      <c r="C177" s="103">
        <f t="shared" si="1"/>
        <v>-0.18142294704442916</v>
      </c>
      <c r="D177" s="111"/>
      <c r="E177" s="111"/>
      <c r="F177" s="111"/>
      <c r="G177" s="111"/>
      <c r="H177" s="111"/>
      <c r="I177" s="111"/>
      <c r="J177" s="111"/>
      <c r="K177" s="111"/>
      <c r="L177" s="111"/>
    </row>
    <row r="178" spans="1:12">
      <c r="A178" s="101">
        <f t="shared" si="2"/>
        <v>0.77500000000000024</v>
      </c>
      <c r="B178" s="102">
        <f t="shared" si="0"/>
        <v>-0.50952812909954748</v>
      </c>
      <c r="C178" s="103">
        <f t="shared" si="1"/>
        <v>-0.18988506531101662</v>
      </c>
      <c r="D178" s="111"/>
      <c r="E178" s="111"/>
      <c r="F178" s="111"/>
      <c r="G178" s="111"/>
      <c r="H178" s="111"/>
      <c r="I178" s="111"/>
      <c r="J178" s="111"/>
      <c r="K178" s="111"/>
      <c r="L178" s="111"/>
    </row>
    <row r="179" spans="1:12">
      <c r="A179" s="101">
        <f t="shared" si="2"/>
        <v>0.80000000000000027</v>
      </c>
      <c r="B179" s="102">
        <f t="shared" si="0"/>
        <v>-0.43464047915522891</v>
      </c>
      <c r="C179" s="103">
        <f t="shared" si="1"/>
        <v>-0.20000000000000012</v>
      </c>
      <c r="D179" s="111"/>
      <c r="E179" s="111"/>
      <c r="F179" s="111"/>
      <c r="G179" s="111"/>
      <c r="H179" s="111"/>
      <c r="I179" s="111"/>
      <c r="J179" s="111"/>
      <c r="K179" s="111"/>
      <c r="L179" s="111"/>
    </row>
    <row r="180" spans="1:12">
      <c r="A180" s="101">
        <f t="shared" si="2"/>
        <v>0.82500000000000029</v>
      </c>
      <c r="B180" s="102">
        <f t="shared" si="0"/>
        <v>-0.36570149657757012</v>
      </c>
      <c r="C180" s="103">
        <f t="shared" si="1"/>
        <v>-0.21233949849782838</v>
      </c>
      <c r="D180" s="111"/>
      <c r="E180" s="111"/>
      <c r="F180" s="111"/>
      <c r="G180" s="111"/>
      <c r="H180" s="111"/>
      <c r="I180" s="111"/>
      <c r="J180" s="111"/>
      <c r="K180" s="111"/>
      <c r="L180" s="111"/>
    </row>
    <row r="181" spans="1:12">
      <c r="A181" s="101">
        <f t="shared" si="2"/>
        <v>0.85000000000000031</v>
      </c>
      <c r="B181" s="102">
        <f t="shared" si="0"/>
        <v>-0.30199062290533707</v>
      </c>
      <c r="C181" s="103">
        <f t="shared" si="1"/>
        <v>-0.22779791898059995</v>
      </c>
      <c r="D181" s="111"/>
      <c r="E181" s="111"/>
      <c r="F181" s="111"/>
      <c r="G181" s="111"/>
      <c r="H181" s="111"/>
      <c r="I181" s="111"/>
      <c r="J181" s="111"/>
      <c r="K181" s="111"/>
      <c r="L181" s="111"/>
    </row>
    <row r="182" spans="1:12">
      <c r="A182" s="101">
        <f t="shared" si="2"/>
        <v>0.87500000000000033</v>
      </c>
      <c r="B182" s="102">
        <f t="shared" si="0"/>
        <v>-0.24288797814629501</v>
      </c>
      <c r="C182" s="103">
        <f t="shared" si="1"/>
        <v>-0.24787093415727499</v>
      </c>
      <c r="D182" s="111"/>
      <c r="E182" s="111"/>
      <c r="F182" s="111"/>
      <c r="G182" s="111"/>
      <c r="H182" s="111"/>
      <c r="I182" s="111"/>
      <c r="J182" s="111"/>
      <c r="K182" s="111"/>
      <c r="L182" s="111"/>
    </row>
    <row r="183" spans="1:12">
      <c r="A183" s="101">
        <f t="shared" si="2"/>
        <v>0.90000000000000036</v>
      </c>
      <c r="B183" s="102">
        <f t="shared" si="0"/>
        <v>-0.18785779183683954</v>
      </c>
      <c r="C183" s="103">
        <f t="shared" si="1"/>
        <v>-0.27529888064467456</v>
      </c>
      <c r="D183" s="111"/>
      <c r="E183" s="111"/>
      <c r="F183" s="111"/>
      <c r="G183" s="111"/>
      <c r="H183" s="111"/>
      <c r="I183" s="111"/>
      <c r="J183" s="111"/>
      <c r="K183" s="111"/>
      <c r="L183" s="111"/>
    </row>
    <row r="184" spans="1:12">
      <c r="A184" s="101">
        <f t="shared" si="2"/>
        <v>0.92500000000000038</v>
      </c>
      <c r="B184" s="102">
        <f t="shared" si="0"/>
        <v>-0.13643492498851681</v>
      </c>
      <c r="C184" s="103">
        <f t="shared" si="1"/>
        <v>-0.31581681358068991</v>
      </c>
      <c r="D184" s="111"/>
      <c r="E184" s="111"/>
      <c r="F184" s="111"/>
      <c r="G184" s="111"/>
      <c r="H184" s="111"/>
      <c r="I184" s="111"/>
      <c r="J184" s="111"/>
      <c r="K184" s="111"/>
      <c r="L184" s="111"/>
    </row>
    <row r="185" spans="1:12">
      <c r="A185" s="101">
        <f t="shared" si="2"/>
        <v>0.9500000000000004</v>
      </c>
      <c r="B185" s="102">
        <f t="shared" si="0"/>
        <v>-8.8213841015504529E-2</v>
      </c>
      <c r="C185" s="103">
        <f t="shared" si="1"/>
        <v>-0.38430756913221059</v>
      </c>
      <c r="D185" s="111"/>
      <c r="E185" s="111"/>
      <c r="F185" s="111"/>
      <c r="G185" s="111"/>
      <c r="H185" s="111"/>
      <c r="I185" s="111"/>
      <c r="J185" s="111"/>
      <c r="K185" s="111"/>
      <c r="L185" s="111"/>
    </row>
    <row r="186" spans="1:12">
      <c r="A186" s="101">
        <f t="shared" si="2"/>
        <v>0.97500000000000042</v>
      </c>
      <c r="B186" s="102">
        <f t="shared" si="0"/>
        <v>-4.2839529905831897E-2</v>
      </c>
      <c r="C186" s="103">
        <f t="shared" si="1"/>
        <v>-0.54004219244449603</v>
      </c>
      <c r="D186" s="111"/>
      <c r="E186" s="111"/>
      <c r="F186" s="111"/>
      <c r="G186" s="111"/>
      <c r="H186" s="111"/>
      <c r="I186" s="111"/>
      <c r="J186" s="111"/>
      <c r="K186" s="111"/>
      <c r="L186" s="111"/>
    </row>
    <row r="187" spans="1:12" ht="13.5" thickBot="1">
      <c r="A187" s="104">
        <f t="shared" si="2"/>
        <v>1.0000000000000004</v>
      </c>
      <c r="B187" s="105">
        <f t="shared" si="0"/>
        <v>1.2688263138573206E-15</v>
      </c>
      <c r="C187" s="106">
        <v>-2.13</v>
      </c>
      <c r="D187" s="111"/>
      <c r="E187" s="111"/>
      <c r="F187" s="111"/>
      <c r="G187" s="111"/>
      <c r="H187" s="111"/>
      <c r="I187" s="111"/>
      <c r="J187" s="111"/>
      <c r="K187" s="111"/>
      <c r="L187" s="111"/>
    </row>
    <row r="188" spans="1:12">
      <c r="A188" s="110"/>
      <c r="B188" s="110"/>
      <c r="C188" s="132"/>
      <c r="D188" s="111"/>
      <c r="E188" s="111"/>
      <c r="F188" s="111"/>
      <c r="G188" s="111"/>
      <c r="H188" s="111"/>
      <c r="I188" s="111"/>
      <c r="J188" s="111"/>
      <c r="K188" s="111"/>
      <c r="L188" s="111"/>
    </row>
    <row r="189" spans="1:12">
      <c r="A189" s="110" t="s">
        <v>81</v>
      </c>
      <c r="B189" s="110"/>
      <c r="C189" s="132"/>
      <c r="D189" s="111"/>
      <c r="E189" s="111"/>
      <c r="F189" s="111"/>
      <c r="G189" s="111"/>
      <c r="H189" s="111"/>
      <c r="I189" s="111"/>
      <c r="J189" s="111"/>
      <c r="K189" s="111"/>
      <c r="L189" s="111"/>
    </row>
    <row r="190" spans="1:12">
      <c r="A190" s="110" t="s">
        <v>82</v>
      </c>
      <c r="B190" s="110"/>
      <c r="C190" s="132"/>
      <c r="D190" s="111"/>
      <c r="E190" s="111"/>
      <c r="F190" s="111"/>
      <c r="G190" s="111"/>
      <c r="H190" s="111"/>
      <c r="I190" s="111"/>
      <c r="J190" s="111"/>
      <c r="K190" s="111"/>
      <c r="L190" s="111"/>
    </row>
    <row r="191" spans="1:12">
      <c r="A191" s="110" t="s">
        <v>83</v>
      </c>
      <c r="B191" s="110"/>
      <c r="C191" s="132"/>
      <c r="D191" s="111"/>
      <c r="E191" s="111"/>
      <c r="F191" s="111"/>
      <c r="G191" s="111"/>
      <c r="H191" s="111"/>
      <c r="I191" s="111"/>
      <c r="J191" s="111"/>
      <c r="K191" s="111"/>
      <c r="L191" s="111"/>
    </row>
    <row r="192" spans="1:12">
      <c r="A192" s="110"/>
      <c r="B192" s="110"/>
      <c r="C192" s="132"/>
      <c r="D192" s="111"/>
      <c r="E192" s="111"/>
      <c r="F192" s="111"/>
      <c r="G192" s="111"/>
      <c r="H192" s="111"/>
      <c r="I192" s="111"/>
      <c r="J192" s="111"/>
      <c r="K192" s="111"/>
      <c r="L192" s="111"/>
    </row>
    <row r="193" spans="1:12">
      <c r="A193" s="111" t="s">
        <v>84</v>
      </c>
      <c r="B193" s="111">
        <v>1</v>
      </c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</row>
    <row r="194" spans="1:12">
      <c r="A194" s="110" t="s">
        <v>85</v>
      </c>
      <c r="B194" s="110" t="s">
        <v>84</v>
      </c>
      <c r="C194" s="132" t="s">
        <v>86</v>
      </c>
      <c r="D194" s="111" t="s">
        <v>87</v>
      </c>
      <c r="E194" s="111"/>
      <c r="F194" s="111"/>
      <c r="G194" s="111"/>
      <c r="H194" s="111"/>
      <c r="I194" s="111"/>
      <c r="J194" s="111"/>
      <c r="K194" s="111"/>
      <c r="L194" s="111"/>
    </row>
    <row r="195" spans="1:12">
      <c r="A195" s="110">
        <v>0</v>
      </c>
      <c r="B195" s="110">
        <f>$B$193</f>
        <v>1</v>
      </c>
      <c r="C195" s="132">
        <f>1-(1+2*RADIANS(B195)*SQRT(A195/1))^2</f>
        <v>0</v>
      </c>
      <c r="D195" s="132">
        <f>1-(1-2*RADIANS(B195)*SQRT(A195/1))^2</f>
        <v>0</v>
      </c>
      <c r="E195" s="111"/>
      <c r="F195" s="111"/>
      <c r="G195" s="111"/>
      <c r="H195" s="111"/>
      <c r="I195" s="111"/>
      <c r="J195" s="111"/>
      <c r="K195" s="111"/>
      <c r="L195" s="111"/>
    </row>
    <row r="196" spans="1:12">
      <c r="A196" s="110">
        <f>A195+$A$205/10</f>
        <v>0.1</v>
      </c>
      <c r="B196" s="110">
        <f t="shared" ref="B196:B205" si="3">$B$193</f>
        <v>1</v>
      </c>
      <c r="C196" s="132">
        <f t="shared" ref="C196:C205" si="4">1-(1+2*RADIANS(B196)*SQRT(A196/1))^2</f>
        <v>-2.2198709780794745E-2</v>
      </c>
      <c r="D196" s="132">
        <f t="shared" ref="D196:D205" si="5">1-(1-2*RADIANS(B196)*SQRT(A196/1))^2</f>
        <v>2.1955015844965509E-2</v>
      </c>
      <c r="E196" s="111"/>
      <c r="F196" s="111"/>
      <c r="G196" s="111"/>
      <c r="H196" s="111"/>
      <c r="I196" s="111"/>
      <c r="J196" s="111"/>
      <c r="K196" s="111"/>
      <c r="L196" s="111"/>
    </row>
    <row r="197" spans="1:12">
      <c r="A197" s="110">
        <f t="shared" ref="A197:A204" si="6">A196+$A$205/10</f>
        <v>0.2</v>
      </c>
      <c r="B197" s="110">
        <f t="shared" si="3"/>
        <v>1</v>
      </c>
      <c r="C197" s="132">
        <f t="shared" si="4"/>
        <v>-3.1465092740454725E-2</v>
      </c>
      <c r="D197" s="132">
        <f t="shared" si="5"/>
        <v>3.0977704868796141E-2</v>
      </c>
      <c r="E197" s="111"/>
      <c r="F197" s="111"/>
      <c r="G197" s="111"/>
      <c r="H197" s="111"/>
      <c r="I197" s="111"/>
      <c r="J197" s="111"/>
      <c r="K197" s="111"/>
      <c r="L197" s="111"/>
    </row>
    <row r="198" spans="1:12">
      <c r="A198" s="110">
        <f t="shared" si="6"/>
        <v>0.30000000000000004</v>
      </c>
      <c r="B198" s="110">
        <f t="shared" si="3"/>
        <v>1</v>
      </c>
      <c r="C198" s="132">
        <f t="shared" si="4"/>
        <v>-3.8603788967380481E-2</v>
      </c>
      <c r="D198" s="132">
        <f t="shared" si="5"/>
        <v>3.7872707159892438E-2</v>
      </c>
      <c r="E198" s="111"/>
      <c r="F198" s="111"/>
      <c r="G198" s="111"/>
      <c r="H198" s="111"/>
      <c r="I198" s="111"/>
      <c r="J198" s="111"/>
      <c r="K198" s="111"/>
      <c r="L198" s="111"/>
    </row>
    <row r="199" spans="1:12">
      <c r="A199" s="110">
        <f t="shared" si="6"/>
        <v>0.4</v>
      </c>
      <c r="B199" s="110">
        <f t="shared" si="3"/>
        <v>1</v>
      </c>
      <c r="C199" s="132">
        <f t="shared" si="4"/>
        <v>-4.4641113497419171E-2</v>
      </c>
      <c r="D199" s="132">
        <f t="shared" si="5"/>
        <v>4.3666337754101781E-2</v>
      </c>
      <c r="E199" s="111"/>
      <c r="F199" s="111"/>
      <c r="G199" s="111"/>
      <c r="H199" s="111"/>
      <c r="I199" s="111"/>
      <c r="J199" s="111"/>
      <c r="K199" s="111"/>
      <c r="L199" s="111"/>
    </row>
    <row r="200" spans="1:12">
      <c r="A200" s="110">
        <f t="shared" si="6"/>
        <v>0.5</v>
      </c>
      <c r="B200" s="110">
        <f t="shared" si="3"/>
        <v>1</v>
      </c>
      <c r="C200" s="132">
        <f t="shared" si="4"/>
        <v>-4.9974600819110648E-2</v>
      </c>
      <c r="D200" s="132">
        <f t="shared" si="5"/>
        <v>4.8756131139964021E-2</v>
      </c>
      <c r="E200" s="111" t="s">
        <v>88</v>
      </c>
      <c r="F200" s="111"/>
      <c r="G200" s="111"/>
      <c r="H200" s="111"/>
      <c r="I200" s="111"/>
      <c r="J200" s="111"/>
      <c r="K200" s="111"/>
      <c r="L200" s="111"/>
    </row>
    <row r="201" spans="1:12">
      <c r="A201" s="110">
        <f t="shared" si="6"/>
        <v>0.6</v>
      </c>
      <c r="B201" s="110">
        <f t="shared" si="3"/>
        <v>1</v>
      </c>
      <c r="C201" s="132">
        <f t="shared" si="4"/>
        <v>-5.4808130820469758E-2</v>
      </c>
      <c r="D201" s="132">
        <f t="shared" si="5"/>
        <v>5.334596720549345E-2</v>
      </c>
      <c r="E201" s="111"/>
      <c r="F201" s="111"/>
      <c r="G201" s="111"/>
      <c r="H201" s="111"/>
      <c r="I201" s="111"/>
      <c r="J201" s="111"/>
      <c r="K201" s="111"/>
      <c r="L201" s="111"/>
    </row>
    <row r="202" spans="1:12">
      <c r="A202" s="110">
        <f t="shared" si="6"/>
        <v>0.7</v>
      </c>
      <c r="B202" s="110">
        <f t="shared" si="3"/>
        <v>1</v>
      </c>
      <c r="C202" s="132">
        <f t="shared" si="4"/>
        <v>-5.9262817506773757E-2</v>
      </c>
      <c r="D202" s="132">
        <f t="shared" si="5"/>
        <v>5.7556959955968101E-2</v>
      </c>
      <c r="E202" s="111"/>
      <c r="F202" s="111"/>
      <c r="G202" s="111"/>
      <c r="H202" s="111"/>
      <c r="I202" s="111"/>
      <c r="J202" s="111"/>
      <c r="K202" s="111"/>
      <c r="L202" s="111"/>
    </row>
    <row r="203" spans="1:12">
      <c r="A203" s="110">
        <f t="shared" si="6"/>
        <v>0.79999999999999993</v>
      </c>
      <c r="B203" s="110">
        <f t="shared" si="3"/>
        <v>1</v>
      </c>
      <c r="C203" s="132">
        <f t="shared" si="4"/>
        <v>-6.3417573352568368E-2</v>
      </c>
      <c r="D203" s="132">
        <f t="shared" si="5"/>
        <v>6.1468021865933475E-2</v>
      </c>
      <c r="E203" s="111"/>
      <c r="F203" s="111"/>
      <c r="G203" s="111"/>
      <c r="H203" s="111"/>
      <c r="I203" s="111"/>
      <c r="J203" s="111"/>
      <c r="K203" s="111"/>
      <c r="L203" s="111"/>
    </row>
    <row r="204" spans="1:12">
      <c r="A204" s="110">
        <f t="shared" si="6"/>
        <v>0.89999999999999991</v>
      </c>
      <c r="B204" s="110">
        <f t="shared" si="3"/>
        <v>1</v>
      </c>
      <c r="C204" s="132">
        <f t="shared" si="4"/>
        <v>-6.7327211149872612E-2</v>
      </c>
      <c r="D204" s="132">
        <f t="shared" si="5"/>
        <v>6.5133965727408594E-2</v>
      </c>
      <c r="E204" s="111"/>
      <c r="F204" s="111"/>
      <c r="G204" s="111"/>
      <c r="H204" s="111"/>
      <c r="I204" s="111"/>
      <c r="J204" s="111"/>
      <c r="K204" s="111"/>
      <c r="L204" s="111"/>
    </row>
    <row r="205" spans="1:12">
      <c r="A205" s="110">
        <v>1</v>
      </c>
      <c r="B205" s="110">
        <f t="shared" si="3"/>
        <v>1</v>
      </c>
      <c r="C205" s="132">
        <f t="shared" si="4"/>
        <v>-7.1031639758920129E-2</v>
      </c>
      <c r="D205" s="132">
        <f t="shared" si="5"/>
        <v>6.8594700400626429E-2</v>
      </c>
      <c r="E205" s="111"/>
      <c r="F205" s="111"/>
      <c r="G205" s="111"/>
      <c r="H205" s="111"/>
      <c r="I205" s="111"/>
      <c r="J205" s="111"/>
      <c r="K205" s="111"/>
      <c r="L205" s="111"/>
    </row>
    <row r="206" spans="1:12">
      <c r="A206" s="110"/>
      <c r="B206" s="110"/>
      <c r="C206" s="132"/>
      <c r="D206" s="111"/>
      <c r="E206" s="111"/>
      <c r="F206" s="111"/>
      <c r="G206" s="111"/>
      <c r="H206" s="111"/>
      <c r="I206" s="111"/>
      <c r="J206" s="111"/>
      <c r="K206" s="111"/>
      <c r="L206" s="111"/>
    </row>
    <row r="207" spans="1:12">
      <c r="A207" s="110"/>
      <c r="B207" s="110"/>
      <c r="C207" s="132"/>
      <c r="D207" s="111"/>
      <c r="E207" s="111"/>
      <c r="F207" s="111"/>
      <c r="G207" s="111"/>
      <c r="H207" s="111"/>
      <c r="I207" s="111"/>
      <c r="J207" s="111"/>
      <c r="K207" s="111"/>
      <c r="L207" s="111"/>
    </row>
    <row r="208" spans="1:12" ht="13.5" thickBot="1">
      <c r="A208" s="133"/>
      <c r="B208" s="133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</row>
    <row r="209" spans="1:12" ht="13.5" thickBot="1">
      <c r="A209" s="116" t="s">
        <v>44</v>
      </c>
      <c r="B209" s="117" t="s">
        <v>89</v>
      </c>
      <c r="C209" s="118"/>
      <c r="D209" s="118"/>
      <c r="E209" s="118"/>
      <c r="F209" s="119" t="s">
        <v>46</v>
      </c>
      <c r="G209" s="98" t="s">
        <v>47</v>
      </c>
      <c r="H209" s="98"/>
      <c r="I209" s="116" t="s">
        <v>48</v>
      </c>
      <c r="J209" s="163">
        <v>1</v>
      </c>
      <c r="K209" s="100" t="s">
        <v>49</v>
      </c>
      <c r="L209" s="99">
        <v>1</v>
      </c>
    </row>
    <row r="210" spans="1:12" ht="13.5" thickBot="1">
      <c r="A210" s="116" t="s">
        <v>50</v>
      </c>
      <c r="B210" s="117" t="s">
        <v>51</v>
      </c>
      <c r="C210" s="118"/>
      <c r="D210" s="118"/>
      <c r="E210" s="121"/>
      <c r="F210" s="116" t="s">
        <v>52</v>
      </c>
      <c r="G210" s="117"/>
      <c r="H210" s="118"/>
      <c r="I210" s="118"/>
      <c r="J210" s="115"/>
      <c r="K210" s="115"/>
      <c r="L210" s="122"/>
    </row>
    <row r="211" spans="1:12" ht="13.5" thickBot="1">
      <c r="A211" s="116" t="s">
        <v>53</v>
      </c>
      <c r="B211" s="117" t="s">
        <v>75</v>
      </c>
      <c r="C211" s="118"/>
      <c r="D211" s="118"/>
      <c r="E211" s="121"/>
      <c r="F211" s="116" t="s">
        <v>55</v>
      </c>
      <c r="G211" s="117"/>
      <c r="H211" s="118"/>
      <c r="I211" s="118"/>
      <c r="J211" s="118"/>
      <c r="K211" s="118"/>
      <c r="L211" s="121"/>
    </row>
    <row r="212" spans="1:12">
      <c r="A212" s="401" t="s">
        <v>56</v>
      </c>
      <c r="B212" s="124" t="s">
        <v>57</v>
      </c>
      <c r="C212" s="98"/>
      <c r="D212" s="98"/>
      <c r="E212" s="98"/>
      <c r="F212" s="98"/>
      <c r="G212" s="98"/>
      <c r="H212" s="98"/>
      <c r="I212" s="98"/>
      <c r="J212" s="98"/>
      <c r="K212" s="98"/>
      <c r="L212" s="125"/>
    </row>
    <row r="213" spans="1:12">
      <c r="A213" s="401"/>
      <c r="B213" s="126"/>
      <c r="C213" s="111"/>
      <c r="D213" s="111"/>
      <c r="E213" s="111"/>
      <c r="F213" s="111"/>
      <c r="G213" s="111"/>
      <c r="H213" s="111"/>
      <c r="I213" s="111"/>
      <c r="J213" s="111"/>
      <c r="K213" s="111"/>
      <c r="L213" s="127"/>
    </row>
    <row r="214" spans="1:12" ht="13.5" thickBot="1">
      <c r="A214" s="401"/>
      <c r="B214" s="128"/>
      <c r="C214" s="115"/>
      <c r="D214" s="115"/>
      <c r="E214" s="115"/>
      <c r="F214" s="115"/>
      <c r="G214" s="115"/>
      <c r="H214" s="115"/>
      <c r="I214" s="115"/>
      <c r="J214" s="115"/>
      <c r="K214" s="115"/>
      <c r="L214" s="122"/>
    </row>
    <row r="216" spans="1:12">
      <c r="A216" s="134" t="s">
        <v>90</v>
      </c>
    </row>
    <row r="217" spans="1:12">
      <c r="A217" s="134" t="s">
        <v>91</v>
      </c>
    </row>
    <row r="219" spans="1:12">
      <c r="A219" s="112" t="s">
        <v>92</v>
      </c>
    </row>
    <row r="220" spans="1:12">
      <c r="A220" s="112" t="s">
        <v>93</v>
      </c>
    </row>
    <row r="221" spans="1:12">
      <c r="A221" s="112" t="s">
        <v>94</v>
      </c>
    </row>
    <row r="223" spans="1:12">
      <c r="D223" s="112" t="s">
        <v>95</v>
      </c>
    </row>
    <row r="225" spans="1:9">
      <c r="A225" s="112" t="s">
        <v>96</v>
      </c>
    </row>
    <row r="226" spans="1:9" ht="13.5" thickBot="1">
      <c r="A226" s="112" t="s">
        <v>97</v>
      </c>
    </row>
    <row r="227" spans="1:9" ht="13.5" thickBot="1">
      <c r="E227" s="135" t="s">
        <v>98</v>
      </c>
      <c r="F227" s="136" t="s">
        <v>99</v>
      </c>
      <c r="G227" s="137" t="s">
        <v>100</v>
      </c>
    </row>
    <row r="228" spans="1:9">
      <c r="E228" s="138">
        <v>0.1</v>
      </c>
      <c r="F228" s="139">
        <f>1/(1+((1.4-1)/2)*E228^2)^(1/(1.4-1))</f>
        <v>0.99501744764400046</v>
      </c>
      <c r="G228" s="140">
        <f>1-F228</f>
        <v>4.9825523559995366E-3</v>
      </c>
      <c r="I228" s="112" t="s">
        <v>101</v>
      </c>
    </row>
    <row r="229" spans="1:9">
      <c r="E229" s="138">
        <v>0.15</v>
      </c>
      <c r="F229" s="139">
        <f t="shared" ref="F229:F237" si="7">1/(1+((1.4-1)/2)*E229^2)^(1/(1.4-1))</f>
        <v>0.98883799942083594</v>
      </c>
      <c r="G229" s="141">
        <f t="shared" ref="G229:G237" si="8">1-F229</f>
        <v>1.1162000579164055E-2</v>
      </c>
      <c r="I229" s="112" t="s">
        <v>102</v>
      </c>
    </row>
    <row r="230" spans="1:9">
      <c r="E230" s="138">
        <v>0.25</v>
      </c>
      <c r="F230" s="139">
        <f t="shared" si="7"/>
        <v>0.96942099314119834</v>
      </c>
      <c r="G230" s="141">
        <f t="shared" si="8"/>
        <v>3.0579006858801661E-2</v>
      </c>
      <c r="I230" s="112" t="s">
        <v>103</v>
      </c>
    </row>
    <row r="231" spans="1:9">
      <c r="E231" s="138">
        <v>0.28000000000000003</v>
      </c>
      <c r="F231" s="139">
        <f t="shared" si="7"/>
        <v>0.96185088330603818</v>
      </c>
      <c r="G231" s="141">
        <f t="shared" si="8"/>
        <v>3.8149116693961815E-2</v>
      </c>
    </row>
    <row r="232" spans="1:9">
      <c r="E232" s="142">
        <v>0.3</v>
      </c>
      <c r="F232" s="143">
        <f t="shared" si="7"/>
        <v>0.95638015306690838</v>
      </c>
      <c r="G232" s="144">
        <f t="shared" si="8"/>
        <v>4.3619846933091622E-2</v>
      </c>
      <c r="I232" s="112" t="s">
        <v>104</v>
      </c>
    </row>
    <row r="233" spans="1:9">
      <c r="E233" s="142">
        <v>0.32</v>
      </c>
      <c r="F233" s="143">
        <f t="shared" si="7"/>
        <v>0.95058018276636214</v>
      </c>
      <c r="G233" s="144">
        <f t="shared" si="8"/>
        <v>4.9419817233637864E-2</v>
      </c>
      <c r="I233" s="112" t="s">
        <v>105</v>
      </c>
    </row>
    <row r="234" spans="1:9">
      <c r="E234" s="142">
        <v>0.4</v>
      </c>
      <c r="F234" s="143">
        <f t="shared" si="7"/>
        <v>0.92427404330578189</v>
      </c>
      <c r="G234" s="144">
        <f t="shared" si="8"/>
        <v>7.5725956694218111E-2</v>
      </c>
      <c r="I234" s="112" t="s">
        <v>106</v>
      </c>
    </row>
    <row r="235" spans="1:9">
      <c r="E235" s="138">
        <v>0.7</v>
      </c>
      <c r="F235" s="139">
        <f t="shared" si="7"/>
        <v>0.79157879136912335</v>
      </c>
      <c r="G235" s="141">
        <f t="shared" si="8"/>
        <v>0.20842120863087665</v>
      </c>
      <c r="I235" s="112" t="s">
        <v>107</v>
      </c>
    </row>
    <row r="236" spans="1:9">
      <c r="E236" s="138">
        <v>0.8</v>
      </c>
      <c r="F236" s="139">
        <f t="shared" si="7"/>
        <v>0.73999238550892377</v>
      </c>
      <c r="G236" s="141">
        <f t="shared" si="8"/>
        <v>0.26000761449107623</v>
      </c>
      <c r="I236" s="112" t="s">
        <v>108</v>
      </c>
    </row>
    <row r="237" spans="1:9" ht="13.5" thickBot="1">
      <c r="E237" s="145">
        <v>1</v>
      </c>
      <c r="F237" s="146">
        <f t="shared" si="7"/>
        <v>0.63393814526060888</v>
      </c>
      <c r="G237" s="147">
        <f t="shared" si="8"/>
        <v>0.36606185473939112</v>
      </c>
    </row>
    <row r="239" spans="1:9">
      <c r="A239" s="112" t="s">
        <v>109</v>
      </c>
      <c r="C239" s="112" t="s">
        <v>110</v>
      </c>
    </row>
    <row r="240" spans="1:9">
      <c r="C240" s="112" t="s">
        <v>111</v>
      </c>
    </row>
    <row r="241" spans="1:7">
      <c r="C241" s="112" t="s">
        <v>112</v>
      </c>
    </row>
    <row r="242" spans="1:7" ht="13.5" thickBot="1"/>
    <row r="243" spans="1:7" ht="15" customHeight="1" thickBot="1">
      <c r="C243" s="402" t="s">
        <v>113</v>
      </c>
      <c r="D243" s="403"/>
      <c r="E243" s="403"/>
      <c r="F243" s="403"/>
      <c r="G243" s="404"/>
    </row>
    <row r="244" spans="1:7">
      <c r="A244" s="112" t="s">
        <v>114</v>
      </c>
      <c r="C244" s="148" t="s">
        <v>115</v>
      </c>
      <c r="D244" s="149"/>
      <c r="E244" s="148">
        <v>80</v>
      </c>
      <c r="F244" s="149">
        <v>300</v>
      </c>
      <c r="G244" s="150" t="s">
        <v>116</v>
      </c>
    </row>
    <row r="245" spans="1:7">
      <c r="A245" s="112" t="s">
        <v>117</v>
      </c>
      <c r="C245" s="148" t="s">
        <v>118</v>
      </c>
      <c r="D245" s="149"/>
      <c r="E245" s="148">
        <v>288</v>
      </c>
      <c r="F245" s="149">
        <v>288</v>
      </c>
      <c r="G245" s="151" t="s">
        <v>119</v>
      </c>
    </row>
    <row r="246" spans="1:7" ht="13.5" thickBot="1">
      <c r="C246" s="148" t="s">
        <v>120</v>
      </c>
      <c r="D246" s="149"/>
      <c r="E246" s="148">
        <f>101325-0.5*1.225*E244^2</f>
        <v>97405</v>
      </c>
      <c r="F246" s="149">
        <f>101325-0.5*1.225*F244^2</f>
        <v>46199.999999999993</v>
      </c>
      <c r="G246" s="152" t="s">
        <v>121</v>
      </c>
    </row>
    <row r="247" spans="1:7" ht="15" customHeight="1" thickBot="1">
      <c r="A247" s="112" t="s">
        <v>122</v>
      </c>
      <c r="C247" s="402" t="s">
        <v>123</v>
      </c>
      <c r="D247" s="403"/>
      <c r="E247" s="403"/>
      <c r="F247" s="403"/>
      <c r="G247" s="404"/>
    </row>
    <row r="248" spans="1:7">
      <c r="A248" s="112" t="s">
        <v>124</v>
      </c>
      <c r="C248" s="148" t="s">
        <v>118</v>
      </c>
      <c r="D248" s="149"/>
      <c r="E248" s="148">
        <f>288-(E244^2)/(2*1005)</f>
        <v>284.81592039800995</v>
      </c>
      <c r="F248" s="149">
        <f>288-(F244^2)/(2*1005)</f>
        <v>243.22388059701493</v>
      </c>
      <c r="G248" s="150" t="s">
        <v>119</v>
      </c>
    </row>
    <row r="249" spans="1:7" ht="13.5" thickBot="1">
      <c r="A249" s="112" t="s">
        <v>125</v>
      </c>
      <c r="C249" s="148" t="s">
        <v>120</v>
      </c>
      <c r="D249" s="149"/>
      <c r="E249" s="148">
        <f>(101325)*(E248/288)^(1.4/(1.4-1))</f>
        <v>97458.073088268851</v>
      </c>
      <c r="F249" s="149">
        <f>(101325)*(F248/288)^(1.4/(1.4-1))</f>
        <v>56087.315222353413</v>
      </c>
      <c r="G249" s="152" t="s">
        <v>121</v>
      </c>
    </row>
    <row r="250" spans="1:7" ht="13.5" thickBot="1">
      <c r="C250" s="153" t="s">
        <v>126</v>
      </c>
      <c r="D250" s="154"/>
      <c r="E250" s="155">
        <f>1-E246/E249</f>
        <v>5.4457354416170833E-4</v>
      </c>
      <c r="F250" s="156">
        <f>1-F246/F249</f>
        <v>0.17628433778932007</v>
      </c>
    </row>
    <row r="253" spans="1:7">
      <c r="C253" s="112" t="s">
        <v>127</v>
      </c>
    </row>
    <row r="254" spans="1:7">
      <c r="C254" s="112" t="s">
        <v>128</v>
      </c>
    </row>
    <row r="256" spans="1:7">
      <c r="C256" s="157" t="s">
        <v>129</v>
      </c>
      <c r="D256" s="157" t="s">
        <v>130</v>
      </c>
      <c r="E256" s="157">
        <f>80/330</f>
        <v>0.24242424242424243</v>
      </c>
      <c r="F256" s="405" t="s">
        <v>78</v>
      </c>
    </row>
    <row r="257" spans="1:12">
      <c r="C257" s="157" t="s">
        <v>131</v>
      </c>
      <c r="D257" s="157" t="s">
        <v>132</v>
      </c>
      <c r="E257" s="157">
        <f>300/330</f>
        <v>0.90909090909090906</v>
      </c>
      <c r="F257" s="406"/>
    </row>
    <row r="259" spans="1:12" ht="13.5" thickBot="1"/>
    <row r="260" spans="1:12" ht="13.5" thickBot="1">
      <c r="A260" s="116" t="s">
        <v>44</v>
      </c>
      <c r="B260" s="117" t="s">
        <v>133</v>
      </c>
      <c r="C260" s="118"/>
      <c r="D260" s="118"/>
      <c r="E260" s="118"/>
      <c r="F260" s="119" t="s">
        <v>46</v>
      </c>
      <c r="G260" s="98" t="s">
        <v>134</v>
      </c>
      <c r="H260" s="98"/>
      <c r="I260" s="116" t="s">
        <v>48</v>
      </c>
      <c r="J260" s="117">
        <v>1</v>
      </c>
      <c r="K260" s="120" t="s">
        <v>49</v>
      </c>
      <c r="L260" s="121">
        <v>2</v>
      </c>
    </row>
    <row r="261" spans="1:12" ht="13.5" thickBot="1">
      <c r="A261" s="116" t="s">
        <v>50</v>
      </c>
      <c r="B261" s="117" t="s">
        <v>51</v>
      </c>
      <c r="C261" s="118"/>
      <c r="D261" s="118"/>
      <c r="E261" s="121"/>
      <c r="F261" s="116" t="s">
        <v>52</v>
      </c>
      <c r="G261" s="117"/>
      <c r="H261" s="118"/>
      <c r="I261" s="118"/>
      <c r="J261" s="115"/>
      <c r="K261" s="115"/>
      <c r="L261" s="122"/>
    </row>
    <row r="262" spans="1:12" ht="13.5" thickBot="1">
      <c r="A262" s="116" t="s">
        <v>53</v>
      </c>
      <c r="B262" s="117" t="s">
        <v>75</v>
      </c>
      <c r="C262" s="118"/>
      <c r="D262" s="118"/>
      <c r="E262" s="121"/>
      <c r="F262" s="116" t="s">
        <v>55</v>
      </c>
      <c r="G262" s="117"/>
      <c r="H262" s="118"/>
      <c r="I262" s="118"/>
      <c r="J262" s="118"/>
      <c r="K262" s="118"/>
      <c r="L262" s="121"/>
    </row>
    <row r="263" spans="1:12" ht="14.25">
      <c r="A263" s="401" t="s">
        <v>56</v>
      </c>
      <c r="B263" s="158" t="s">
        <v>135</v>
      </c>
      <c r="C263" s="97"/>
      <c r="D263" s="97"/>
      <c r="E263" s="97"/>
      <c r="F263" s="97"/>
      <c r="G263" s="97"/>
      <c r="H263" s="97"/>
      <c r="I263" s="97"/>
      <c r="J263" s="97"/>
      <c r="K263" s="97"/>
      <c r="L263" s="159"/>
    </row>
    <row r="264" spans="1:12" ht="14.25">
      <c r="A264" s="401"/>
      <c r="B264" s="158" t="s">
        <v>136</v>
      </c>
      <c r="L264" s="149"/>
    </row>
    <row r="265" spans="1:12" ht="13.5" thickBot="1">
      <c r="A265" s="401"/>
      <c r="B265" s="160"/>
      <c r="C265" s="161"/>
      <c r="D265" s="161"/>
      <c r="E265" s="161"/>
      <c r="F265" s="161"/>
      <c r="G265" s="161"/>
      <c r="H265" s="161"/>
      <c r="I265" s="161"/>
      <c r="J265" s="161"/>
      <c r="K265" s="161"/>
      <c r="L265" s="162"/>
    </row>
    <row r="267" spans="1:12">
      <c r="A267" s="134" t="s">
        <v>137</v>
      </c>
    </row>
    <row r="268" spans="1:12">
      <c r="A268" s="134" t="s">
        <v>138</v>
      </c>
    </row>
  </sheetData>
  <mergeCells count="7">
    <mergeCell ref="A108:A110"/>
    <mergeCell ref="A160:A162"/>
    <mergeCell ref="A212:A214"/>
    <mergeCell ref="A263:A265"/>
    <mergeCell ref="C243:G243"/>
    <mergeCell ref="C247:G247"/>
    <mergeCell ref="F256:F257"/>
  </mergeCells>
  <hyperlinks>
    <hyperlink ref="B263" r:id="rId1" display="https://ansyshelp.ansys.com/public/account/secured?returnurl=/Views/Secured/corp/v242/en/flu_tg/flu_tg_oneram6_wing.html"/>
    <hyperlink ref="B264" r:id="rId2"/>
  </hyperlinks>
  <pageMargins left="0.25" right="0.25" top="0.75" bottom="0.75" header="0.3" footer="0.3"/>
  <pageSetup paperSize="9" orientation="portrait" r:id="rId3"/>
  <headerFooter>
    <oddHeader xml:space="preserve">&amp;L&amp;G DYNX - High Power Rocketry Team&amp;CManual for Aerodynamics and Stability 
analysis &amp;R22/12/2024 rev. 1
</oddHeader>
    <oddFooter>&amp;CPage &amp;P</oddFooter>
  </headerFooter>
  <rowBreaks count="1" manualBreakCount="1">
    <brk id="259" max="16383" man="1"/>
  </rowBreaks>
  <customProperties>
    <customPr name="DynardoMOPSolver" r:id="rId4"/>
  </customProperties>
  <drawing r:id="rId5"/>
  <legacyDrawing r:id="rId6"/>
  <legacyDrawingHF r:id="rId7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'Manual rev.1'!D256:D257</xm:f>
              <xm:sqref>H259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21"/>
  <sheetViews>
    <sheetView workbookViewId="0">
      <selection activeCell="D21" sqref="D21"/>
    </sheetView>
  </sheetViews>
  <sheetFormatPr defaultColWidth="15.375" defaultRowHeight="14.25"/>
  <cols>
    <col min="1" max="1" width="24.25" customWidth="1"/>
    <col min="7" max="7" width="9.125" bestFit="1" customWidth="1"/>
    <col min="8" max="8" width="20.125" customWidth="1"/>
  </cols>
  <sheetData>
    <row r="1" spans="1:27" ht="42.95" customHeight="1">
      <c r="A1" s="201" t="s">
        <v>139</v>
      </c>
      <c r="B1" s="212" t="s">
        <v>140</v>
      </c>
      <c r="C1" s="215" t="s">
        <v>141</v>
      </c>
      <c r="D1" s="218" t="s">
        <v>142</v>
      </c>
      <c r="E1" s="221" t="s">
        <v>143</v>
      </c>
      <c r="F1" s="226" t="s">
        <v>144</v>
      </c>
      <c r="G1" s="206" t="s">
        <v>145</v>
      </c>
      <c r="H1" s="207" t="s">
        <v>146</v>
      </c>
      <c r="I1" s="233" t="s">
        <v>147</v>
      </c>
      <c r="J1" s="234" t="s">
        <v>148</v>
      </c>
      <c r="K1" s="231" t="s">
        <v>149</v>
      </c>
      <c r="L1" s="235" t="s">
        <v>150</v>
      </c>
      <c r="M1" s="235" t="s">
        <v>151</v>
      </c>
      <c r="N1" s="235" t="s">
        <v>152</v>
      </c>
      <c r="O1" s="212" t="s">
        <v>153</v>
      </c>
      <c r="P1" s="215" t="s">
        <v>154</v>
      </c>
      <c r="Q1" s="218" t="s">
        <v>155</v>
      </c>
      <c r="R1" s="221" t="s">
        <v>156</v>
      </c>
      <c r="S1" s="226" t="s">
        <v>157</v>
      </c>
      <c r="T1" s="206" t="s">
        <v>158</v>
      </c>
      <c r="U1" s="207" t="s">
        <v>159</v>
      </c>
      <c r="V1" s="227" t="s">
        <v>160</v>
      </c>
      <c r="W1" s="229" t="s">
        <v>161</v>
      </c>
      <c r="X1" s="231" t="s">
        <v>162</v>
      </c>
      <c r="Y1" s="236" t="s">
        <v>163</v>
      </c>
      <c r="Z1" s="236" t="s">
        <v>164</v>
      </c>
      <c r="AA1" s="237" t="s">
        <v>165</v>
      </c>
    </row>
    <row r="2" spans="1:27" ht="14.45" customHeight="1">
      <c r="A2" s="202" t="s">
        <v>166</v>
      </c>
      <c r="B2" s="213">
        <v>2.5</v>
      </c>
      <c r="C2" s="216">
        <v>0</v>
      </c>
      <c r="D2" s="219">
        <v>2.38</v>
      </c>
      <c r="E2" s="222">
        <v>2.5</v>
      </c>
      <c r="F2" s="224">
        <v>2.5099999999999998</v>
      </c>
      <c r="G2" s="208">
        <v>0.81</v>
      </c>
      <c r="H2" s="209">
        <v>1.1000000000000001</v>
      </c>
      <c r="I2" s="238">
        <v>2.1</v>
      </c>
      <c r="J2" s="239">
        <v>2.8130000000000002</v>
      </c>
      <c r="K2" s="240">
        <v>1.5</v>
      </c>
      <c r="L2" s="241">
        <f>AVERAGE(B2,D2,E2,F2,G2,H2,I2,J2,K2)</f>
        <v>2.0236666666666667</v>
      </c>
      <c r="M2" s="241">
        <f>MODE(B2,D2,E2,F2,G2,H2,I2,J2,K2)</f>
        <v>2.5</v>
      </c>
      <c r="N2" s="241">
        <f>MEDIAN(B2,D2,E2,F2,G2,H2,I2,J2,K2)</f>
        <v>2.38</v>
      </c>
      <c r="O2" s="213">
        <f t="shared" ref="O2:O10" si="0">B2-L2</f>
        <v>0.47633333333333328</v>
      </c>
      <c r="P2" s="216">
        <f t="shared" ref="P2:P10" si="1">C2-L2</f>
        <v>-2.0236666666666667</v>
      </c>
      <c r="Q2" s="219">
        <f t="shared" ref="Q2:Q10" si="2">D2-L2</f>
        <v>0.35633333333333317</v>
      </c>
      <c r="R2" s="222">
        <f>E2-L2</f>
        <v>0.47633333333333328</v>
      </c>
      <c r="S2" s="224">
        <f t="shared" ref="S2:S10" si="3">F2-L2</f>
        <v>0.48633333333333306</v>
      </c>
      <c r="T2" s="208">
        <f t="shared" ref="T2:T10" si="4">G2-L2</f>
        <v>-1.2136666666666667</v>
      </c>
      <c r="U2" s="209">
        <f t="shared" ref="U2:U10" si="5">H2-L2</f>
        <v>-0.92366666666666664</v>
      </c>
      <c r="V2" s="228">
        <f t="shared" ref="V2:V10" si="6">I2-L2</f>
        <v>7.6333333333333364E-2</v>
      </c>
      <c r="W2" s="230">
        <f t="shared" ref="W2:W10" si="7">J2-L2</f>
        <v>0.78933333333333344</v>
      </c>
      <c r="X2" s="232">
        <f t="shared" ref="X2:X10" si="8">K2-L2</f>
        <v>-0.52366666666666672</v>
      </c>
      <c r="Y2" s="200">
        <f t="shared" ref="Y2:Y10" si="9">ABS(MIN(O2,P2,Q2,R2,S2,T2,U2,V2,W2,X2))</f>
        <v>2.0236666666666667</v>
      </c>
      <c r="Z2" s="200">
        <f t="shared" ref="Z2:Z10" si="10">MAX(O2,P2,Q2,R2,S2,T2,U2,V2,W2,X2)</f>
        <v>0.78933333333333344</v>
      </c>
      <c r="AA2" s="242">
        <f t="shared" ref="AA2:AA10" si="11">MAX(Y2,Z2)</f>
        <v>2.0236666666666667</v>
      </c>
    </row>
    <row r="3" spans="1:27" ht="14.45" customHeight="1">
      <c r="A3" s="202" t="s">
        <v>167</v>
      </c>
      <c r="B3" s="213">
        <v>13</v>
      </c>
      <c r="C3" s="216">
        <v>17.38</v>
      </c>
      <c r="D3" s="219">
        <v>26</v>
      </c>
      <c r="E3" s="222">
        <v>21</v>
      </c>
      <c r="F3" s="224">
        <v>21.6</v>
      </c>
      <c r="G3" s="208">
        <v>4.6760000000000002</v>
      </c>
      <c r="H3" s="209">
        <v>0.46200000000000002</v>
      </c>
      <c r="I3" s="238">
        <v>7</v>
      </c>
      <c r="J3" s="239">
        <v>33</v>
      </c>
      <c r="K3" s="240">
        <v>32</v>
      </c>
      <c r="L3" s="241">
        <f>AVERAGE(B3,C3,D3,E3,F3,G3,H3,I3,J3,K3)</f>
        <v>17.611799999999999</v>
      </c>
      <c r="M3" s="241" t="e">
        <f>MODE(B3,C3,D3,E3,F3,G3,H3,I3,J3,K3)</f>
        <v>#N/A</v>
      </c>
      <c r="N3" s="241">
        <f>MEDIAN(B3,C3,D3,E3,F3,G3,H3,I3,J3,K3)</f>
        <v>19.189999999999998</v>
      </c>
      <c r="O3" s="213">
        <f t="shared" si="0"/>
        <v>-4.6117999999999988</v>
      </c>
      <c r="P3" s="216">
        <f t="shared" si="1"/>
        <v>-0.23179999999999978</v>
      </c>
      <c r="Q3" s="219">
        <f t="shared" si="2"/>
        <v>8.3882000000000012</v>
      </c>
      <c r="R3" s="222">
        <f>J3-L3</f>
        <v>15.388200000000001</v>
      </c>
      <c r="S3" s="224">
        <f t="shared" si="3"/>
        <v>3.9882000000000026</v>
      </c>
      <c r="T3" s="208">
        <f t="shared" si="4"/>
        <v>-12.935799999999999</v>
      </c>
      <c r="U3" s="209">
        <f t="shared" si="5"/>
        <v>-17.149799999999999</v>
      </c>
      <c r="V3" s="228">
        <f t="shared" si="6"/>
        <v>-10.611799999999999</v>
      </c>
      <c r="W3" s="230">
        <f t="shared" si="7"/>
        <v>15.388200000000001</v>
      </c>
      <c r="X3" s="232">
        <f t="shared" si="8"/>
        <v>14.388200000000001</v>
      </c>
      <c r="Y3" s="200">
        <f t="shared" si="9"/>
        <v>17.149799999999999</v>
      </c>
      <c r="Z3" s="200">
        <f t="shared" si="10"/>
        <v>15.388200000000001</v>
      </c>
      <c r="AA3" s="242">
        <f t="shared" si="11"/>
        <v>17.149799999999999</v>
      </c>
    </row>
    <row r="4" spans="1:27" ht="14.45" customHeight="1">
      <c r="A4" s="202" t="s">
        <v>168</v>
      </c>
      <c r="B4" s="213">
        <v>13</v>
      </c>
      <c r="C4" s="216">
        <v>32.21</v>
      </c>
      <c r="D4" s="219">
        <v>26</v>
      </c>
      <c r="E4" s="222">
        <v>21</v>
      </c>
      <c r="F4" s="224">
        <v>21.6</v>
      </c>
      <c r="G4" s="208">
        <v>7.6319999999999997</v>
      </c>
      <c r="H4" s="209">
        <v>0.80700000000000005</v>
      </c>
      <c r="I4" s="238">
        <v>7</v>
      </c>
      <c r="J4" s="239">
        <v>38</v>
      </c>
      <c r="K4" s="240">
        <v>32</v>
      </c>
      <c r="L4" s="241">
        <f>AVERAGE(B4,C4,D4,E4,F4,G4,H4,I4,J4,K4)</f>
        <v>19.924900000000001</v>
      </c>
      <c r="M4" s="241" t="e">
        <f>MODE(B4,C4,D4,E4,F4,G4,H4,I4,J4,K4)</f>
        <v>#N/A</v>
      </c>
      <c r="N4" s="241">
        <f>MEDIAN(B4,C4,D4,E4,F4,G4,H4,I4,J4,K4)</f>
        <v>21.3</v>
      </c>
      <c r="O4" s="213">
        <f t="shared" si="0"/>
        <v>-6.9249000000000009</v>
      </c>
      <c r="P4" s="216">
        <f t="shared" si="1"/>
        <v>12.2851</v>
      </c>
      <c r="Q4" s="219">
        <f t="shared" si="2"/>
        <v>6.0750999999999991</v>
      </c>
      <c r="R4" s="222">
        <f>J4-L4</f>
        <v>18.075099999999999</v>
      </c>
      <c r="S4" s="224">
        <f t="shared" si="3"/>
        <v>1.6751000000000005</v>
      </c>
      <c r="T4" s="208">
        <f t="shared" si="4"/>
        <v>-12.292900000000001</v>
      </c>
      <c r="U4" s="209">
        <f t="shared" si="5"/>
        <v>-19.117900000000002</v>
      </c>
      <c r="V4" s="228">
        <f t="shared" si="6"/>
        <v>-12.924900000000001</v>
      </c>
      <c r="W4" s="230">
        <f t="shared" si="7"/>
        <v>18.075099999999999</v>
      </c>
      <c r="X4" s="232">
        <f t="shared" si="8"/>
        <v>12.075099999999999</v>
      </c>
      <c r="Y4" s="200">
        <f t="shared" si="9"/>
        <v>19.117900000000002</v>
      </c>
      <c r="Z4" s="200">
        <f t="shared" si="10"/>
        <v>18.075099999999999</v>
      </c>
      <c r="AA4" s="242">
        <f t="shared" si="11"/>
        <v>19.117900000000002</v>
      </c>
    </row>
    <row r="5" spans="1:27" ht="14.45" customHeight="1">
      <c r="A5" s="202" t="s">
        <v>169</v>
      </c>
      <c r="B5" s="213">
        <v>1.4</v>
      </c>
      <c r="C5" s="216">
        <v>4</v>
      </c>
      <c r="D5" s="219">
        <v>0</v>
      </c>
      <c r="E5" s="222">
        <v>0</v>
      </c>
      <c r="F5" s="224">
        <v>0</v>
      </c>
      <c r="G5" s="208">
        <v>0</v>
      </c>
      <c r="H5" s="209">
        <v>0</v>
      </c>
      <c r="I5" s="238">
        <v>0</v>
      </c>
      <c r="J5" s="239">
        <v>12.2</v>
      </c>
      <c r="K5" s="240">
        <v>1</v>
      </c>
      <c r="L5" s="241">
        <f>AVERAGE(B5,C5,J5,K5)</f>
        <v>4.6500000000000004</v>
      </c>
      <c r="M5" s="241" t="e">
        <f>MODE(B5,C5,J5,K5)</f>
        <v>#N/A</v>
      </c>
      <c r="N5" s="241">
        <f>MEDIAN(B5,C5,J5,K5)</f>
        <v>2.7</v>
      </c>
      <c r="O5" s="213">
        <f t="shared" si="0"/>
        <v>-3.2500000000000004</v>
      </c>
      <c r="P5" s="216">
        <f t="shared" si="1"/>
        <v>-0.65000000000000036</v>
      </c>
      <c r="Q5" s="219">
        <f t="shared" si="2"/>
        <v>-4.6500000000000004</v>
      </c>
      <c r="R5" s="222">
        <f>J5-L5</f>
        <v>7.5499999999999989</v>
      </c>
      <c r="S5" s="224">
        <f t="shared" si="3"/>
        <v>-4.6500000000000004</v>
      </c>
      <c r="T5" s="208">
        <f t="shared" si="4"/>
        <v>-4.6500000000000004</v>
      </c>
      <c r="U5" s="209">
        <f t="shared" si="5"/>
        <v>-4.6500000000000004</v>
      </c>
      <c r="V5" s="228">
        <f t="shared" si="6"/>
        <v>-4.6500000000000004</v>
      </c>
      <c r="W5" s="230">
        <f t="shared" si="7"/>
        <v>7.5499999999999989</v>
      </c>
      <c r="X5" s="232">
        <f t="shared" si="8"/>
        <v>-3.6500000000000004</v>
      </c>
      <c r="Y5" s="200">
        <f t="shared" si="9"/>
        <v>4.6500000000000004</v>
      </c>
      <c r="Z5" s="200">
        <f t="shared" si="10"/>
        <v>7.5499999999999989</v>
      </c>
      <c r="AA5" s="242">
        <f t="shared" si="11"/>
        <v>7.5499999999999989</v>
      </c>
    </row>
    <row r="6" spans="1:27" ht="14.45" customHeight="1">
      <c r="A6" s="203" t="s">
        <v>170</v>
      </c>
      <c r="B6" s="213">
        <v>2000</v>
      </c>
      <c r="C6" s="216">
        <v>20145.7</v>
      </c>
      <c r="D6" s="219">
        <v>0</v>
      </c>
      <c r="E6" s="222">
        <v>0</v>
      </c>
      <c r="F6" s="224">
        <v>0</v>
      </c>
      <c r="G6" s="208">
        <v>4356</v>
      </c>
      <c r="H6" s="209">
        <v>150</v>
      </c>
      <c r="I6" s="238">
        <v>0</v>
      </c>
      <c r="J6" s="239">
        <v>0</v>
      </c>
      <c r="K6" s="240">
        <v>0</v>
      </c>
      <c r="L6" s="241">
        <f>AVERAGE(B6,C6,G6,H6)</f>
        <v>6662.9250000000002</v>
      </c>
      <c r="M6" s="241" t="e">
        <f>MODE(B6,C6,G6,H6)</f>
        <v>#N/A</v>
      </c>
      <c r="N6" s="241">
        <f>MEDIAN(B6,C6,G6,H6)</f>
        <v>3178</v>
      </c>
      <c r="O6" s="213">
        <f t="shared" si="0"/>
        <v>-4662.9250000000002</v>
      </c>
      <c r="P6" s="216">
        <f t="shared" si="1"/>
        <v>13482.775000000001</v>
      </c>
      <c r="Q6" s="219">
        <f t="shared" si="2"/>
        <v>-6662.9250000000002</v>
      </c>
      <c r="R6" s="222">
        <f>J6-L6</f>
        <v>-6662.9250000000002</v>
      </c>
      <c r="S6" s="224">
        <f t="shared" si="3"/>
        <v>-6662.9250000000002</v>
      </c>
      <c r="T6" s="208">
        <f t="shared" si="4"/>
        <v>-2306.9250000000002</v>
      </c>
      <c r="U6" s="209">
        <f t="shared" si="5"/>
        <v>-6512.9250000000002</v>
      </c>
      <c r="V6" s="228">
        <f t="shared" si="6"/>
        <v>-6662.9250000000002</v>
      </c>
      <c r="W6" s="230">
        <f t="shared" si="7"/>
        <v>-6662.9250000000002</v>
      </c>
      <c r="X6" s="232">
        <f t="shared" si="8"/>
        <v>-6662.9250000000002</v>
      </c>
      <c r="Y6" s="200">
        <f t="shared" si="9"/>
        <v>6662.9250000000002</v>
      </c>
      <c r="Z6" s="200">
        <f t="shared" si="10"/>
        <v>13482.775000000001</v>
      </c>
      <c r="AA6" s="242">
        <f t="shared" si="11"/>
        <v>13482.775000000001</v>
      </c>
    </row>
    <row r="7" spans="1:27" ht="14.45" customHeight="1">
      <c r="A7" s="202" t="s">
        <v>171</v>
      </c>
      <c r="B7" s="213">
        <v>800</v>
      </c>
      <c r="C7" s="216">
        <v>8034.6</v>
      </c>
      <c r="D7" s="219">
        <v>2945</v>
      </c>
      <c r="E7" s="350">
        <v>2953</v>
      </c>
      <c r="F7" s="224">
        <v>2827</v>
      </c>
      <c r="G7" s="208">
        <v>2280</v>
      </c>
      <c r="H7" s="209">
        <v>300</v>
      </c>
      <c r="I7" s="238">
        <v>0</v>
      </c>
      <c r="J7" s="239">
        <v>0</v>
      </c>
      <c r="K7" s="240">
        <v>0</v>
      </c>
      <c r="L7" s="241">
        <f>AVERAGE(B7,C7,D7,E7,F7,G7,H7)</f>
        <v>2877.0857142857139</v>
      </c>
      <c r="M7" s="241" t="e">
        <f>MODE(B7,C7,D7,E7,F7,G7,H7)</f>
        <v>#N/A</v>
      </c>
      <c r="N7" s="241">
        <f>MEDIAN(B7,C7,D7,E7,F7,G7,H7)</f>
        <v>2827</v>
      </c>
      <c r="O7" s="213">
        <f t="shared" si="0"/>
        <v>-2077.0857142857139</v>
      </c>
      <c r="P7" s="216">
        <f t="shared" si="1"/>
        <v>5157.5142857142864</v>
      </c>
      <c r="Q7" s="219">
        <f t="shared" si="2"/>
        <v>67.914285714286052</v>
      </c>
      <c r="R7" s="222">
        <f>J7-L7</f>
        <v>-2877.0857142857139</v>
      </c>
      <c r="S7" s="224">
        <f t="shared" si="3"/>
        <v>-50.085714285713948</v>
      </c>
      <c r="T7" s="208">
        <f t="shared" si="4"/>
        <v>-597.08571428571395</v>
      </c>
      <c r="U7" s="209">
        <f t="shared" si="5"/>
        <v>-2577.0857142857139</v>
      </c>
      <c r="V7" s="228">
        <f t="shared" si="6"/>
        <v>-2877.0857142857139</v>
      </c>
      <c r="W7" s="230">
        <f t="shared" si="7"/>
        <v>-2877.0857142857139</v>
      </c>
      <c r="X7" s="232">
        <f t="shared" si="8"/>
        <v>-2877.0857142857139</v>
      </c>
      <c r="Y7" s="200">
        <f t="shared" si="9"/>
        <v>2877.0857142857139</v>
      </c>
      <c r="Z7" s="200">
        <f t="shared" si="10"/>
        <v>5157.5142857142864</v>
      </c>
      <c r="AA7" s="242">
        <f t="shared" si="11"/>
        <v>5157.5142857142864</v>
      </c>
    </row>
    <row r="8" spans="1:27" ht="14.45" customHeight="1">
      <c r="A8" s="202" t="s">
        <v>172</v>
      </c>
      <c r="B8" s="213">
        <v>0</v>
      </c>
      <c r="C8" s="216">
        <v>22.73</v>
      </c>
      <c r="D8" s="219" t="s">
        <v>173</v>
      </c>
      <c r="E8" s="222" t="s">
        <v>173</v>
      </c>
      <c r="F8" s="224" t="s">
        <v>173</v>
      </c>
      <c r="G8" s="208" t="s">
        <v>173</v>
      </c>
      <c r="H8" s="209" t="s">
        <v>173</v>
      </c>
      <c r="I8" s="238" t="s">
        <v>173</v>
      </c>
      <c r="J8" s="239" t="s">
        <v>173</v>
      </c>
      <c r="K8" s="240" t="s">
        <v>173</v>
      </c>
      <c r="L8" s="241">
        <f>AVERAGE(B8,C8,J8,K8)</f>
        <v>11.365</v>
      </c>
      <c r="M8" s="241" t="s">
        <v>173</v>
      </c>
      <c r="N8" s="241" t="s">
        <v>173</v>
      </c>
      <c r="O8" s="213">
        <f t="shared" si="0"/>
        <v>-11.365</v>
      </c>
      <c r="P8" s="216">
        <f t="shared" si="1"/>
        <v>11.365</v>
      </c>
      <c r="Q8" s="219" t="e">
        <f t="shared" si="2"/>
        <v>#VALUE!</v>
      </c>
      <c r="R8" s="222" t="s">
        <v>173</v>
      </c>
      <c r="S8" s="224" t="e">
        <f t="shared" si="3"/>
        <v>#VALUE!</v>
      </c>
      <c r="T8" s="208" t="e">
        <f t="shared" si="4"/>
        <v>#VALUE!</v>
      </c>
      <c r="U8" s="209" t="e">
        <f t="shared" si="5"/>
        <v>#VALUE!</v>
      </c>
      <c r="V8" s="228" t="e">
        <f t="shared" si="6"/>
        <v>#VALUE!</v>
      </c>
      <c r="W8" s="230" t="e">
        <f t="shared" si="7"/>
        <v>#VALUE!</v>
      </c>
      <c r="X8" s="232" t="e">
        <f t="shared" si="8"/>
        <v>#VALUE!</v>
      </c>
      <c r="Y8" s="200" t="e">
        <f t="shared" si="9"/>
        <v>#VALUE!</v>
      </c>
      <c r="Z8" s="200" t="e">
        <f t="shared" si="10"/>
        <v>#VALUE!</v>
      </c>
      <c r="AA8" s="242" t="e">
        <f t="shared" si="11"/>
        <v>#VALUE!</v>
      </c>
    </row>
    <row r="9" spans="1:27" ht="14.45" customHeight="1">
      <c r="A9" s="202" t="s">
        <v>174</v>
      </c>
      <c r="B9" s="213">
        <v>180</v>
      </c>
      <c r="C9" s="216">
        <v>0</v>
      </c>
      <c r="D9" s="219">
        <v>833</v>
      </c>
      <c r="E9" s="222">
        <v>319</v>
      </c>
      <c r="F9" s="224">
        <v>272</v>
      </c>
      <c r="G9" s="208">
        <v>0</v>
      </c>
      <c r="H9" s="209">
        <v>0</v>
      </c>
      <c r="I9" s="238">
        <v>0</v>
      </c>
      <c r="J9" s="239">
        <v>1428</v>
      </c>
      <c r="K9" s="240">
        <v>0</v>
      </c>
      <c r="L9" s="241">
        <f>AVERAGE(B9,D9,E9,F9,J9)</f>
        <v>606.4</v>
      </c>
      <c r="M9" s="241" t="e">
        <f>MODE(B9,D9,E9,F9,J9)</f>
        <v>#N/A</v>
      </c>
      <c r="N9" s="241">
        <f>MEDIAN(B9,D9,E9,F9,J9)</f>
        <v>319</v>
      </c>
      <c r="O9" s="213">
        <f t="shared" si="0"/>
        <v>-426.4</v>
      </c>
      <c r="P9" s="216">
        <f t="shared" si="1"/>
        <v>-606.4</v>
      </c>
      <c r="Q9" s="219">
        <f t="shared" si="2"/>
        <v>226.60000000000002</v>
      </c>
      <c r="R9" s="222">
        <f>J9-L9</f>
        <v>821.6</v>
      </c>
      <c r="S9" s="224">
        <f t="shared" si="3"/>
        <v>-334.4</v>
      </c>
      <c r="T9" s="208">
        <f t="shared" si="4"/>
        <v>-606.4</v>
      </c>
      <c r="U9" s="209">
        <f t="shared" si="5"/>
        <v>-606.4</v>
      </c>
      <c r="V9" s="228">
        <f t="shared" si="6"/>
        <v>-606.4</v>
      </c>
      <c r="W9" s="230">
        <f t="shared" si="7"/>
        <v>821.6</v>
      </c>
      <c r="X9" s="232">
        <f t="shared" si="8"/>
        <v>-606.4</v>
      </c>
      <c r="Y9" s="200">
        <f t="shared" si="9"/>
        <v>606.4</v>
      </c>
      <c r="Z9" s="200">
        <f t="shared" si="10"/>
        <v>821.6</v>
      </c>
      <c r="AA9" s="242">
        <f t="shared" si="11"/>
        <v>821.6</v>
      </c>
    </row>
    <row r="10" spans="1:27" ht="14.45" customHeight="1" thickBot="1">
      <c r="A10" s="204" t="s">
        <v>175</v>
      </c>
      <c r="B10" s="214">
        <v>0</v>
      </c>
      <c r="C10" s="217">
        <v>9.8000000000000007</v>
      </c>
      <c r="D10" s="220">
        <v>13.9</v>
      </c>
      <c r="E10" s="223">
        <v>13.9</v>
      </c>
      <c r="F10" s="225">
        <v>11.7</v>
      </c>
      <c r="G10" s="210">
        <v>7.6</v>
      </c>
      <c r="H10" s="211">
        <v>4.3</v>
      </c>
      <c r="I10" s="243">
        <v>10</v>
      </c>
      <c r="J10" s="244">
        <v>20</v>
      </c>
      <c r="K10" s="245">
        <v>7.5</v>
      </c>
      <c r="L10" s="246">
        <f>AVERAGE(C10,D10,E10,F10,G10,H10,I10,J10,K10)</f>
        <v>10.966666666666665</v>
      </c>
      <c r="M10" s="246">
        <f>MODE(D10,E10,F10,G10,H10,I10,J10,K10)</f>
        <v>13.9</v>
      </c>
      <c r="N10" s="246">
        <f>MEDIAN(D10,E10,F10,G10,H10,I10,J10,K10)</f>
        <v>10.85</v>
      </c>
      <c r="O10" s="214">
        <f t="shared" si="0"/>
        <v>-10.966666666666665</v>
      </c>
      <c r="P10" s="217">
        <f t="shared" si="1"/>
        <v>-1.1666666666666643</v>
      </c>
      <c r="Q10" s="219">
        <f t="shared" si="2"/>
        <v>2.9333333333333353</v>
      </c>
      <c r="R10" s="223">
        <f>J10-L10</f>
        <v>9.033333333333335</v>
      </c>
      <c r="S10" s="224">
        <f t="shared" si="3"/>
        <v>0.73333333333333428</v>
      </c>
      <c r="T10" s="208">
        <f t="shared" si="4"/>
        <v>-3.3666666666666654</v>
      </c>
      <c r="U10" s="209">
        <f t="shared" si="5"/>
        <v>-6.6666666666666652</v>
      </c>
      <c r="V10" s="228">
        <f t="shared" si="6"/>
        <v>-0.96666666666666501</v>
      </c>
      <c r="W10" s="230">
        <f t="shared" si="7"/>
        <v>9.033333333333335</v>
      </c>
      <c r="X10" s="232">
        <f t="shared" si="8"/>
        <v>-3.466666666666665</v>
      </c>
      <c r="Y10" s="200">
        <f t="shared" si="9"/>
        <v>10.966666666666665</v>
      </c>
      <c r="Z10" s="200">
        <f t="shared" si="10"/>
        <v>9.033333333333335</v>
      </c>
      <c r="AA10" s="242">
        <f t="shared" si="11"/>
        <v>10.966666666666665</v>
      </c>
    </row>
    <row r="11" spans="1:27" ht="14.45" customHeight="1" thickBo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4.45" customHeight="1">
      <c r="A12" s="201" t="s">
        <v>176</v>
      </c>
      <c r="B12" s="247" t="e">
        <f t="shared" ref="B12:K12" si="12">B2/(B10/100)</f>
        <v>#DIV/0!</v>
      </c>
      <c r="C12" s="247">
        <f t="shared" si="12"/>
        <v>0</v>
      </c>
      <c r="D12" s="247">
        <f t="shared" si="12"/>
        <v>17.122302158273378</v>
      </c>
      <c r="E12" s="247">
        <f t="shared" si="12"/>
        <v>17.985611510791365</v>
      </c>
      <c r="F12" s="247">
        <f t="shared" si="12"/>
        <v>21.452991452991451</v>
      </c>
      <c r="G12" s="247">
        <f t="shared" si="12"/>
        <v>10.657894736842106</v>
      </c>
      <c r="H12" s="247">
        <f t="shared" si="12"/>
        <v>25.581395348837212</v>
      </c>
      <c r="I12" s="247">
        <f t="shared" si="12"/>
        <v>21</v>
      </c>
      <c r="J12" s="247">
        <f t="shared" si="12"/>
        <v>14.065</v>
      </c>
      <c r="K12" s="248">
        <f t="shared" si="12"/>
        <v>20</v>
      </c>
      <c r="L12" s="14"/>
      <c r="M12" s="14"/>
      <c r="N12" s="14"/>
    </row>
    <row r="13" spans="1:27" ht="14.45" customHeight="1">
      <c r="A13" s="202" t="s">
        <v>177</v>
      </c>
      <c r="B13" s="199">
        <f t="shared" ref="B13:K13" si="13">B6/(B4*9.81)</f>
        <v>15.68258448992394</v>
      </c>
      <c r="C13" s="199">
        <f t="shared" si="13"/>
        <v>63.756230218295386</v>
      </c>
      <c r="D13" s="199">
        <f t="shared" si="13"/>
        <v>0</v>
      </c>
      <c r="E13" s="199">
        <f t="shared" si="13"/>
        <v>0</v>
      </c>
      <c r="F13" s="199">
        <f t="shared" si="13"/>
        <v>0</v>
      </c>
      <c r="G13" s="199">
        <f t="shared" si="13"/>
        <v>58.180908968514984</v>
      </c>
      <c r="H13" s="199">
        <f t="shared" si="13"/>
        <v>18.947360443216652</v>
      </c>
      <c r="I13" s="199">
        <f t="shared" si="13"/>
        <v>0</v>
      </c>
      <c r="J13" s="199">
        <f t="shared" si="13"/>
        <v>0</v>
      </c>
      <c r="K13" s="249">
        <f t="shared" si="13"/>
        <v>0</v>
      </c>
      <c r="L13" s="14"/>
      <c r="M13" s="14"/>
      <c r="N13" s="14"/>
    </row>
    <row r="14" spans="1:27" ht="14.45" customHeight="1">
      <c r="A14" s="202" t="s">
        <v>178</v>
      </c>
      <c r="B14" s="199">
        <f t="shared" ref="B14:K14" si="14">B7/(B4)</f>
        <v>61.53846153846154</v>
      </c>
      <c r="C14" s="199">
        <f t="shared" si="14"/>
        <v>249.44427196522818</v>
      </c>
      <c r="D14" s="199">
        <f t="shared" si="14"/>
        <v>113.26923076923077</v>
      </c>
      <c r="E14" s="199">
        <f t="shared" si="14"/>
        <v>140.61904761904762</v>
      </c>
      <c r="F14" s="199">
        <f t="shared" si="14"/>
        <v>130.87962962962962</v>
      </c>
      <c r="G14" s="199">
        <f t="shared" si="14"/>
        <v>298.74213836477986</v>
      </c>
      <c r="H14" s="199">
        <f t="shared" si="14"/>
        <v>371.74721189591077</v>
      </c>
      <c r="I14" s="199">
        <f t="shared" si="14"/>
        <v>0</v>
      </c>
      <c r="J14" s="199">
        <f t="shared" si="14"/>
        <v>0</v>
      </c>
      <c r="K14" s="249">
        <f t="shared" si="14"/>
        <v>0</v>
      </c>
      <c r="L14" s="14"/>
      <c r="M14" s="14"/>
      <c r="N14" s="14"/>
    </row>
    <row r="15" spans="1:27">
      <c r="A15" s="250" t="s">
        <v>179</v>
      </c>
      <c r="B15" s="199">
        <f>B14/9.81</f>
        <v>6.2730337959695754</v>
      </c>
      <c r="C15" s="199">
        <f t="shared" ref="C15:F15" si="15">C14/9.81</f>
        <v>25.427550659044666</v>
      </c>
      <c r="D15" s="199">
        <f t="shared" si="15"/>
        <v>11.5463028307065</v>
      </c>
      <c r="E15" s="199">
        <f t="shared" si="15"/>
        <v>14.334255618659288</v>
      </c>
      <c r="F15" s="199">
        <f t="shared" si="15"/>
        <v>13.341450522898024</v>
      </c>
      <c r="G15" s="199">
        <f>G14/9.81</f>
        <v>30.45281736644035</v>
      </c>
      <c r="H15" s="199">
        <f>H14/9.81</f>
        <v>37.894720886433305</v>
      </c>
      <c r="I15" s="199">
        <f>I14/9.81</f>
        <v>0</v>
      </c>
      <c r="J15" s="199">
        <f>J14/9.81</f>
        <v>0</v>
      </c>
      <c r="K15" s="249">
        <f>K14/9.81</f>
        <v>0</v>
      </c>
      <c r="L15" s="14"/>
      <c r="M15" s="14"/>
      <c r="N15" s="14"/>
    </row>
    <row r="16" spans="1:27">
      <c r="A16" s="202" t="s">
        <v>180</v>
      </c>
      <c r="B16" s="199">
        <f t="shared" ref="B16:K16" si="16">B7/(B4*9.81)</f>
        <v>6.2730337959695754</v>
      </c>
      <c r="C16" s="199">
        <f t="shared" si="16"/>
        <v>25.427550659044666</v>
      </c>
      <c r="D16" s="199">
        <f t="shared" si="16"/>
        <v>11.5463028307065</v>
      </c>
      <c r="E16" s="199">
        <f t="shared" si="16"/>
        <v>14.334255618659286</v>
      </c>
      <c r="F16" s="199">
        <f t="shared" si="16"/>
        <v>13.341450522898025</v>
      </c>
      <c r="G16" s="199">
        <f t="shared" si="16"/>
        <v>30.45281736644035</v>
      </c>
      <c r="H16" s="199">
        <f t="shared" si="16"/>
        <v>37.894720886433305</v>
      </c>
      <c r="I16" s="199">
        <f t="shared" si="16"/>
        <v>0</v>
      </c>
      <c r="J16" s="199">
        <f t="shared" si="16"/>
        <v>0</v>
      </c>
      <c r="K16" s="249">
        <f t="shared" si="16"/>
        <v>0</v>
      </c>
      <c r="L16" s="14"/>
      <c r="M16" s="14"/>
      <c r="N16" s="14"/>
    </row>
    <row r="17" spans="1:14" ht="15" thickBot="1">
      <c r="A17" s="204" t="s">
        <v>78</v>
      </c>
      <c r="B17" s="205">
        <f t="shared" ref="B17:K17" si="17">B9/330</f>
        <v>0.54545454545454541</v>
      </c>
      <c r="C17" s="205">
        <f t="shared" si="17"/>
        <v>0</v>
      </c>
      <c r="D17" s="205">
        <f t="shared" si="17"/>
        <v>2.5242424242424244</v>
      </c>
      <c r="E17" s="205">
        <f t="shared" si="17"/>
        <v>0.96666666666666667</v>
      </c>
      <c r="F17" s="205">
        <f t="shared" si="17"/>
        <v>0.82424242424242422</v>
      </c>
      <c r="G17" s="205">
        <f t="shared" si="17"/>
        <v>0</v>
      </c>
      <c r="H17" s="205">
        <f t="shared" si="17"/>
        <v>0</v>
      </c>
      <c r="I17" s="205">
        <f t="shared" si="17"/>
        <v>0</v>
      </c>
      <c r="J17" s="205">
        <f t="shared" si="17"/>
        <v>4.3272727272727272</v>
      </c>
      <c r="K17" s="251">
        <f t="shared" si="17"/>
        <v>0</v>
      </c>
      <c r="L17" s="14"/>
      <c r="M17" s="14"/>
      <c r="N17" s="14"/>
    </row>
    <row r="18" spans="1:14" ht="14.45" customHeight="1"/>
    <row r="19" spans="1:14">
      <c r="A19" s="13" t="s">
        <v>181</v>
      </c>
    </row>
    <row r="21" spans="1:14" ht="15">
      <c r="C21" s="306"/>
    </row>
  </sheetData>
  <autoFilter ref="A1:E8"/>
  <conditionalFormatting sqref="B9:F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K1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K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K1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K1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K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customProperties>
    <customPr name="DynardoMOPSolver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X104"/>
  <sheetViews>
    <sheetView zoomScale="91" zoomScaleNormal="70" workbookViewId="0">
      <pane xSplit="1" ySplit="9" topLeftCell="B16" activePane="bottomRight" state="frozen"/>
      <selection pane="topRight" activeCell="B1" sqref="B1"/>
      <selection pane="bottomLeft" activeCell="A9" sqref="A9"/>
      <selection pane="bottomRight" activeCell="C4" sqref="C4"/>
    </sheetView>
  </sheetViews>
  <sheetFormatPr defaultColWidth="8.875" defaultRowHeight="14.25"/>
  <cols>
    <col min="1" max="1" width="1.125" style="1" customWidth="1"/>
    <col min="2" max="2" width="20.75" style="1" bestFit="1" customWidth="1"/>
    <col min="3" max="3" width="15.875" style="1" bestFit="1" customWidth="1"/>
    <col min="4" max="4" width="12.75" style="1" customWidth="1"/>
    <col min="5" max="6" width="11.875" style="1" bestFit="1" customWidth="1"/>
    <col min="7" max="7" width="8.875" style="1"/>
    <col min="8" max="8" width="13.75" style="1" bestFit="1" customWidth="1"/>
    <col min="9" max="9" width="11.875" style="1" bestFit="1" customWidth="1"/>
    <col min="10" max="10" width="8.875" style="1"/>
    <col min="11" max="11" width="13.125" style="1" customWidth="1"/>
    <col min="12" max="12" width="11.875" style="1" bestFit="1" customWidth="1"/>
    <col min="13" max="13" width="3.375" style="1" customWidth="1"/>
    <col min="14" max="14" width="11.25" style="1" customWidth="1"/>
    <col min="15" max="15" width="16.25" style="1" customWidth="1"/>
    <col min="16" max="20" width="8.875" style="1"/>
    <col min="21" max="21" width="11.375" style="1" bestFit="1" customWidth="1"/>
    <col min="22" max="22" width="12" style="1" bestFit="1" customWidth="1"/>
    <col min="23" max="16384" width="8.875" style="1"/>
  </cols>
  <sheetData>
    <row r="1" spans="2:22" ht="15" thickBot="1"/>
    <row r="2" spans="2:22" ht="37.15" customHeight="1">
      <c r="B2" s="425" t="s">
        <v>182</v>
      </c>
      <c r="C2" s="427"/>
    </row>
    <row r="3" spans="2:22">
      <c r="B3" s="3" t="s">
        <v>562</v>
      </c>
      <c r="C3" s="4">
        <f>2.5</f>
        <v>2.5</v>
      </c>
    </row>
    <row r="4" spans="2:22">
      <c r="B4" s="3" t="s">
        <v>561</v>
      </c>
      <c r="C4" s="4">
        <v>8</v>
      </c>
    </row>
    <row r="5" spans="2:22">
      <c r="B5" s="164" t="s">
        <v>563</v>
      </c>
      <c r="C5" s="165">
        <v>15</v>
      </c>
    </row>
    <row r="6" spans="2:22">
      <c r="B6" s="164" t="s">
        <v>564</v>
      </c>
      <c r="C6" s="165">
        <v>10</v>
      </c>
    </row>
    <row r="7" spans="2:22">
      <c r="B7" s="164" t="s">
        <v>565</v>
      </c>
      <c r="C7" s="165">
        <v>30</v>
      </c>
    </row>
    <row r="8" spans="2:22">
      <c r="B8" s="164" t="s">
        <v>560</v>
      </c>
      <c r="C8" s="189">
        <f>(PI()*(DiameterRocket/100)^2)/4</f>
        <v>5.0265482457436689E-3</v>
      </c>
    </row>
    <row r="9" spans="2:22" ht="15" thickBot="1">
      <c r="B9" s="5" t="s">
        <v>566</v>
      </c>
      <c r="C9" s="6">
        <v>20</v>
      </c>
    </row>
    <row r="10" spans="2:22" ht="15" thickBot="1"/>
    <row r="11" spans="2:22" ht="45" customHeight="1" thickBot="1">
      <c r="B11" s="8" t="s">
        <v>183</v>
      </c>
    </row>
    <row r="12" spans="2:22" ht="15" thickBot="1">
      <c r="B12" s="7" t="s">
        <v>184</v>
      </c>
      <c r="C12" s="407" t="s">
        <v>185</v>
      </c>
      <c r="D12" s="408"/>
      <c r="E12" s="408"/>
      <c r="F12" s="408"/>
      <c r="G12" s="409"/>
      <c r="H12" s="1" t="s">
        <v>186</v>
      </c>
      <c r="I12" s="1" t="s">
        <v>187</v>
      </c>
      <c r="J12" s="1" t="s">
        <v>188</v>
      </c>
      <c r="L12" s="63"/>
      <c r="M12" s="63"/>
      <c r="N12" s="8" t="s">
        <v>184</v>
      </c>
      <c r="O12" s="407" t="s">
        <v>189</v>
      </c>
      <c r="P12" s="408"/>
      <c r="Q12" s="408"/>
      <c r="R12" s="408"/>
      <c r="S12" s="409"/>
      <c r="T12" s="1" t="s">
        <v>186</v>
      </c>
      <c r="U12" s="1" t="s">
        <v>187</v>
      </c>
      <c r="V12" s="1" t="s">
        <v>188</v>
      </c>
    </row>
    <row r="13" spans="2:22">
      <c r="B13" s="422" t="s">
        <v>190</v>
      </c>
      <c r="C13" s="70"/>
      <c r="D13" s="71"/>
      <c r="E13" s="71"/>
      <c r="F13" s="71"/>
      <c r="G13" s="72"/>
      <c r="H13" s="1">
        <v>0</v>
      </c>
      <c r="I13" s="1">
        <v>0</v>
      </c>
      <c r="J13" s="1">
        <f>I13*-1</f>
        <v>0</v>
      </c>
      <c r="L13" s="63"/>
      <c r="M13" s="63"/>
      <c r="N13" s="422" t="s">
        <v>190</v>
      </c>
      <c r="O13" s="70"/>
      <c r="P13" s="71"/>
      <c r="Q13" s="71"/>
      <c r="R13" s="71"/>
      <c r="S13" s="72"/>
      <c r="T13" s="1">
        <v>0</v>
      </c>
      <c r="U13" s="1">
        <v>0</v>
      </c>
      <c r="V13" s="1">
        <f>U13*-1</f>
        <v>0</v>
      </c>
    </row>
    <row r="14" spans="2:22">
      <c r="B14" s="423"/>
      <c r="C14" s="73"/>
      <c r="D14" s="63"/>
      <c r="E14" s="63"/>
      <c r="F14" s="63"/>
      <c r="G14" s="74"/>
      <c r="H14" s="1">
        <f>(D26/8/2)</f>
        <v>1.875</v>
      </c>
      <c r="I14" s="1">
        <f t="shared" ref="I14:I22" si="0">H14*$D$24</f>
        <v>0.25</v>
      </c>
      <c r="J14" s="1">
        <f t="shared" ref="J14:J22" si="1">I14*-1</f>
        <v>-0.25</v>
      </c>
      <c r="L14" s="63"/>
      <c r="M14" s="63"/>
      <c r="N14" s="423"/>
      <c r="O14" s="73"/>
      <c r="P14" s="63"/>
      <c r="Q14" s="63"/>
      <c r="R14" s="63"/>
      <c r="S14" s="74"/>
      <c r="T14" s="1">
        <f>(P26/8/2)</f>
        <v>1.875</v>
      </c>
      <c r="U14" s="1">
        <f t="shared" ref="U14:U22" si="2">SQRT(Rogive^2-(LargeOgive-T14)^2)-(Rogive-$P$25/2)</f>
        <v>0.49204644928391872</v>
      </c>
      <c r="V14" s="1">
        <f>-U14</f>
        <v>-0.49204644928391872</v>
      </c>
    </row>
    <row r="15" spans="2:22">
      <c r="B15" s="423"/>
      <c r="C15" s="73"/>
      <c r="D15" s="63"/>
      <c r="E15" s="63"/>
      <c r="F15" s="63"/>
      <c r="G15" s="74"/>
      <c r="H15" s="1">
        <f>($D$26/8)+H14</f>
        <v>5.625</v>
      </c>
      <c r="I15" s="1">
        <f t="shared" si="0"/>
        <v>0.75</v>
      </c>
      <c r="J15" s="1">
        <f t="shared" si="1"/>
        <v>-0.75</v>
      </c>
      <c r="L15" s="63"/>
      <c r="M15" s="63"/>
      <c r="N15" s="423"/>
      <c r="O15" s="73"/>
      <c r="P15" s="63"/>
      <c r="Q15" s="63"/>
      <c r="R15" s="63"/>
      <c r="S15" s="74"/>
      <c r="T15" s="1">
        <f>($D$26/8)+T14</f>
        <v>5.625</v>
      </c>
      <c r="U15" s="1">
        <f t="shared" si="2"/>
        <v>1.3754189936287986</v>
      </c>
      <c r="V15" s="1">
        <f t="shared" ref="V15:V22" si="3">-U15</f>
        <v>-1.3754189936287986</v>
      </c>
    </row>
    <row r="16" spans="2:22">
      <c r="B16" s="423"/>
      <c r="C16" s="73"/>
      <c r="D16" s="63"/>
      <c r="E16" s="63"/>
      <c r="F16" s="63"/>
      <c r="G16" s="74"/>
      <c r="H16" s="1">
        <f t="shared" ref="H16:H21" si="4">($D$26/8)+H15</f>
        <v>9.375</v>
      </c>
      <c r="I16" s="1">
        <f t="shared" si="0"/>
        <v>1.25</v>
      </c>
      <c r="J16" s="1">
        <f t="shared" si="1"/>
        <v>-1.25</v>
      </c>
      <c r="L16" s="63"/>
      <c r="M16" s="63"/>
      <c r="N16" s="423"/>
      <c r="O16" s="73"/>
      <c r="P16" s="63"/>
      <c r="Q16" s="63"/>
      <c r="R16" s="63"/>
      <c r="S16" s="74"/>
      <c r="T16" s="1">
        <f t="shared" ref="T16:T21" si="5">($D$26/8)+T15</f>
        <v>9.375</v>
      </c>
      <c r="U16" s="1">
        <f t="shared" si="2"/>
        <v>2.1270810018620665</v>
      </c>
      <c r="V16" s="1">
        <f t="shared" si="3"/>
        <v>-2.1270810018620665</v>
      </c>
    </row>
    <row r="17" spans="2:22">
      <c r="B17" s="423"/>
      <c r="C17" s="73"/>
      <c r="D17" s="63"/>
      <c r="E17" s="63"/>
      <c r="F17" s="63"/>
      <c r="G17" s="74"/>
      <c r="H17" s="1">
        <f t="shared" si="4"/>
        <v>13.125</v>
      </c>
      <c r="I17" s="1">
        <f t="shared" si="0"/>
        <v>1.75</v>
      </c>
      <c r="J17" s="1">
        <f t="shared" si="1"/>
        <v>-1.75</v>
      </c>
      <c r="L17" s="63"/>
      <c r="M17" s="63"/>
      <c r="N17" s="423"/>
      <c r="O17" s="73"/>
      <c r="P17" s="63"/>
      <c r="Q17" s="63"/>
      <c r="R17" s="63"/>
      <c r="S17" s="74"/>
      <c r="T17" s="1">
        <f t="shared" si="5"/>
        <v>13.125</v>
      </c>
      <c r="U17" s="1">
        <f t="shared" si="2"/>
        <v>2.7496550767374259</v>
      </c>
      <c r="V17" s="1">
        <f t="shared" si="3"/>
        <v>-2.7496550767374259</v>
      </c>
    </row>
    <row r="18" spans="2:22">
      <c r="B18" s="423"/>
      <c r="C18" s="73"/>
      <c r="D18" s="63"/>
      <c r="E18" s="63"/>
      <c r="F18" s="63"/>
      <c r="G18" s="74"/>
      <c r="H18" s="1">
        <f t="shared" si="4"/>
        <v>16.875</v>
      </c>
      <c r="I18" s="1">
        <f t="shared" si="0"/>
        <v>2.25</v>
      </c>
      <c r="J18" s="1">
        <f t="shared" si="1"/>
        <v>-2.25</v>
      </c>
      <c r="L18" s="63"/>
      <c r="M18" s="63"/>
      <c r="N18" s="423"/>
      <c r="O18" s="73"/>
      <c r="P18" s="63"/>
      <c r="Q18" s="63"/>
      <c r="R18" s="63"/>
      <c r="S18" s="74"/>
      <c r="T18" s="1">
        <f>($D$26/8)+T17</f>
        <v>16.875</v>
      </c>
      <c r="U18" s="1">
        <f t="shared" si="2"/>
        <v>3.2452608902894013</v>
      </c>
      <c r="V18" s="1">
        <f t="shared" si="3"/>
        <v>-3.2452608902894013</v>
      </c>
    </row>
    <row r="19" spans="2:22">
      <c r="B19" s="423"/>
      <c r="C19" s="73"/>
      <c r="D19" s="63"/>
      <c r="E19" s="63"/>
      <c r="F19" s="63"/>
      <c r="G19" s="74"/>
      <c r="H19" s="1">
        <f t="shared" si="4"/>
        <v>20.625</v>
      </c>
      <c r="I19" s="1">
        <f t="shared" si="0"/>
        <v>2.75</v>
      </c>
      <c r="J19" s="1">
        <f t="shared" si="1"/>
        <v>-2.75</v>
      </c>
      <c r="L19" s="63"/>
      <c r="M19" s="63"/>
      <c r="N19" s="423"/>
      <c r="O19" s="73"/>
      <c r="P19" s="63"/>
      <c r="Q19" s="63"/>
      <c r="R19" s="63"/>
      <c r="S19" s="74"/>
      <c r="T19" s="1">
        <f t="shared" si="5"/>
        <v>20.625</v>
      </c>
      <c r="U19" s="1">
        <f t="shared" si="2"/>
        <v>3.6155527305546542</v>
      </c>
      <c r="V19" s="1">
        <f t="shared" si="3"/>
        <v>-3.6155527305546542</v>
      </c>
    </row>
    <row r="20" spans="2:22">
      <c r="B20" s="423"/>
      <c r="C20" s="73"/>
      <c r="D20" s="63"/>
      <c r="E20" s="63"/>
      <c r="F20" s="63"/>
      <c r="G20" s="74"/>
      <c r="H20" s="1">
        <f t="shared" si="4"/>
        <v>24.375</v>
      </c>
      <c r="I20" s="1">
        <f t="shared" si="0"/>
        <v>3.25</v>
      </c>
      <c r="J20" s="1">
        <f t="shared" si="1"/>
        <v>-3.25</v>
      </c>
      <c r="L20" s="63"/>
      <c r="M20" s="63"/>
      <c r="N20" s="423"/>
      <c r="O20" s="73"/>
      <c r="P20" s="63"/>
      <c r="Q20" s="63"/>
      <c r="R20" s="63"/>
      <c r="S20" s="74"/>
      <c r="T20" s="1">
        <f t="shared" si="5"/>
        <v>24.375</v>
      </c>
      <c r="U20" s="1">
        <f t="shared" si="2"/>
        <v>3.8617478661462172</v>
      </c>
      <c r="V20" s="1">
        <f t="shared" si="3"/>
        <v>-3.8617478661462172</v>
      </c>
    </row>
    <row r="21" spans="2:22">
      <c r="B21" s="423"/>
      <c r="C21" s="73"/>
      <c r="D21" s="63"/>
      <c r="E21" s="63"/>
      <c r="F21" s="63"/>
      <c r="G21" s="74"/>
      <c r="H21" s="1">
        <f t="shared" si="4"/>
        <v>28.125</v>
      </c>
      <c r="I21" s="1">
        <f t="shared" si="0"/>
        <v>3.75</v>
      </c>
      <c r="J21" s="1">
        <f t="shared" si="1"/>
        <v>-3.75</v>
      </c>
      <c r="L21" s="63"/>
      <c r="M21" s="63"/>
      <c r="N21" s="423"/>
      <c r="O21" s="73"/>
      <c r="P21" s="63"/>
      <c r="Q21" s="63"/>
      <c r="R21" s="63"/>
      <c r="S21" s="74"/>
      <c r="T21" s="1">
        <f t="shared" si="5"/>
        <v>28.125</v>
      </c>
      <c r="U21" s="1">
        <f t="shared" si="2"/>
        <v>3.9846468964288704</v>
      </c>
      <c r="V21" s="1">
        <f t="shared" si="3"/>
        <v>-3.9846468964288704</v>
      </c>
    </row>
    <row r="22" spans="2:22" ht="15" thickBot="1">
      <c r="B22" s="423"/>
      <c r="C22" s="73"/>
      <c r="D22" s="63"/>
      <c r="E22" s="63"/>
      <c r="F22" s="63"/>
      <c r="G22" s="74"/>
      <c r="H22" s="1">
        <f>D26</f>
        <v>30</v>
      </c>
      <c r="I22" s="1">
        <f t="shared" si="0"/>
        <v>4</v>
      </c>
      <c r="J22" s="1">
        <f t="shared" si="1"/>
        <v>-4</v>
      </c>
      <c r="L22" s="63"/>
      <c r="M22" s="63"/>
      <c r="N22" s="424"/>
      <c r="O22" s="73"/>
      <c r="P22" s="63"/>
      <c r="Q22" s="63"/>
      <c r="R22" s="63"/>
      <c r="S22" s="74"/>
      <c r="T22" s="1">
        <f>P26</f>
        <v>30</v>
      </c>
      <c r="U22" s="1">
        <f t="shared" si="2"/>
        <v>4</v>
      </c>
      <c r="V22" s="1">
        <f t="shared" si="3"/>
        <v>-4</v>
      </c>
    </row>
    <row r="23" spans="2:22" ht="14.45" customHeight="1">
      <c r="B23" s="442" t="s">
        <v>191</v>
      </c>
      <c r="C23" s="65"/>
      <c r="D23" s="64" t="s">
        <v>186</v>
      </c>
      <c r="E23" s="64"/>
      <c r="F23" s="64"/>
      <c r="G23" s="64"/>
      <c r="K23" s="420"/>
      <c r="N23" s="441" t="s">
        <v>191</v>
      </c>
      <c r="O23" s="65" t="s">
        <v>192</v>
      </c>
      <c r="P23" s="64">
        <f>((P25/2)^2+P26^2)/(2*(P25/2))</f>
        <v>114.5</v>
      </c>
      <c r="Q23" s="64"/>
      <c r="R23" s="64"/>
      <c r="S23" s="64"/>
    </row>
    <row r="24" spans="2:22">
      <c r="B24" s="442"/>
      <c r="C24" s="66" t="s">
        <v>193</v>
      </c>
      <c r="D24" s="1">
        <f>(F25/2)/(F26)</f>
        <v>0.13333333333333333</v>
      </c>
      <c r="K24" s="420"/>
      <c r="N24" s="442"/>
      <c r="O24" s="66" t="s">
        <v>193</v>
      </c>
      <c r="P24" s="1" t="s">
        <v>194</v>
      </c>
    </row>
    <row r="25" spans="2:22">
      <c r="B25" s="442"/>
      <c r="C25" s="66" t="s">
        <v>195</v>
      </c>
      <c r="D25" s="1">
        <f>DiameterRocket</f>
        <v>8</v>
      </c>
      <c r="E25" s="1" t="s">
        <v>196</v>
      </c>
      <c r="F25" s="1">
        <f>D25/100</f>
        <v>0.08</v>
      </c>
      <c r="G25" s="1" t="s">
        <v>197</v>
      </c>
      <c r="K25" s="420"/>
      <c r="N25" s="442"/>
      <c r="O25" s="66" t="s">
        <v>195</v>
      </c>
      <c r="P25" s="1">
        <f>DiameterRocket</f>
        <v>8</v>
      </c>
      <c r="Q25" s="1" t="s">
        <v>196</v>
      </c>
      <c r="R25" s="1">
        <f>P25/100</f>
        <v>0.08</v>
      </c>
      <c r="S25" s="1" t="s">
        <v>197</v>
      </c>
    </row>
    <row r="26" spans="2:22" ht="14.45" customHeight="1">
      <c r="B26" s="442"/>
      <c r="C26" s="67" t="s">
        <v>198</v>
      </c>
      <c r="D26" s="68">
        <v>30</v>
      </c>
      <c r="E26" s="68" t="s">
        <v>196</v>
      </c>
      <c r="F26" s="68">
        <f>D26/100</f>
        <v>0.3</v>
      </c>
      <c r="G26" s="68" t="s">
        <v>197</v>
      </c>
      <c r="K26" s="420"/>
      <c r="N26" s="442"/>
      <c r="O26" s="67" t="s">
        <v>198</v>
      </c>
      <c r="P26" s="68">
        <v>30</v>
      </c>
      <c r="Q26" s="68" t="s">
        <v>196</v>
      </c>
      <c r="R26" s="68">
        <f>P26/100</f>
        <v>0.3</v>
      </c>
      <c r="S26" s="68" t="s">
        <v>197</v>
      </c>
    </row>
    <row r="27" spans="2:22" ht="29.45" customHeight="1">
      <c r="B27" s="2" t="s">
        <v>199</v>
      </c>
      <c r="C27" s="410" t="s">
        <v>200</v>
      </c>
      <c r="D27" s="410"/>
      <c r="E27" s="410"/>
      <c r="F27" s="410"/>
      <c r="G27" s="410"/>
      <c r="L27" s="63"/>
      <c r="M27" s="63"/>
      <c r="N27" s="2" t="s">
        <v>199</v>
      </c>
      <c r="O27" s="410" t="s">
        <v>200</v>
      </c>
      <c r="P27" s="410"/>
      <c r="Q27" s="410"/>
      <c r="R27" s="410"/>
      <c r="S27" s="410"/>
    </row>
    <row r="28" spans="2:22" ht="57">
      <c r="B28" s="2" t="s">
        <v>201</v>
      </c>
      <c r="C28" s="10" t="s">
        <v>202</v>
      </c>
      <c r="D28" s="9"/>
      <c r="E28" s="9"/>
      <c r="F28" s="9"/>
      <c r="G28" s="9"/>
      <c r="L28" s="69"/>
      <c r="M28" s="63"/>
      <c r="N28" s="2" t="s">
        <v>201</v>
      </c>
      <c r="O28" s="10" t="s">
        <v>202</v>
      </c>
      <c r="P28" s="9"/>
      <c r="Q28" s="9"/>
      <c r="R28" s="9"/>
      <c r="S28" s="9"/>
    </row>
    <row r="29" spans="2:22" ht="15" customHeight="1" thickBot="1"/>
    <row r="30" spans="2:22" ht="15" thickBot="1">
      <c r="B30" s="8" t="s">
        <v>184</v>
      </c>
      <c r="H30" s="1" t="s">
        <v>186</v>
      </c>
      <c r="I30" s="1" t="s">
        <v>187</v>
      </c>
      <c r="J30" s="1" t="s">
        <v>188</v>
      </c>
    </row>
    <row r="31" spans="2:22">
      <c r="B31" s="422" t="s">
        <v>203</v>
      </c>
      <c r="C31" s="425"/>
      <c r="D31" s="426"/>
      <c r="E31" s="426"/>
      <c r="F31" s="426"/>
      <c r="G31" s="427"/>
      <c r="H31" s="1">
        <f>H22</f>
        <v>30</v>
      </c>
      <c r="I31" s="1">
        <f>$D$42/2</f>
        <v>4</v>
      </c>
      <c r="J31" s="1">
        <f>I31*-1</f>
        <v>-4</v>
      </c>
    </row>
    <row r="32" spans="2:22">
      <c r="B32" s="423"/>
      <c r="C32" s="428"/>
      <c r="D32" s="417"/>
      <c r="E32" s="417"/>
      <c r="F32" s="417"/>
      <c r="G32" s="429"/>
      <c r="H32" s="12">
        <f>(D43/8/2)+H31</f>
        <v>36.25</v>
      </c>
      <c r="I32" s="1">
        <f t="shared" ref="I32:I40" si="6">$D$42/2</f>
        <v>4</v>
      </c>
      <c r="J32" s="1">
        <f t="shared" ref="J32:J40" si="7">I32*-1</f>
        <v>-4</v>
      </c>
    </row>
    <row r="33" spans="2:24">
      <c r="B33" s="423"/>
      <c r="C33" s="428"/>
      <c r="D33" s="417"/>
      <c r="E33" s="417"/>
      <c r="F33" s="417"/>
      <c r="G33" s="429"/>
      <c r="H33" s="12">
        <f>($D$43/8/2)*2+(H32)</f>
        <v>48.75</v>
      </c>
      <c r="I33" s="1">
        <f t="shared" si="6"/>
        <v>4</v>
      </c>
      <c r="J33" s="1">
        <f t="shared" si="7"/>
        <v>-4</v>
      </c>
    </row>
    <row r="34" spans="2:24">
      <c r="B34" s="423"/>
      <c r="C34" s="428"/>
      <c r="D34" s="417"/>
      <c r="E34" s="417"/>
      <c r="F34" s="417"/>
      <c r="G34" s="429"/>
      <c r="H34" s="12">
        <f t="shared" ref="H34:H39" si="8">($D$43/8/2)*2+(H33)</f>
        <v>61.25</v>
      </c>
      <c r="I34" s="1">
        <f t="shared" si="6"/>
        <v>4</v>
      </c>
      <c r="J34" s="1">
        <f t="shared" si="7"/>
        <v>-4</v>
      </c>
    </row>
    <row r="35" spans="2:24">
      <c r="B35" s="423"/>
      <c r="C35" s="428"/>
      <c r="D35" s="417"/>
      <c r="E35" s="417"/>
      <c r="F35" s="417"/>
      <c r="G35" s="429"/>
      <c r="H35" s="12">
        <f t="shared" si="8"/>
        <v>73.75</v>
      </c>
      <c r="I35" s="1">
        <f t="shared" si="6"/>
        <v>4</v>
      </c>
      <c r="J35" s="1">
        <f t="shared" si="7"/>
        <v>-4</v>
      </c>
    </row>
    <row r="36" spans="2:24">
      <c r="B36" s="423"/>
      <c r="C36" s="428"/>
      <c r="D36" s="417"/>
      <c r="E36" s="417"/>
      <c r="F36" s="417"/>
      <c r="G36" s="429"/>
      <c r="H36" s="12">
        <f t="shared" si="8"/>
        <v>86.25</v>
      </c>
      <c r="I36" s="1">
        <f t="shared" si="6"/>
        <v>4</v>
      </c>
      <c r="J36" s="1">
        <f t="shared" si="7"/>
        <v>-4</v>
      </c>
    </row>
    <row r="37" spans="2:24">
      <c r="B37" s="423"/>
      <c r="C37" s="428"/>
      <c r="D37" s="417"/>
      <c r="E37" s="417"/>
      <c r="F37" s="417"/>
      <c r="G37" s="429"/>
      <c r="H37" s="12">
        <f t="shared" si="8"/>
        <v>98.75</v>
      </c>
      <c r="I37" s="1">
        <f t="shared" si="6"/>
        <v>4</v>
      </c>
      <c r="J37" s="1">
        <f t="shared" si="7"/>
        <v>-4</v>
      </c>
    </row>
    <row r="38" spans="2:24">
      <c r="B38" s="423"/>
      <c r="C38" s="428"/>
      <c r="D38" s="417"/>
      <c r="E38" s="417"/>
      <c r="F38" s="417"/>
      <c r="G38" s="429"/>
      <c r="H38" s="12">
        <f t="shared" si="8"/>
        <v>111.25</v>
      </c>
      <c r="I38" s="1">
        <f t="shared" si="6"/>
        <v>4</v>
      </c>
      <c r="J38" s="1">
        <f t="shared" si="7"/>
        <v>-4</v>
      </c>
    </row>
    <row r="39" spans="2:24" ht="14.45" customHeight="1">
      <c r="B39" s="423"/>
      <c r="C39" s="428"/>
      <c r="D39" s="417"/>
      <c r="E39" s="417"/>
      <c r="F39" s="417"/>
      <c r="G39" s="429"/>
      <c r="H39" s="12">
        <f t="shared" si="8"/>
        <v>123.75</v>
      </c>
      <c r="I39" s="1">
        <f t="shared" si="6"/>
        <v>4</v>
      </c>
      <c r="J39" s="1">
        <f t="shared" si="7"/>
        <v>-4</v>
      </c>
    </row>
    <row r="40" spans="2:24" ht="15" thickBot="1">
      <c r="B40" s="424"/>
      <c r="C40" s="430"/>
      <c r="D40" s="431"/>
      <c r="E40" s="431"/>
      <c r="F40" s="431"/>
      <c r="G40" s="432"/>
      <c r="H40" s="12">
        <f>D43+H22</f>
        <v>130</v>
      </c>
      <c r="I40" s="1">
        <f t="shared" si="6"/>
        <v>4</v>
      </c>
      <c r="J40" s="1">
        <f t="shared" si="7"/>
        <v>-4</v>
      </c>
    </row>
    <row r="41" spans="2:24" ht="28.5">
      <c r="B41" s="410" t="s">
        <v>191</v>
      </c>
      <c r="C41" s="1" t="s">
        <v>204</v>
      </c>
      <c r="H41" s="12"/>
    </row>
    <row r="42" spans="2:24">
      <c r="B42" s="417"/>
      <c r="C42" s="1" t="s">
        <v>195</v>
      </c>
      <c r="D42" s="1">
        <f>DiameterRocket</f>
        <v>8</v>
      </c>
      <c r="E42" s="1" t="s">
        <v>196</v>
      </c>
      <c r="F42" s="1">
        <f>D42/100</f>
        <v>0.08</v>
      </c>
      <c r="G42" s="1" t="s">
        <v>197</v>
      </c>
      <c r="H42" s="12"/>
    </row>
    <row r="43" spans="2:24" ht="28.9" customHeight="1">
      <c r="B43" s="417"/>
      <c r="C43" s="1" t="s">
        <v>205</v>
      </c>
      <c r="D43" s="1">
        <v>100</v>
      </c>
      <c r="E43" s="1" t="s">
        <v>196</v>
      </c>
      <c r="F43" s="1">
        <f>D43/100</f>
        <v>1</v>
      </c>
      <c r="G43" s="1" t="s">
        <v>197</v>
      </c>
    </row>
    <row r="44" spans="2:24">
      <c r="B44" s="2" t="s">
        <v>199</v>
      </c>
      <c r="C44" s="417" t="s">
        <v>206</v>
      </c>
      <c r="D44" s="417"/>
      <c r="E44" s="417"/>
      <c r="F44" s="417"/>
      <c r="G44" s="417"/>
    </row>
    <row r="45" spans="2:24">
      <c r="B45" s="417" t="s">
        <v>201</v>
      </c>
    </row>
    <row r="46" spans="2:24">
      <c r="B46" s="417"/>
    </row>
    <row r="47" spans="2:24" ht="15" thickBot="1">
      <c r="B47" s="417"/>
    </row>
    <row r="48" spans="2:24" ht="15" customHeight="1" thickBot="1">
      <c r="K48" s="418" t="s">
        <v>207</v>
      </c>
      <c r="L48" s="419"/>
      <c r="W48" s="420" t="s">
        <v>207</v>
      </c>
      <c r="X48" s="420"/>
    </row>
    <row r="49" spans="2:24" ht="15" thickBot="1">
      <c r="B49" s="8" t="s">
        <v>184</v>
      </c>
      <c r="C49" s="418" t="s">
        <v>208</v>
      </c>
      <c r="D49" s="421"/>
      <c r="E49" s="421"/>
      <c r="F49" s="421"/>
      <c r="G49" s="419"/>
      <c r="H49" s="51" t="s">
        <v>186</v>
      </c>
      <c r="I49" s="52" t="s">
        <v>209</v>
      </c>
      <c r="J49" s="53" t="s">
        <v>210</v>
      </c>
      <c r="K49" s="51" t="s">
        <v>211</v>
      </c>
      <c r="L49" s="53" t="s">
        <v>209</v>
      </c>
      <c r="N49" s="8" t="s">
        <v>184</v>
      </c>
      <c r="O49" s="418" t="s">
        <v>212</v>
      </c>
      <c r="P49" s="421"/>
      <c r="Q49" s="421"/>
      <c r="R49" s="421"/>
      <c r="S49" s="419"/>
      <c r="T49" s="1" t="s">
        <v>186</v>
      </c>
      <c r="U49" s="1" t="s">
        <v>209</v>
      </c>
      <c r="V49" s="1" t="s">
        <v>210</v>
      </c>
      <c r="W49" s="1" t="s">
        <v>209</v>
      </c>
      <c r="X49" s="1" t="s">
        <v>213</v>
      </c>
    </row>
    <row r="50" spans="2:24">
      <c r="B50" s="422" t="s">
        <v>214</v>
      </c>
      <c r="C50" s="425"/>
      <c r="D50" s="426"/>
      <c r="E50" s="426"/>
      <c r="F50" s="426"/>
      <c r="G50" s="427"/>
      <c r="H50" s="85">
        <f>($H$40-D68-D65)</f>
        <v>110</v>
      </c>
      <c r="I50" s="86">
        <f t="shared" ref="I50:I58" si="9">IF(((($D$67)/($D$65-$D$64))*(H50-$H$50)+$I$40)&gt;($D$67+$I$40),($D$67+$I$40),(($D$67)/($D$65-$D$64))*(H50-$H$50)+$I$40)</f>
        <v>4</v>
      </c>
      <c r="J50" s="87">
        <f>I50*-1</f>
        <v>-4</v>
      </c>
      <c r="K50" s="91">
        <f>D61/D60</f>
        <v>93.999999999999986</v>
      </c>
      <c r="L50" s="92">
        <f>0</f>
        <v>0</v>
      </c>
      <c r="N50" s="422" t="s">
        <v>214</v>
      </c>
      <c r="O50" s="425"/>
      <c r="P50" s="426"/>
      <c r="Q50" s="426"/>
      <c r="R50" s="426"/>
      <c r="S50" s="427"/>
      <c r="T50" s="12">
        <f>($H$40-P68-P65)</f>
        <v>110</v>
      </c>
      <c r="U50" s="1">
        <f t="shared" ref="U50:U58" si="10">IF(((($D$67)/($D$65-$D$64))*(T50-$H$50)+$I$40)&gt;($D$67+$I$40),($D$67+$I$40),(($D$67)/($D$65-$D$64))*(T50-$H$50)+$I$40)</f>
        <v>4</v>
      </c>
      <c r="V50" s="12">
        <f>U50*-1</f>
        <v>-4</v>
      </c>
      <c r="W50" s="1">
        <f>0</f>
        <v>0</v>
      </c>
    </row>
    <row r="51" spans="2:24">
      <c r="B51" s="423"/>
      <c r="C51" s="428"/>
      <c r="D51" s="417"/>
      <c r="E51" s="417"/>
      <c r="F51" s="417"/>
      <c r="G51" s="429"/>
      <c r="H51" s="85">
        <f>(H58-H50)/8/2+H50</f>
        <v>110.9375</v>
      </c>
      <c r="I51" s="86">
        <f t="shared" si="9"/>
        <v>7.75</v>
      </c>
      <c r="J51" s="87">
        <f t="shared" ref="J51:J57" si="11">I51*-1</f>
        <v>-7.75</v>
      </c>
      <c r="K51" s="91">
        <f>H50</f>
        <v>110</v>
      </c>
      <c r="L51" s="92">
        <v>3</v>
      </c>
      <c r="N51" s="423"/>
      <c r="O51" s="428"/>
      <c r="P51" s="417"/>
      <c r="Q51" s="417"/>
      <c r="R51" s="417"/>
      <c r="S51" s="429"/>
      <c r="T51" s="1">
        <f>(T58-T50)/8/2+T50</f>
        <v>110.9375</v>
      </c>
      <c r="U51" s="1">
        <f t="shared" si="10"/>
        <v>7.75</v>
      </c>
      <c r="V51" s="12">
        <f t="shared" ref="V51:V57" si="12">U51*-1</f>
        <v>-7.75</v>
      </c>
      <c r="W51" s="1">
        <v>3</v>
      </c>
      <c r="X51" s="1">
        <v>-3</v>
      </c>
    </row>
    <row r="52" spans="2:24">
      <c r="B52" s="423"/>
      <c r="C52" s="428"/>
      <c r="D52" s="417"/>
      <c r="E52" s="417"/>
      <c r="F52" s="417"/>
      <c r="G52" s="429"/>
      <c r="H52" s="85">
        <f t="shared" ref="H52:H57" si="13">($H$58-$H$50)/8+H51</f>
        <v>112.8125</v>
      </c>
      <c r="I52" s="86">
        <f t="shared" si="9"/>
        <v>15.25</v>
      </c>
      <c r="J52" s="87">
        <f t="shared" si="11"/>
        <v>-15.25</v>
      </c>
      <c r="K52" s="85">
        <f>H51</f>
        <v>110.9375</v>
      </c>
      <c r="L52" s="87">
        <f>I51</f>
        <v>7.75</v>
      </c>
      <c r="N52" s="423"/>
      <c r="O52" s="428"/>
      <c r="P52" s="417"/>
      <c r="Q52" s="417"/>
      <c r="R52" s="417"/>
      <c r="S52" s="429"/>
      <c r="T52" s="1">
        <f t="shared" ref="T52:T57" si="14">($H$58-$H$50)/8+T51</f>
        <v>112.8125</v>
      </c>
      <c r="U52" s="1">
        <f t="shared" si="10"/>
        <v>15.25</v>
      </c>
      <c r="V52" s="12">
        <f t="shared" si="12"/>
        <v>-15.25</v>
      </c>
      <c r="W52" s="1">
        <v>3.46875</v>
      </c>
      <c r="X52" s="1">
        <v>-3.46875</v>
      </c>
    </row>
    <row r="53" spans="2:24">
      <c r="B53" s="423"/>
      <c r="C53" s="428"/>
      <c r="D53" s="417"/>
      <c r="E53" s="417"/>
      <c r="F53" s="417"/>
      <c r="G53" s="429"/>
      <c r="H53" s="85">
        <f t="shared" si="13"/>
        <v>114.6875</v>
      </c>
      <c r="I53" s="86">
        <f t="shared" si="9"/>
        <v>22.75</v>
      </c>
      <c r="J53" s="87">
        <f t="shared" si="11"/>
        <v>-22.75</v>
      </c>
      <c r="K53" s="85">
        <f t="shared" ref="K53:K57" si="15">H52</f>
        <v>112.8125</v>
      </c>
      <c r="L53" s="87">
        <f t="shared" ref="L53:L57" si="16">I52</f>
        <v>15.25</v>
      </c>
      <c r="N53" s="423"/>
      <c r="O53" s="428"/>
      <c r="P53" s="417"/>
      <c r="Q53" s="417"/>
      <c r="R53" s="417"/>
      <c r="S53" s="429"/>
      <c r="T53" s="1">
        <f t="shared" si="14"/>
        <v>114.6875</v>
      </c>
      <c r="U53" s="1">
        <f t="shared" si="10"/>
        <v>22.75</v>
      </c>
      <c r="V53" s="12">
        <f t="shared" si="12"/>
        <v>-22.75</v>
      </c>
      <c r="W53" s="1">
        <v>4.40625</v>
      </c>
      <c r="X53" s="1">
        <v>-4.40625</v>
      </c>
    </row>
    <row r="54" spans="2:24">
      <c r="B54" s="423"/>
      <c r="C54" s="428"/>
      <c r="D54" s="417"/>
      <c r="E54" s="417"/>
      <c r="F54" s="417"/>
      <c r="G54" s="429"/>
      <c r="H54" s="85">
        <f t="shared" si="13"/>
        <v>116.5625</v>
      </c>
      <c r="I54" s="86">
        <f t="shared" si="9"/>
        <v>24</v>
      </c>
      <c r="J54" s="87">
        <f t="shared" si="11"/>
        <v>-24</v>
      </c>
      <c r="K54" s="85">
        <f t="shared" si="15"/>
        <v>114.6875</v>
      </c>
      <c r="L54" s="87">
        <f t="shared" si="16"/>
        <v>22.75</v>
      </c>
      <c r="N54" s="423"/>
      <c r="O54" s="428"/>
      <c r="P54" s="417"/>
      <c r="Q54" s="417"/>
      <c r="R54" s="417"/>
      <c r="S54" s="429"/>
      <c r="T54" s="1">
        <f t="shared" si="14"/>
        <v>116.5625</v>
      </c>
      <c r="U54" s="1">
        <f t="shared" si="10"/>
        <v>24</v>
      </c>
      <c r="V54" s="12">
        <f t="shared" si="12"/>
        <v>-24</v>
      </c>
      <c r="W54" s="1">
        <v>5.34375</v>
      </c>
      <c r="X54" s="1">
        <v>-5.34375</v>
      </c>
    </row>
    <row r="55" spans="2:24">
      <c r="B55" s="423"/>
      <c r="C55" s="428"/>
      <c r="D55" s="417"/>
      <c r="E55" s="417"/>
      <c r="F55" s="417"/>
      <c r="G55" s="429"/>
      <c r="H55" s="85">
        <f t="shared" si="13"/>
        <v>118.4375</v>
      </c>
      <c r="I55" s="86">
        <f t="shared" si="9"/>
        <v>24</v>
      </c>
      <c r="J55" s="87">
        <f t="shared" si="11"/>
        <v>-24</v>
      </c>
      <c r="K55" s="85">
        <f t="shared" si="15"/>
        <v>116.5625</v>
      </c>
      <c r="L55" s="87">
        <f t="shared" si="16"/>
        <v>24</v>
      </c>
      <c r="N55" s="423"/>
      <c r="O55" s="428"/>
      <c r="P55" s="417"/>
      <c r="Q55" s="417"/>
      <c r="R55" s="417"/>
      <c r="S55" s="429"/>
      <c r="T55" s="1">
        <f t="shared" si="14"/>
        <v>118.4375</v>
      </c>
      <c r="U55" s="1">
        <f t="shared" si="10"/>
        <v>24</v>
      </c>
      <c r="V55" s="12">
        <f t="shared" si="12"/>
        <v>-24</v>
      </c>
      <c r="W55" s="1">
        <v>6.28125</v>
      </c>
      <c r="X55" s="1">
        <v>-6.28125</v>
      </c>
    </row>
    <row r="56" spans="2:24">
      <c r="B56" s="423"/>
      <c r="C56" s="428"/>
      <c r="D56" s="417"/>
      <c r="E56" s="417"/>
      <c r="F56" s="417"/>
      <c r="G56" s="429"/>
      <c r="H56" s="85">
        <f t="shared" si="13"/>
        <v>120.3125</v>
      </c>
      <c r="I56" s="86">
        <f t="shared" si="9"/>
        <v>24</v>
      </c>
      <c r="J56" s="87">
        <f t="shared" si="11"/>
        <v>-24</v>
      </c>
      <c r="K56" s="85">
        <f t="shared" si="15"/>
        <v>118.4375</v>
      </c>
      <c r="L56" s="87">
        <f t="shared" si="16"/>
        <v>24</v>
      </c>
      <c r="N56" s="423"/>
      <c r="O56" s="428"/>
      <c r="P56" s="417"/>
      <c r="Q56" s="417"/>
      <c r="R56" s="417"/>
      <c r="S56" s="429"/>
      <c r="T56" s="1">
        <f t="shared" si="14"/>
        <v>120.3125</v>
      </c>
      <c r="U56" s="1">
        <f t="shared" si="10"/>
        <v>24</v>
      </c>
      <c r="V56" s="12">
        <f t="shared" si="12"/>
        <v>-24</v>
      </c>
      <c r="W56" s="1">
        <v>7.21875</v>
      </c>
      <c r="X56" s="1">
        <v>-7.21875</v>
      </c>
    </row>
    <row r="57" spans="2:24">
      <c r="B57" s="423"/>
      <c r="C57" s="428"/>
      <c r="D57" s="417"/>
      <c r="E57" s="417"/>
      <c r="F57" s="417"/>
      <c r="G57" s="429"/>
      <c r="H57" s="85">
        <f t="shared" si="13"/>
        <v>122.1875</v>
      </c>
      <c r="I57" s="86">
        <f t="shared" si="9"/>
        <v>24</v>
      </c>
      <c r="J57" s="87">
        <f t="shared" si="11"/>
        <v>-24</v>
      </c>
      <c r="K57" s="85">
        <f t="shared" si="15"/>
        <v>120.3125</v>
      </c>
      <c r="L57" s="87">
        <f t="shared" si="16"/>
        <v>24</v>
      </c>
      <c r="N57" s="423"/>
      <c r="O57" s="428"/>
      <c r="P57" s="417"/>
      <c r="Q57" s="417"/>
      <c r="R57" s="417"/>
      <c r="S57" s="429"/>
      <c r="T57" s="1">
        <f t="shared" si="14"/>
        <v>122.1875</v>
      </c>
      <c r="U57" s="1">
        <f t="shared" si="10"/>
        <v>24</v>
      </c>
      <c r="V57" s="12">
        <f t="shared" si="12"/>
        <v>-24</v>
      </c>
      <c r="W57" s="1">
        <v>8</v>
      </c>
      <c r="X57" s="1">
        <v>-8</v>
      </c>
    </row>
    <row r="58" spans="2:24">
      <c r="B58" s="423"/>
      <c r="C58" s="428"/>
      <c r="D58" s="417"/>
      <c r="E58" s="417"/>
      <c r="F58" s="417"/>
      <c r="G58" s="429"/>
      <c r="H58" s="85">
        <f>$H$50+D65</f>
        <v>125</v>
      </c>
      <c r="I58" s="86">
        <f t="shared" si="9"/>
        <v>24</v>
      </c>
      <c r="J58" s="87">
        <f>I58*-1</f>
        <v>-24</v>
      </c>
      <c r="K58" s="85">
        <f>H58</f>
        <v>125</v>
      </c>
      <c r="L58" s="87">
        <f>IF(((($D$67)/($D$65-$D$64))*(K58-$H$50)+$I$40)&gt;($D$67+$I$40),($D$67+$I$40),(($D$67)/($D$65-$D$64))*(K58-$H$50)+$I$40)</f>
        <v>24</v>
      </c>
      <c r="N58" s="423"/>
      <c r="O58" s="428"/>
      <c r="P58" s="417"/>
      <c r="Q58" s="417"/>
      <c r="R58" s="417"/>
      <c r="S58" s="429"/>
      <c r="T58" s="12">
        <f>$H$50+P65</f>
        <v>125</v>
      </c>
      <c r="U58" s="1">
        <f t="shared" si="10"/>
        <v>24</v>
      </c>
      <c r="V58" s="12">
        <f>U58*-1</f>
        <v>-24</v>
      </c>
      <c r="W58" s="1">
        <v>8</v>
      </c>
      <c r="X58" s="1">
        <v>-8</v>
      </c>
    </row>
    <row r="59" spans="2:24" ht="15" customHeight="1" thickBot="1">
      <c r="B59" s="424"/>
      <c r="C59" s="433"/>
      <c r="D59" s="434"/>
      <c r="E59" s="434"/>
      <c r="F59" s="434"/>
      <c r="G59" s="435"/>
      <c r="H59" s="88">
        <f>H58</f>
        <v>125</v>
      </c>
      <c r="I59" s="89">
        <f>IF(((($D$67)/($D$65-$D$64))*(H59-$H$50)+$I$40)&gt;($D$67+$I$40),($D$67+$I$40),(($D$67)/($D$65-$D$64))*(H59-$H$50)+$I$40)-IF(((($D$67)/($D$65-$D$64))*(H59-$H$50)+$I$40)&gt;($D$67+$I$40),($D$67+$I$40),(($D$67)/($D$65-$D$64))*(H59-$H$50)+$I$40)+$I$40</f>
        <v>4</v>
      </c>
      <c r="J59" s="90">
        <f>I59*-1</f>
        <v>-4</v>
      </c>
      <c r="K59" s="91">
        <f>K58</f>
        <v>125</v>
      </c>
      <c r="L59" s="92">
        <f>L50</f>
        <v>0</v>
      </c>
      <c r="N59" s="424"/>
      <c r="O59" s="430"/>
      <c r="P59" s="431"/>
      <c r="Q59" s="431"/>
      <c r="R59" s="431"/>
      <c r="S59" s="432"/>
      <c r="T59" s="12">
        <f>T58</f>
        <v>125</v>
      </c>
      <c r="U59" s="1">
        <f>IF(((($D$67)/($D$65-$D$64))*(T59-$H$50)+$I$40)&gt;($D$67+$I$40),($D$67+$I$40),(($D$67)/($D$65-$D$64))*(T59-$H$50)+$I$40)-IF(((($D$67)/($D$65-$D$64))*(T59-$H$50)+$I$40)&gt;($D$67+$I$40),($D$67+$I$40),(($D$67)/($D$65-$D$64))*(T59-$H$50)+$I$40)+$I$40</f>
        <v>4</v>
      </c>
      <c r="V59" s="12">
        <f>U59*-1</f>
        <v>-4</v>
      </c>
    </row>
    <row r="60" spans="2:24" ht="16.149999999999999" customHeight="1">
      <c r="B60" s="436" t="s">
        <v>191</v>
      </c>
      <c r="C60" s="81" t="s">
        <v>215</v>
      </c>
      <c r="D60" s="54">
        <f>TAN(RADIANS(F60))</f>
        <v>0.24999999999999981</v>
      </c>
      <c r="E60" s="75" t="s">
        <v>216</v>
      </c>
      <c r="F60" s="56">
        <f>90-DEGREES(ATAN(D67/(D65-D64)))</f>
        <v>14.036243467926468</v>
      </c>
      <c r="G60" s="57" t="s">
        <v>217</v>
      </c>
      <c r="H60" s="411" t="s">
        <v>218</v>
      </c>
      <c r="I60" s="412"/>
      <c r="J60" s="413"/>
      <c r="K60" s="81" t="s">
        <v>219</v>
      </c>
      <c r="L60" s="57">
        <f>K67^2/K68</f>
        <v>1.1707317073170729</v>
      </c>
      <c r="N60" s="410" t="s">
        <v>191</v>
      </c>
      <c r="O60" s="1" t="s">
        <v>220</v>
      </c>
    </row>
    <row r="61" spans="2:24" ht="16.149999999999999" customHeight="1" thickBot="1">
      <c r="B61" s="437"/>
      <c r="C61" s="80" t="s">
        <v>221</v>
      </c>
      <c r="D61" s="82">
        <f>-I50+D60*H50</f>
        <v>23.499999999999979</v>
      </c>
      <c r="E61" s="77"/>
      <c r="F61" s="61"/>
      <c r="G61" s="62"/>
      <c r="H61" s="414"/>
      <c r="I61" s="415"/>
      <c r="J61" s="416"/>
      <c r="K61" s="80"/>
      <c r="L61" s="62"/>
      <c r="N61" s="410"/>
    </row>
    <row r="62" spans="2:24" ht="27.6" customHeight="1">
      <c r="B62" s="437"/>
      <c r="C62" s="79" t="s">
        <v>222</v>
      </c>
      <c r="D62" s="188">
        <f>(D63/1000)*(I63/100)</f>
        <v>2.9999999999999997E-4</v>
      </c>
      <c r="E62" s="1" t="s">
        <v>223</v>
      </c>
      <c r="H62" s="83" t="s">
        <v>224</v>
      </c>
      <c r="I62" s="1" t="s">
        <v>225</v>
      </c>
      <c r="L62" s="59"/>
      <c r="N62" s="410"/>
    </row>
    <row r="63" spans="2:24" ht="27.6" customHeight="1">
      <c r="B63" s="437"/>
      <c r="C63" s="79" t="s">
        <v>226</v>
      </c>
      <c r="D63" s="78">
        <v>2</v>
      </c>
      <c r="E63" s="1" t="s">
        <v>227</v>
      </c>
      <c r="H63" s="76" t="s">
        <v>228</v>
      </c>
      <c r="I63" s="1">
        <v>15</v>
      </c>
      <c r="L63" s="59"/>
      <c r="N63" s="410"/>
    </row>
    <row r="64" spans="2:24">
      <c r="B64" s="438"/>
      <c r="C64" s="76" t="s">
        <v>229</v>
      </c>
      <c r="D64" s="58">
        <f>C6</f>
        <v>10</v>
      </c>
      <c r="E64" s="1" t="s">
        <v>196</v>
      </c>
      <c r="F64" s="1">
        <f>D64/100</f>
        <v>0.1</v>
      </c>
      <c r="G64" s="1" t="s">
        <v>197</v>
      </c>
      <c r="H64" s="76" t="s">
        <v>229</v>
      </c>
      <c r="I64" s="1">
        <f>D64</f>
        <v>10</v>
      </c>
      <c r="J64" s="1" t="s">
        <v>196</v>
      </c>
      <c r="K64" s="1">
        <f>I64/100</f>
        <v>0.1</v>
      </c>
      <c r="L64" s="59" t="s">
        <v>197</v>
      </c>
      <c r="N64" s="410"/>
      <c r="O64" s="1" t="s">
        <v>229</v>
      </c>
      <c r="P64" s="1">
        <f>C6</f>
        <v>10</v>
      </c>
      <c r="Q64" s="1" t="s">
        <v>196</v>
      </c>
      <c r="R64" s="1">
        <f>P64/100</f>
        <v>0.1</v>
      </c>
      <c r="S64" s="1" t="s">
        <v>197</v>
      </c>
    </row>
    <row r="65" spans="2:19">
      <c r="B65" s="439"/>
      <c r="C65" s="76" t="s">
        <v>230</v>
      </c>
      <c r="D65" s="58">
        <f>C5</f>
        <v>15</v>
      </c>
      <c r="E65" s="1" t="s">
        <v>196</v>
      </c>
      <c r="F65" s="1">
        <f>D65/100</f>
        <v>0.15</v>
      </c>
      <c r="G65" s="1" t="s">
        <v>197</v>
      </c>
      <c r="H65" s="76" t="s">
        <v>230</v>
      </c>
      <c r="I65" s="12">
        <f>K59-K50</f>
        <v>31.000000000000014</v>
      </c>
      <c r="J65" s="1" t="s">
        <v>196</v>
      </c>
      <c r="K65" s="1">
        <f t="shared" ref="K65:K67" si="17">I65/100</f>
        <v>0.31000000000000016</v>
      </c>
      <c r="L65" s="59" t="s">
        <v>197</v>
      </c>
      <c r="N65" s="417"/>
      <c r="O65" s="1" t="s">
        <v>230</v>
      </c>
      <c r="P65" s="1">
        <f>C5</f>
        <v>15</v>
      </c>
      <c r="Q65" s="1" t="s">
        <v>196</v>
      </c>
      <c r="R65" s="1">
        <f>P65/100</f>
        <v>0.15</v>
      </c>
      <c r="S65" s="1" t="s">
        <v>197</v>
      </c>
    </row>
    <row r="66" spans="2:19">
      <c r="B66" s="439"/>
      <c r="C66" s="76" t="s">
        <v>231</v>
      </c>
      <c r="D66" s="58">
        <f>D64/D65</f>
        <v>0.66666666666666663</v>
      </c>
      <c r="E66" s="1" t="s">
        <v>194</v>
      </c>
      <c r="H66" s="76" t="s">
        <v>231</v>
      </c>
      <c r="I66" s="1">
        <f>I64/I65</f>
        <v>0.32258064516129015</v>
      </c>
      <c r="J66" s="1" t="s">
        <v>194</v>
      </c>
      <c r="K66" s="1">
        <f>I66</f>
        <v>0.32258064516129015</v>
      </c>
      <c r="L66" s="59"/>
      <c r="N66" s="417"/>
    </row>
    <row r="67" spans="2:19">
      <c r="B67" s="439"/>
      <c r="C67" s="76" t="s">
        <v>232</v>
      </c>
      <c r="D67" s="58">
        <f>C9</f>
        <v>20</v>
      </c>
      <c r="E67" s="1" t="s">
        <v>196</v>
      </c>
      <c r="F67" s="1">
        <f>D67/100</f>
        <v>0.2</v>
      </c>
      <c r="G67" s="1" t="s">
        <v>197</v>
      </c>
      <c r="H67" s="76" t="s">
        <v>233</v>
      </c>
      <c r="I67" s="1">
        <f>(D67+D42/2)*2</f>
        <v>48</v>
      </c>
      <c r="J67" s="1" t="s">
        <v>196</v>
      </c>
      <c r="K67" s="1">
        <f t="shared" si="17"/>
        <v>0.48</v>
      </c>
      <c r="L67" s="59" t="s">
        <v>197</v>
      </c>
      <c r="N67" s="417"/>
      <c r="O67" s="1" t="s">
        <v>232</v>
      </c>
      <c r="P67" s="1">
        <f>C9</f>
        <v>20</v>
      </c>
      <c r="Q67" s="1" t="s">
        <v>196</v>
      </c>
      <c r="R67" s="1">
        <f>P67/100</f>
        <v>0.2</v>
      </c>
      <c r="S67" s="1" t="s">
        <v>197</v>
      </c>
    </row>
    <row r="68" spans="2:19" ht="29.25" thickBot="1">
      <c r="B68" s="440"/>
      <c r="C68" s="77" t="s">
        <v>234</v>
      </c>
      <c r="D68" s="60">
        <v>5</v>
      </c>
      <c r="E68" s="61" t="s">
        <v>196</v>
      </c>
      <c r="F68" s="61">
        <f>D68/100</f>
        <v>0.05</v>
      </c>
      <c r="G68" s="61" t="s">
        <v>197</v>
      </c>
      <c r="H68" s="77" t="s">
        <v>235</v>
      </c>
      <c r="I68" s="61">
        <f>(I64+I65)*(I67/2)</f>
        <v>984.00000000000034</v>
      </c>
      <c r="J68" s="61" t="s">
        <v>236</v>
      </c>
      <c r="K68" s="61">
        <f>(K64+K65)*K67</f>
        <v>0.19680000000000006</v>
      </c>
      <c r="L68" s="62" t="s">
        <v>223</v>
      </c>
      <c r="N68" s="417"/>
      <c r="O68" s="1" t="s">
        <v>234</v>
      </c>
      <c r="P68" s="1">
        <v>5</v>
      </c>
      <c r="Q68" s="1" t="s">
        <v>196</v>
      </c>
      <c r="R68" s="1">
        <f>P68/100</f>
        <v>0.05</v>
      </c>
      <c r="S68" s="1" t="s">
        <v>197</v>
      </c>
    </row>
    <row r="69" spans="2:19" ht="72.599999999999994" customHeight="1">
      <c r="B69" s="55" t="s">
        <v>199</v>
      </c>
      <c r="C69" s="410" t="s">
        <v>237</v>
      </c>
      <c r="D69" s="410"/>
      <c r="E69" s="410"/>
      <c r="F69" s="410"/>
      <c r="G69" s="410"/>
      <c r="N69" s="2" t="s">
        <v>199</v>
      </c>
      <c r="O69" s="417" t="s">
        <v>238</v>
      </c>
      <c r="P69" s="417"/>
      <c r="Q69" s="417"/>
      <c r="R69" s="417"/>
      <c r="S69" s="417"/>
    </row>
    <row r="70" spans="2:19">
      <c r="B70" s="417" t="s">
        <v>201</v>
      </c>
      <c r="C70" s="65"/>
      <c r="D70" s="64"/>
      <c r="E70" s="64"/>
      <c r="F70" s="64"/>
      <c r="G70" s="93"/>
      <c r="N70" s="417" t="s">
        <v>201</v>
      </c>
    </row>
    <row r="71" spans="2:19">
      <c r="B71" s="417"/>
      <c r="C71" s="66"/>
      <c r="G71" s="94"/>
      <c r="N71" s="417"/>
    </row>
    <row r="72" spans="2:19">
      <c r="B72" s="417"/>
      <c r="C72" s="67"/>
      <c r="D72" s="68"/>
      <c r="E72" s="68"/>
      <c r="F72" s="68"/>
      <c r="G72" s="95"/>
      <c r="N72" s="417"/>
    </row>
    <row r="73" spans="2:19" ht="15" thickBot="1"/>
    <row r="74" spans="2:19" ht="15" thickBot="1">
      <c r="B74" s="84" t="s">
        <v>239</v>
      </c>
    </row>
    <row r="76" spans="2:19" ht="28.5">
      <c r="B76" s="1" t="s">
        <v>240</v>
      </c>
      <c r="C76" s="1" t="s">
        <v>208</v>
      </c>
      <c r="D76" s="1" t="s">
        <v>241</v>
      </c>
      <c r="E76" s="1" t="s">
        <v>242</v>
      </c>
      <c r="F76" s="1" t="s">
        <v>243</v>
      </c>
      <c r="G76" s="1" t="s">
        <v>244</v>
      </c>
    </row>
    <row r="77" spans="2:19">
      <c r="B77" s="1" t="s">
        <v>229</v>
      </c>
      <c r="C77" s="86">
        <f t="shared" ref="C77:C81" si="18">I64</f>
        <v>10</v>
      </c>
      <c r="D77" s="86">
        <f t="shared" ref="D77:D81" si="19">K64</f>
        <v>0.1</v>
      </c>
      <c r="E77" s="86"/>
      <c r="F77" s="86"/>
      <c r="G77" s="86"/>
    </row>
    <row r="78" spans="2:19">
      <c r="B78" s="1" t="s">
        <v>230</v>
      </c>
      <c r="C78" s="86">
        <f t="shared" si="18"/>
        <v>31.000000000000014</v>
      </c>
      <c r="D78" s="86">
        <f t="shared" si="19"/>
        <v>0.31000000000000016</v>
      </c>
      <c r="E78" s="86"/>
      <c r="F78" s="86"/>
      <c r="G78" s="86"/>
    </row>
    <row r="79" spans="2:19">
      <c r="B79" s="1" t="s">
        <v>231</v>
      </c>
      <c r="C79" s="86">
        <f t="shared" si="18"/>
        <v>0.32258064516129015</v>
      </c>
      <c r="D79" s="86">
        <f t="shared" si="19"/>
        <v>0.32258064516129015</v>
      </c>
      <c r="E79" s="86"/>
      <c r="F79" s="86"/>
      <c r="G79" s="86"/>
    </row>
    <row r="80" spans="2:19">
      <c r="B80" s="1" t="s">
        <v>233</v>
      </c>
      <c r="C80" s="86">
        <f t="shared" si="18"/>
        <v>48</v>
      </c>
      <c r="D80" s="86">
        <f t="shared" si="19"/>
        <v>0.48</v>
      </c>
      <c r="E80" s="86"/>
      <c r="F80" s="86"/>
      <c r="G80" s="86"/>
    </row>
    <row r="81" spans="2:10">
      <c r="B81" s="1" t="s">
        <v>245</v>
      </c>
      <c r="C81" s="86">
        <f t="shared" si="18"/>
        <v>984.00000000000034</v>
      </c>
      <c r="D81" s="86">
        <f t="shared" si="19"/>
        <v>0.19680000000000006</v>
      </c>
      <c r="E81" s="86"/>
      <c r="F81" s="86"/>
      <c r="G81" s="86"/>
    </row>
    <row r="86" spans="2:10" ht="15" thickBot="1"/>
    <row r="87" spans="2:10" ht="15" thickBot="1">
      <c r="B87" s="8" t="s">
        <v>184</v>
      </c>
      <c r="H87" s="1" t="s">
        <v>186</v>
      </c>
      <c r="I87" s="1" t="s">
        <v>187</v>
      </c>
      <c r="J87" s="1" t="s">
        <v>188</v>
      </c>
    </row>
    <row r="88" spans="2:10">
      <c r="B88" s="422" t="s">
        <v>246</v>
      </c>
      <c r="C88" s="425"/>
      <c r="D88" s="426"/>
      <c r="E88" s="426"/>
      <c r="F88" s="426"/>
      <c r="G88" s="427"/>
      <c r="H88" s="11">
        <f>H40</f>
        <v>130</v>
      </c>
      <c r="I88" s="11">
        <f>D99/2</f>
        <v>4</v>
      </c>
      <c r="J88" s="11">
        <f>I88*-1</f>
        <v>-4</v>
      </c>
    </row>
    <row r="89" spans="2:10">
      <c r="B89" s="423"/>
      <c r="C89" s="428"/>
      <c r="D89" s="417"/>
      <c r="E89" s="417"/>
      <c r="F89" s="417"/>
      <c r="G89" s="429"/>
      <c r="H89" s="11">
        <f>($D$100/8/2)+H88</f>
        <v>130.5</v>
      </c>
      <c r="I89" s="11">
        <f>(($I$97-$I$88)/($H$97-$H$88))*(H89-$H$88)+$I$88</f>
        <v>3.890625</v>
      </c>
      <c r="J89" s="11">
        <f t="shared" ref="J89:J98" si="20">I89*-1</f>
        <v>-3.890625</v>
      </c>
    </row>
    <row r="90" spans="2:10">
      <c r="B90" s="423"/>
      <c r="C90" s="428"/>
      <c r="D90" s="417"/>
      <c r="E90" s="417"/>
      <c r="F90" s="417"/>
      <c r="G90" s="429"/>
      <c r="H90" s="11">
        <f>($D$100/8)+H89</f>
        <v>131.5</v>
      </c>
      <c r="I90" s="11">
        <f t="shared" ref="I90:I96" si="21">(($I$97-$I$88)/($H$97-$H$88))*(H90-$H$88)+$I$88</f>
        <v>3.671875</v>
      </c>
      <c r="J90" s="11">
        <f t="shared" si="20"/>
        <v>-3.671875</v>
      </c>
    </row>
    <row r="91" spans="2:10">
      <c r="B91" s="423"/>
      <c r="C91" s="428"/>
      <c r="D91" s="417"/>
      <c r="E91" s="417"/>
      <c r="F91" s="417"/>
      <c r="G91" s="429"/>
      <c r="H91" s="11">
        <f t="shared" ref="H91:H96" si="22">($D$100/8)+H90</f>
        <v>132.5</v>
      </c>
      <c r="I91" s="11">
        <f t="shared" si="21"/>
        <v>3.453125</v>
      </c>
      <c r="J91" s="11">
        <f t="shared" si="20"/>
        <v>-3.453125</v>
      </c>
    </row>
    <row r="92" spans="2:10">
      <c r="B92" s="423"/>
      <c r="C92" s="428"/>
      <c r="D92" s="417"/>
      <c r="E92" s="417"/>
      <c r="F92" s="417"/>
      <c r="G92" s="429"/>
      <c r="H92" s="11">
        <f t="shared" si="22"/>
        <v>133.5</v>
      </c>
      <c r="I92" s="11">
        <f t="shared" si="21"/>
        <v>3.234375</v>
      </c>
      <c r="J92" s="11">
        <f t="shared" si="20"/>
        <v>-3.234375</v>
      </c>
    </row>
    <row r="93" spans="2:10">
      <c r="B93" s="423"/>
      <c r="C93" s="428"/>
      <c r="D93" s="417"/>
      <c r="E93" s="417"/>
      <c r="F93" s="417"/>
      <c r="G93" s="429"/>
      <c r="H93" s="11">
        <f t="shared" si="22"/>
        <v>134.5</v>
      </c>
      <c r="I93" s="11">
        <f t="shared" si="21"/>
        <v>3.015625</v>
      </c>
      <c r="J93" s="11">
        <f t="shared" si="20"/>
        <v>-3.015625</v>
      </c>
    </row>
    <row r="94" spans="2:10">
      <c r="B94" s="423"/>
      <c r="C94" s="428"/>
      <c r="D94" s="417"/>
      <c r="E94" s="417"/>
      <c r="F94" s="417"/>
      <c r="G94" s="429"/>
      <c r="H94" s="11">
        <f t="shared" si="22"/>
        <v>135.5</v>
      </c>
      <c r="I94" s="11">
        <f t="shared" si="21"/>
        <v>2.796875</v>
      </c>
      <c r="J94" s="11">
        <f t="shared" si="20"/>
        <v>-2.796875</v>
      </c>
    </row>
    <row r="95" spans="2:10">
      <c r="B95" s="423"/>
      <c r="C95" s="428"/>
      <c r="D95" s="417"/>
      <c r="E95" s="417"/>
      <c r="F95" s="417"/>
      <c r="G95" s="429"/>
      <c r="H95" s="11">
        <f t="shared" si="22"/>
        <v>136.5</v>
      </c>
      <c r="I95" s="11">
        <f t="shared" si="21"/>
        <v>2.578125</v>
      </c>
      <c r="J95" s="11">
        <f t="shared" si="20"/>
        <v>-2.578125</v>
      </c>
    </row>
    <row r="96" spans="2:10">
      <c r="B96" s="423"/>
      <c r="C96" s="428"/>
      <c r="D96" s="417"/>
      <c r="E96" s="417"/>
      <c r="F96" s="417"/>
      <c r="G96" s="429"/>
      <c r="H96" s="11">
        <f t="shared" si="22"/>
        <v>137.5</v>
      </c>
      <c r="I96" s="11">
        <f t="shared" si="21"/>
        <v>2.359375</v>
      </c>
      <c r="J96" s="11">
        <f t="shared" si="20"/>
        <v>-2.359375</v>
      </c>
    </row>
    <row r="97" spans="2:10" ht="15" thickBot="1">
      <c r="B97" s="424"/>
      <c r="C97" s="430"/>
      <c r="D97" s="431"/>
      <c r="E97" s="431"/>
      <c r="F97" s="431"/>
      <c r="G97" s="432"/>
      <c r="H97" s="11">
        <f>D100+H88</f>
        <v>138</v>
      </c>
      <c r="I97" s="11">
        <f>D98/2</f>
        <v>2.25</v>
      </c>
      <c r="J97" s="11">
        <f t="shared" si="20"/>
        <v>-2.25</v>
      </c>
    </row>
    <row r="98" spans="2:10" ht="28.5">
      <c r="B98" s="410" t="s">
        <v>191</v>
      </c>
      <c r="C98" s="1" t="s">
        <v>247</v>
      </c>
      <c r="D98" s="1">
        <v>4.5</v>
      </c>
      <c r="H98" s="11">
        <f>H97</f>
        <v>138</v>
      </c>
      <c r="I98" s="1">
        <f>0</f>
        <v>0</v>
      </c>
      <c r="J98" s="1">
        <f t="shared" si="20"/>
        <v>0</v>
      </c>
    </row>
    <row r="99" spans="2:10" ht="28.5">
      <c r="B99" s="417"/>
      <c r="C99" s="1" t="s">
        <v>248</v>
      </c>
      <c r="D99" s="1">
        <f>DiameterRocket</f>
        <v>8</v>
      </c>
      <c r="E99" s="1" t="s">
        <v>196</v>
      </c>
      <c r="F99" s="1">
        <f>D99/100</f>
        <v>0.08</v>
      </c>
      <c r="G99" s="1" t="s">
        <v>197</v>
      </c>
    </row>
    <row r="100" spans="2:10">
      <c r="B100" s="417"/>
      <c r="C100" s="1" t="s">
        <v>205</v>
      </c>
      <c r="D100" s="1">
        <v>8</v>
      </c>
      <c r="E100" s="1" t="s">
        <v>196</v>
      </c>
      <c r="F100" s="1">
        <f>D100/100</f>
        <v>0.08</v>
      </c>
      <c r="G100" s="1" t="s">
        <v>197</v>
      </c>
    </row>
    <row r="101" spans="2:10" ht="33.6" customHeight="1">
      <c r="B101" s="2" t="s">
        <v>199</v>
      </c>
      <c r="C101" s="417" t="s">
        <v>249</v>
      </c>
      <c r="D101" s="417"/>
      <c r="E101" s="417"/>
      <c r="F101" s="417"/>
      <c r="G101" s="417"/>
    </row>
    <row r="102" spans="2:10">
      <c r="B102" s="417" t="s">
        <v>201</v>
      </c>
    </row>
    <row r="103" spans="2:10">
      <c r="B103" s="417"/>
    </row>
    <row r="104" spans="2:10">
      <c r="B104" s="417"/>
    </row>
  </sheetData>
  <mergeCells count="35">
    <mergeCell ref="B2:C2"/>
    <mergeCell ref="B13:B22"/>
    <mergeCell ref="C12:G12"/>
    <mergeCell ref="N13:N22"/>
    <mergeCell ref="B45:B47"/>
    <mergeCell ref="C44:G44"/>
    <mergeCell ref="K23:K26"/>
    <mergeCell ref="N23:N26"/>
    <mergeCell ref="C27:G27"/>
    <mergeCell ref="B23:B26"/>
    <mergeCell ref="B31:B40"/>
    <mergeCell ref="C31:G40"/>
    <mergeCell ref="B41:B43"/>
    <mergeCell ref="C101:G101"/>
    <mergeCell ref="B102:B104"/>
    <mergeCell ref="C49:G49"/>
    <mergeCell ref="B50:B59"/>
    <mergeCell ref="C50:G59"/>
    <mergeCell ref="B60:B68"/>
    <mergeCell ref="C69:G69"/>
    <mergeCell ref="B70:B72"/>
    <mergeCell ref="B88:B97"/>
    <mergeCell ref="C88:G97"/>
    <mergeCell ref="B98:B100"/>
    <mergeCell ref="W48:X48"/>
    <mergeCell ref="O49:S49"/>
    <mergeCell ref="N50:N59"/>
    <mergeCell ref="O50:S59"/>
    <mergeCell ref="N60:N68"/>
    <mergeCell ref="O12:S12"/>
    <mergeCell ref="O27:S27"/>
    <mergeCell ref="H60:J61"/>
    <mergeCell ref="N70:N72"/>
    <mergeCell ref="O69:S69"/>
    <mergeCell ref="K48:L48"/>
  </mergeCells>
  <hyperlinks>
    <hyperlink ref="C28" r:id="rId1" display="https://www.youtube.com/watch?v=-05AlwGI7Jo"/>
    <hyperlink ref="O28" r:id="rId2" display="https://www.youtube.com/watch?v=-05AlwGI7Jo"/>
  </hyperlinks>
  <pageMargins left="0.7" right="0.7" top="0.75" bottom="0.75" header="0.3" footer="0.3"/>
  <pageSetup orientation="portrait" r:id="rId3"/>
  <customProperties>
    <customPr name="DynardoMOPSolver" r:id="rId4"/>
  </customProperties>
  <drawing r:id="rId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B14:V68"/>
  <sheetViews>
    <sheetView zoomScale="70" zoomScaleNormal="70" workbookViewId="0">
      <selection activeCell="H60" sqref="H60"/>
    </sheetView>
  </sheetViews>
  <sheetFormatPr defaultColWidth="8.875" defaultRowHeight="14.25"/>
  <cols>
    <col min="1" max="1" width="4.75" style="14" customWidth="1"/>
    <col min="2" max="2" width="20" style="14" customWidth="1"/>
    <col min="3" max="3" width="10.25" style="14" customWidth="1"/>
    <col min="4" max="6" width="9" style="14" bestFit="1" customWidth="1"/>
    <col min="7" max="7" width="13" style="14" bestFit="1" customWidth="1"/>
    <col min="8" max="8" width="10.625" style="14" bestFit="1" customWidth="1"/>
    <col min="9" max="9" width="9" style="14" bestFit="1" customWidth="1"/>
    <col min="10" max="10" width="8.875" style="14"/>
    <col min="11" max="11" width="17.375" style="14" customWidth="1"/>
    <col min="12" max="12" width="10.125" style="14" bestFit="1" customWidth="1"/>
    <col min="13" max="13" width="9" style="14" bestFit="1" customWidth="1"/>
    <col min="14" max="14" width="11.625" style="14" customWidth="1"/>
    <col min="15" max="15" width="13.25" style="14" customWidth="1"/>
    <col min="16" max="16" width="9" style="14" bestFit="1" customWidth="1"/>
    <col min="17" max="17" width="14.875" style="14" customWidth="1"/>
    <col min="18" max="18" width="9" style="14" bestFit="1" customWidth="1"/>
    <col min="19" max="19" width="8.875" style="14"/>
    <col min="20" max="20" width="13" style="14" bestFit="1" customWidth="1"/>
    <col min="21" max="21" width="12.75" style="14" bestFit="1" customWidth="1"/>
    <col min="22" max="22" width="11.25" style="14" bestFit="1" customWidth="1"/>
    <col min="23" max="16384" width="8.875" style="14"/>
  </cols>
  <sheetData>
    <row r="14" spans="2:22" ht="15" thickBot="1"/>
    <row r="15" spans="2:22" ht="15" thickBot="1">
      <c r="B15" s="170" t="s">
        <v>250</v>
      </c>
      <c r="C15" s="171" t="s">
        <v>251</v>
      </c>
      <c r="D15" s="171"/>
      <c r="E15" s="171"/>
      <c r="F15" s="172"/>
      <c r="K15" s="170" t="s">
        <v>250</v>
      </c>
      <c r="L15" s="171"/>
      <c r="M15" s="171"/>
      <c r="N15" s="171"/>
      <c r="O15" s="172"/>
      <c r="T15" s="446" t="s">
        <v>252</v>
      </c>
      <c r="U15" s="447"/>
      <c r="V15" s="448"/>
    </row>
    <row r="16" spans="2:22" ht="15.75" thickBot="1">
      <c r="B16" s="257" t="s">
        <v>196</v>
      </c>
      <c r="C16" s="15" t="s">
        <v>253</v>
      </c>
      <c r="D16" s="16" t="s">
        <v>254</v>
      </c>
      <c r="E16" s="16" t="s">
        <v>255</v>
      </c>
      <c r="F16" s="17" t="s">
        <v>256</v>
      </c>
      <c r="G16" s="26" t="s">
        <v>257</v>
      </c>
      <c r="H16" s="27" t="s">
        <v>258</v>
      </c>
      <c r="I16" s="28" t="s">
        <v>259</v>
      </c>
      <c r="K16" s="257" t="s">
        <v>260</v>
      </c>
      <c r="L16" s="15" t="s">
        <v>261</v>
      </c>
      <c r="M16" s="16" t="s">
        <v>254</v>
      </c>
      <c r="N16" s="16" t="s">
        <v>255</v>
      </c>
      <c r="O16" s="17" t="s">
        <v>256</v>
      </c>
      <c r="P16" s="26" t="s">
        <v>257</v>
      </c>
      <c r="Q16" s="27" t="s">
        <v>258</v>
      </c>
      <c r="R16" s="28" t="s">
        <v>259</v>
      </c>
      <c r="T16" s="40">
        <v>2.16E-3</v>
      </c>
      <c r="U16" s="41">
        <v>0</v>
      </c>
      <c r="V16" s="42">
        <v>0</v>
      </c>
    </row>
    <row r="17" spans="2:22">
      <c r="B17" s="18" t="s">
        <v>262</v>
      </c>
      <c r="C17" s="19">
        <v>300</v>
      </c>
      <c r="D17" s="20">
        <v>20</v>
      </c>
      <c r="E17" s="20">
        <v>0</v>
      </c>
      <c r="F17" s="20">
        <v>0</v>
      </c>
      <c r="G17" s="26">
        <f>$C$17*D17*9.81</f>
        <v>58860</v>
      </c>
      <c r="H17" s="27">
        <f t="shared" ref="H17:I17" si="0">$C$17*E17*9.81</f>
        <v>0</v>
      </c>
      <c r="I17" s="28">
        <f t="shared" si="0"/>
        <v>0</v>
      </c>
      <c r="K17" s="18" t="s">
        <v>262</v>
      </c>
      <c r="L17" s="19">
        <f>C17/1000</f>
        <v>0.3</v>
      </c>
      <c r="M17" s="20">
        <f>D17/100</f>
        <v>0.2</v>
      </c>
      <c r="N17" s="20">
        <f t="shared" ref="N17:O17" si="1">E17/100</f>
        <v>0</v>
      </c>
      <c r="O17" s="20">
        <f t="shared" si="1"/>
        <v>0</v>
      </c>
      <c r="P17" s="26">
        <f>$L$17*M17*9.81</f>
        <v>0.58860000000000001</v>
      </c>
      <c r="Q17" s="27">
        <f t="shared" ref="Q17:R17" si="2">$L$17*N17*9.81</f>
        <v>0</v>
      </c>
      <c r="R17" s="28">
        <f t="shared" si="2"/>
        <v>0</v>
      </c>
      <c r="T17" s="43">
        <v>0</v>
      </c>
      <c r="U17" s="44">
        <v>1.5686199999999999</v>
      </c>
      <c r="V17" s="45">
        <v>0</v>
      </c>
    </row>
    <row r="18" spans="2:22" ht="15" thickBot="1">
      <c r="B18" s="22" t="s">
        <v>263</v>
      </c>
      <c r="C18" s="19">
        <v>1298</v>
      </c>
      <c r="D18" s="20">
        <v>80</v>
      </c>
      <c r="E18" s="20">
        <v>0</v>
      </c>
      <c r="F18" s="20">
        <v>0</v>
      </c>
      <c r="G18" s="19">
        <f>$C$18*D18*9.81</f>
        <v>1018670.4</v>
      </c>
      <c r="H18" s="20">
        <f t="shared" ref="H18:I18" si="3">$C$18*E18*9.81</f>
        <v>0</v>
      </c>
      <c r="I18" s="21">
        <f t="shared" si="3"/>
        <v>0</v>
      </c>
      <c r="K18" s="22" t="s">
        <v>263</v>
      </c>
      <c r="L18" s="19">
        <f t="shared" ref="L18:L27" si="4">C18/1000</f>
        <v>1.298</v>
      </c>
      <c r="M18" s="20">
        <f t="shared" ref="M18:M27" si="5">D18/100</f>
        <v>0.8</v>
      </c>
      <c r="N18" s="20">
        <f t="shared" ref="N18:N27" si="6">E18/100</f>
        <v>0</v>
      </c>
      <c r="O18" s="20">
        <f t="shared" ref="O18:O27" si="7">F18/100</f>
        <v>0</v>
      </c>
      <c r="P18" s="19">
        <f>$L$18*M18*9.81</f>
        <v>10.186704000000001</v>
      </c>
      <c r="Q18" s="20">
        <f t="shared" ref="Q18:R18" si="8">$L$18*N18*9.81</f>
        <v>0</v>
      </c>
      <c r="R18" s="21">
        <f t="shared" si="8"/>
        <v>0</v>
      </c>
      <c r="T18" s="46">
        <v>0</v>
      </c>
      <c r="U18" s="47">
        <v>0</v>
      </c>
      <c r="V18" s="48">
        <v>1.5686199999999999</v>
      </c>
    </row>
    <row r="19" spans="2:22">
      <c r="B19" s="22" t="s">
        <v>264</v>
      </c>
      <c r="C19" s="19">
        <v>45</v>
      </c>
      <c r="D19" s="20">
        <v>120</v>
      </c>
      <c r="E19" s="20">
        <v>6</v>
      </c>
      <c r="F19" s="20">
        <v>0</v>
      </c>
      <c r="G19" s="19">
        <f>$C$19*D19*9.81</f>
        <v>52974</v>
      </c>
      <c r="H19" s="20">
        <f t="shared" ref="H19:I19" si="9">$C$19*E19*9.81</f>
        <v>2648.7000000000003</v>
      </c>
      <c r="I19" s="21">
        <f t="shared" si="9"/>
        <v>0</v>
      </c>
      <c r="K19" s="22" t="s">
        <v>264</v>
      </c>
      <c r="L19" s="19">
        <f>C19/1000</f>
        <v>4.4999999999999998E-2</v>
      </c>
      <c r="M19" s="20">
        <f>D19/100</f>
        <v>1.2</v>
      </c>
      <c r="N19" s="20">
        <f t="shared" si="6"/>
        <v>0.06</v>
      </c>
      <c r="O19" s="20">
        <f t="shared" si="7"/>
        <v>0</v>
      </c>
      <c r="P19" s="19">
        <f>$L$19*M19*9.81</f>
        <v>0.52973999999999999</v>
      </c>
      <c r="Q19" s="20">
        <f>$L$19*N19*9.81</f>
        <v>2.6487E-2</v>
      </c>
      <c r="R19" s="21">
        <f t="shared" ref="R19:R20" si="10">$L$21*O19*9.81</f>
        <v>0</v>
      </c>
    </row>
    <row r="20" spans="2:22">
      <c r="B20" s="22" t="s">
        <v>265</v>
      </c>
      <c r="C20" s="19">
        <v>45</v>
      </c>
      <c r="D20" s="20">
        <v>120</v>
      </c>
      <c r="E20" s="20">
        <v>-6</v>
      </c>
      <c r="F20" s="20">
        <v>0</v>
      </c>
      <c r="G20" s="19">
        <f>$C$20*D20*9.81</f>
        <v>52974</v>
      </c>
      <c r="H20" s="20">
        <f t="shared" ref="H20:I20" si="11">$C$20*E20*9.81</f>
        <v>-2648.7000000000003</v>
      </c>
      <c r="I20" s="21">
        <f t="shared" si="11"/>
        <v>0</v>
      </c>
      <c r="K20" s="22" t="s">
        <v>265</v>
      </c>
      <c r="L20" s="19">
        <f t="shared" ref="L20:L22" si="12">C20/1000</f>
        <v>4.4999999999999998E-2</v>
      </c>
      <c r="M20" s="20">
        <f>D20/100</f>
        <v>1.2</v>
      </c>
      <c r="N20" s="20">
        <f t="shared" ref="N20:N22" si="13">E20/100</f>
        <v>-0.06</v>
      </c>
      <c r="O20" s="20">
        <f t="shared" ref="O20:O22" si="14">F20/100</f>
        <v>0</v>
      </c>
      <c r="P20" s="19">
        <f t="shared" ref="P20" si="15">$L$21*M20*9.81</f>
        <v>0.52973999999999999</v>
      </c>
      <c r="Q20" s="20">
        <f t="shared" ref="Q20" si="16">$L$21*N20*9.81</f>
        <v>-2.6487E-2</v>
      </c>
      <c r="R20" s="21">
        <f t="shared" si="10"/>
        <v>0</v>
      </c>
    </row>
    <row r="21" spans="2:22" ht="15" thickBot="1">
      <c r="B21" s="22" t="s">
        <v>266</v>
      </c>
      <c r="C21" s="19">
        <v>45</v>
      </c>
      <c r="D21" s="20">
        <v>120</v>
      </c>
      <c r="E21" s="20">
        <v>0</v>
      </c>
      <c r="F21" s="20">
        <v>6</v>
      </c>
      <c r="G21" s="19">
        <f>$C$21*D21*9.81</f>
        <v>52974</v>
      </c>
      <c r="H21" s="20">
        <f t="shared" ref="H21:I21" si="17">$C$21*E21*9.81</f>
        <v>0</v>
      </c>
      <c r="I21" s="21">
        <f t="shared" si="17"/>
        <v>2648.7000000000003</v>
      </c>
      <c r="K21" s="22" t="s">
        <v>266</v>
      </c>
      <c r="L21" s="19">
        <f t="shared" si="12"/>
        <v>4.4999999999999998E-2</v>
      </c>
      <c r="M21" s="20">
        <f t="shared" ref="M21:M22" si="18">D21/100</f>
        <v>1.2</v>
      </c>
      <c r="N21" s="20">
        <f t="shared" si="13"/>
        <v>0</v>
      </c>
      <c r="O21" s="20">
        <f t="shared" si="14"/>
        <v>0.06</v>
      </c>
      <c r="P21" s="19">
        <f>$L$21*M21*9.81</f>
        <v>0.52973999999999999</v>
      </c>
      <c r="Q21" s="20">
        <f t="shared" ref="Q21:R21" si="19">$L$21*N21*9.81</f>
        <v>0</v>
      </c>
      <c r="R21" s="21">
        <f t="shared" si="19"/>
        <v>2.6487E-2</v>
      </c>
    </row>
    <row r="22" spans="2:22" ht="15" thickBot="1">
      <c r="B22" s="22" t="s">
        <v>267</v>
      </c>
      <c r="C22" s="19">
        <v>45</v>
      </c>
      <c r="D22" s="20">
        <v>120</v>
      </c>
      <c r="E22" s="20">
        <v>0</v>
      </c>
      <c r="F22" s="20">
        <v>-6</v>
      </c>
      <c r="G22" s="19">
        <f>$C$22*D22*9.81</f>
        <v>52974</v>
      </c>
      <c r="H22" s="20">
        <f t="shared" ref="H22:I22" si="20">$C$22*E22*9.81</f>
        <v>0</v>
      </c>
      <c r="I22" s="21">
        <f t="shared" si="20"/>
        <v>-2648.7000000000003</v>
      </c>
      <c r="K22" s="22" t="s">
        <v>267</v>
      </c>
      <c r="L22" s="19">
        <f t="shared" si="12"/>
        <v>4.4999999999999998E-2</v>
      </c>
      <c r="M22" s="20">
        <f t="shared" si="18"/>
        <v>1.2</v>
      </c>
      <c r="N22" s="20">
        <f t="shared" si="13"/>
        <v>0</v>
      </c>
      <c r="O22" s="20">
        <f t="shared" si="14"/>
        <v>-0.06</v>
      </c>
      <c r="P22" s="19">
        <f>$L$21*M22*9.81</f>
        <v>0.52973999999999999</v>
      </c>
      <c r="Q22" s="20">
        <f t="shared" ref="Q22" si="21">$L$21*N22*9.81</f>
        <v>0</v>
      </c>
      <c r="R22" s="21">
        <f t="shared" ref="R22" si="22">$L$21*O22*9.81</f>
        <v>-2.6487E-2</v>
      </c>
      <c r="T22" s="39" t="s">
        <v>268</v>
      </c>
    </row>
    <row r="23" spans="2:22" ht="15" thickBot="1">
      <c r="B23" s="22" t="s">
        <v>269</v>
      </c>
      <c r="C23" s="19">
        <v>0</v>
      </c>
      <c r="D23" s="20">
        <v>0</v>
      </c>
      <c r="E23" s="20">
        <v>0</v>
      </c>
      <c r="F23" s="20">
        <v>0</v>
      </c>
      <c r="G23" s="19">
        <f>$C$23*D23*9.81</f>
        <v>0</v>
      </c>
      <c r="H23" s="20">
        <f t="shared" ref="H23:I23" si="23">$C$23*E23*9.81</f>
        <v>0</v>
      </c>
      <c r="I23" s="21">
        <f t="shared" si="23"/>
        <v>0</v>
      </c>
      <c r="K23" s="22" t="s">
        <v>269</v>
      </c>
      <c r="L23" s="19">
        <f t="shared" si="4"/>
        <v>0</v>
      </c>
      <c r="M23" s="20">
        <f t="shared" si="5"/>
        <v>0</v>
      </c>
      <c r="N23" s="20">
        <f t="shared" si="6"/>
        <v>0</v>
      </c>
      <c r="O23" s="20">
        <f t="shared" si="7"/>
        <v>0</v>
      </c>
      <c r="P23" s="19">
        <f>$L$23*M23*9.81</f>
        <v>0</v>
      </c>
      <c r="Q23" s="20">
        <f t="shared" ref="Q23:R23" si="24">$L$23*N23*9.81</f>
        <v>0</v>
      </c>
      <c r="R23" s="21">
        <f t="shared" si="24"/>
        <v>0</v>
      </c>
      <c r="T23" s="449" t="s">
        <v>252</v>
      </c>
      <c r="U23" s="450"/>
      <c r="V23" s="451"/>
    </row>
    <row r="24" spans="2:22">
      <c r="B24" s="22" t="s">
        <v>270</v>
      </c>
      <c r="C24" s="19">
        <f>200*1.1</f>
        <v>220.00000000000003</v>
      </c>
      <c r="D24" s="20">
        <v>40</v>
      </c>
      <c r="E24" s="20">
        <v>0</v>
      </c>
      <c r="F24" s="20">
        <v>0</v>
      </c>
      <c r="G24" s="19">
        <f>$C$24*D24*9.81</f>
        <v>86328.000000000029</v>
      </c>
      <c r="H24" s="20">
        <f t="shared" ref="H24:I24" si="25">$C$24*E24*9.81</f>
        <v>0</v>
      </c>
      <c r="I24" s="21">
        <f t="shared" si="25"/>
        <v>0</v>
      </c>
      <c r="K24" s="22" t="s">
        <v>270</v>
      </c>
      <c r="L24" s="19">
        <f t="shared" si="4"/>
        <v>0.22000000000000003</v>
      </c>
      <c r="M24" s="20">
        <f t="shared" si="5"/>
        <v>0.4</v>
      </c>
      <c r="N24" s="20">
        <f t="shared" si="6"/>
        <v>0</v>
      </c>
      <c r="O24" s="20">
        <f t="shared" si="7"/>
        <v>0</v>
      </c>
      <c r="P24" s="19">
        <f>$L$24*M24*9.81</f>
        <v>0.86328000000000027</v>
      </c>
      <c r="Q24" s="20">
        <f t="shared" ref="Q24:R24" si="26">$L$24*N24*9.81</f>
        <v>0</v>
      </c>
      <c r="R24" s="21">
        <f t="shared" si="26"/>
        <v>0</v>
      </c>
      <c r="T24" s="31" t="s">
        <v>271</v>
      </c>
      <c r="U24" s="32" t="s">
        <v>272</v>
      </c>
      <c r="V24" s="33" t="s">
        <v>273</v>
      </c>
    </row>
    <row r="25" spans="2:22">
      <c r="B25" s="22" t="s">
        <v>274</v>
      </c>
      <c r="C25" s="19">
        <v>150</v>
      </c>
      <c r="D25" s="20">
        <v>60</v>
      </c>
      <c r="E25" s="20">
        <v>0</v>
      </c>
      <c r="F25" s="20">
        <v>0</v>
      </c>
      <c r="G25" s="19">
        <f>$C$25*D25*9.81</f>
        <v>88290</v>
      </c>
      <c r="H25" s="20">
        <f t="shared" ref="H25:I25" si="27">$C$25*E25*9.81</f>
        <v>0</v>
      </c>
      <c r="I25" s="21">
        <f t="shared" si="27"/>
        <v>0</v>
      </c>
      <c r="K25" s="22" t="s">
        <v>274</v>
      </c>
      <c r="L25" s="19">
        <f t="shared" si="4"/>
        <v>0.15</v>
      </c>
      <c r="M25" s="20">
        <f t="shared" si="5"/>
        <v>0.6</v>
      </c>
      <c r="N25" s="20">
        <f t="shared" si="6"/>
        <v>0</v>
      </c>
      <c r="O25" s="20">
        <f t="shared" si="7"/>
        <v>0</v>
      </c>
      <c r="P25" s="19">
        <f>$L$25*M25*9.81</f>
        <v>0.88290000000000002</v>
      </c>
      <c r="Q25" s="20">
        <f>$L$25*N25*9.81</f>
        <v>0</v>
      </c>
      <c r="R25" s="21">
        <f>$L$25*O25*9.81</f>
        <v>0</v>
      </c>
      <c r="T25" s="34" t="s">
        <v>275</v>
      </c>
      <c r="U25" s="30" t="s">
        <v>276</v>
      </c>
      <c r="V25" s="35" t="s">
        <v>277</v>
      </c>
    </row>
    <row r="26" spans="2:22" ht="15" thickBot="1">
      <c r="B26" s="22" t="s">
        <v>278</v>
      </c>
      <c r="C26" s="19">
        <v>121</v>
      </c>
      <c r="D26" s="20">
        <v>120</v>
      </c>
      <c r="E26" s="20">
        <v>0</v>
      </c>
      <c r="F26" s="20">
        <v>0</v>
      </c>
      <c r="G26" s="19">
        <f>$C$26*D26*9.81</f>
        <v>142441.20000000001</v>
      </c>
      <c r="H26" s="20">
        <f t="shared" ref="H26:I26" si="28">$C$26*E26*9.81</f>
        <v>0</v>
      </c>
      <c r="I26" s="21">
        <f t="shared" si="28"/>
        <v>0</v>
      </c>
      <c r="K26" s="22" t="s">
        <v>279</v>
      </c>
      <c r="L26" s="19">
        <f t="shared" si="4"/>
        <v>0.121</v>
      </c>
      <c r="M26" s="20">
        <f t="shared" si="5"/>
        <v>1.2</v>
      </c>
      <c r="N26" s="20">
        <f t="shared" si="6"/>
        <v>0</v>
      </c>
      <c r="O26" s="20">
        <f t="shared" si="7"/>
        <v>0</v>
      </c>
      <c r="P26" s="19">
        <f>$L$26*M26*9.81</f>
        <v>1.424412</v>
      </c>
      <c r="Q26" s="20">
        <f t="shared" ref="Q26:R26" si="29">$L$26*N26*9.81</f>
        <v>0</v>
      </c>
      <c r="R26" s="21">
        <f t="shared" si="29"/>
        <v>0</v>
      </c>
      <c r="T26" s="36" t="s">
        <v>280</v>
      </c>
      <c r="U26" s="37" t="s">
        <v>277</v>
      </c>
      <c r="V26" s="38" t="s">
        <v>281</v>
      </c>
    </row>
    <row r="27" spans="2:22">
      <c r="B27" s="22" t="s">
        <v>282</v>
      </c>
      <c r="C27" s="19">
        <v>1200</v>
      </c>
      <c r="D27" s="20">
        <v>25</v>
      </c>
      <c r="E27" s="20">
        <v>0</v>
      </c>
      <c r="F27" s="20">
        <v>0</v>
      </c>
      <c r="G27" s="19">
        <f>$C$27*D27*9.81</f>
        <v>294300</v>
      </c>
      <c r="H27" s="20">
        <f>$C$27*E27*9.81</f>
        <v>0</v>
      </c>
      <c r="I27" s="21">
        <f>$C$27*F27*9.81</f>
        <v>0</v>
      </c>
      <c r="K27" s="22" t="s">
        <v>282</v>
      </c>
      <c r="L27" s="19">
        <f t="shared" si="4"/>
        <v>1.2</v>
      </c>
      <c r="M27" s="20">
        <f t="shared" si="5"/>
        <v>0.25</v>
      </c>
      <c r="N27" s="20">
        <f t="shared" si="6"/>
        <v>0</v>
      </c>
      <c r="O27" s="20">
        <f t="shared" si="7"/>
        <v>0</v>
      </c>
      <c r="P27" s="19">
        <f>$L$27*M27*9.81</f>
        <v>2.9430000000000001</v>
      </c>
      <c r="Q27" s="20">
        <f t="shared" ref="Q27:R27" si="30">$L$27*N27*9.81</f>
        <v>0</v>
      </c>
      <c r="R27" s="21">
        <f t="shared" si="30"/>
        <v>0</v>
      </c>
    </row>
    <row r="28" spans="2:22" ht="15.75" thickBot="1">
      <c r="B28" s="22" t="s">
        <v>283</v>
      </c>
      <c r="C28" s="19">
        <f>SUM(C17:C27)</f>
        <v>3469</v>
      </c>
      <c r="D28" s="355">
        <f>G28/($C$28*9.81)</f>
        <v>55.85471317382531</v>
      </c>
      <c r="E28" s="355">
        <f>H28/($C$28*9.81)</f>
        <v>0</v>
      </c>
      <c r="F28" s="355">
        <f>I28/($C$28*9.81)</f>
        <v>0</v>
      </c>
      <c r="G28" s="23">
        <f>SUM(G17:G27)</f>
        <v>1900785.5999999999</v>
      </c>
      <c r="H28" s="24">
        <f>SUM(H17:H27)</f>
        <v>0</v>
      </c>
      <c r="I28" s="25">
        <f t="shared" ref="I28" si="31">SUM(I17:I27)</f>
        <v>0</v>
      </c>
      <c r="K28" s="22" t="s">
        <v>283</v>
      </c>
      <c r="L28" s="19">
        <f>SUM(L17:L27)</f>
        <v>3.4689999999999994</v>
      </c>
      <c r="M28" s="259">
        <f>P28/($L$28*9.81)</f>
        <v>0.5585471317382531</v>
      </c>
      <c r="N28" s="259">
        <f>Q28/($L$28*9.81)</f>
        <v>0</v>
      </c>
      <c r="O28" s="259">
        <f>R28/($L$28*9.81)</f>
        <v>0</v>
      </c>
      <c r="P28" s="23">
        <f>SUM(P17:P27)</f>
        <v>19.007856</v>
      </c>
      <c r="Q28" s="24">
        <f>SUM(Q17:Q27)</f>
        <v>0</v>
      </c>
      <c r="R28" s="25">
        <f>SUM(R17:R27)</f>
        <v>0</v>
      </c>
    </row>
    <row r="29" spans="2:22" ht="29.25" thickBot="1">
      <c r="B29" s="50" t="s">
        <v>284</v>
      </c>
      <c r="C29" s="15"/>
      <c r="D29" s="16"/>
      <c r="E29" s="16"/>
      <c r="F29" s="17"/>
      <c r="G29" s="20"/>
      <c r="I29" s="20"/>
      <c r="K29" s="49" t="s">
        <v>284</v>
      </c>
      <c r="L29" s="15"/>
      <c r="M29" s="16"/>
      <c r="N29" s="16"/>
      <c r="O29" s="17"/>
      <c r="P29" s="20"/>
      <c r="Q29" s="20"/>
      <c r="R29" s="20"/>
    </row>
    <row r="31" spans="2:22" ht="15" thickBot="1"/>
    <row r="32" spans="2:22" ht="15" thickBot="1">
      <c r="B32" s="170" t="s">
        <v>285</v>
      </c>
      <c r="C32" s="183"/>
      <c r="D32" s="183"/>
      <c r="E32" s="183"/>
      <c r="F32" s="184"/>
    </row>
    <row r="33" spans="2:19" ht="15" thickBot="1">
      <c r="B33" s="173" t="s">
        <v>227</v>
      </c>
      <c r="C33" s="167" t="s">
        <v>253</v>
      </c>
      <c r="D33" s="168" t="s">
        <v>254</v>
      </c>
      <c r="E33" s="168" t="s">
        <v>255</v>
      </c>
      <c r="F33" s="169" t="s">
        <v>256</v>
      </c>
      <c r="G33" s="167" t="s">
        <v>257</v>
      </c>
      <c r="H33" s="168" t="s">
        <v>258</v>
      </c>
      <c r="I33" s="169" t="s">
        <v>259</v>
      </c>
      <c r="K33" s="452" t="s">
        <v>712</v>
      </c>
      <c r="L33" s="453"/>
      <c r="M33" s="453"/>
      <c r="N33" s="453"/>
      <c r="O33" s="453"/>
      <c r="P33" s="453"/>
      <c r="Q33" s="453"/>
      <c r="R33" s="453"/>
      <c r="S33" s="454"/>
    </row>
    <row r="34" spans="2:19">
      <c r="B34" s="174" t="s">
        <v>286</v>
      </c>
      <c r="C34" s="18"/>
      <c r="D34" s="177"/>
      <c r="E34" s="177"/>
      <c r="F34" s="178"/>
      <c r="G34" s="18"/>
      <c r="H34" s="177"/>
      <c r="I34" s="178"/>
      <c r="K34" s="22" t="s">
        <v>287</v>
      </c>
      <c r="N34" s="96"/>
      <c r="O34" s="14" t="s">
        <v>288</v>
      </c>
      <c r="Q34" s="14" t="s">
        <v>289</v>
      </c>
      <c r="R34" s="255" t="s">
        <v>186</v>
      </c>
      <c r="S34" s="179" t="s">
        <v>290</v>
      </c>
    </row>
    <row r="35" spans="2:19">
      <c r="B35" s="175" t="s">
        <v>291</v>
      </c>
      <c r="C35" s="22" t="s">
        <v>88</v>
      </c>
      <c r="F35" s="179"/>
      <c r="G35" s="22"/>
      <c r="I35" s="179"/>
      <c r="K35" s="22" t="s">
        <v>292</v>
      </c>
      <c r="L35" s="14">
        <f>L36+(L38/10)*2</f>
        <v>7.9024999999999999</v>
      </c>
      <c r="M35" s="14" t="s">
        <v>196</v>
      </c>
      <c r="N35" s="14">
        <f>L35/100</f>
        <v>7.9024999999999998E-2</v>
      </c>
      <c r="O35" s="252" t="s">
        <v>197</v>
      </c>
      <c r="Q35" s="14" t="s">
        <v>293</v>
      </c>
      <c r="R35" s="14">
        <v>1790</v>
      </c>
      <c r="S35" s="253" t="s">
        <v>294</v>
      </c>
    </row>
    <row r="36" spans="2:19">
      <c r="B36" s="175" t="s">
        <v>295</v>
      </c>
      <c r="C36" s="22"/>
      <c r="F36" s="179"/>
      <c r="G36" s="22"/>
      <c r="I36" s="179"/>
      <c r="K36" s="22" t="s">
        <v>296</v>
      </c>
      <c r="L36" s="14">
        <f>2.54*2.875</f>
        <v>7.3025000000000002</v>
      </c>
      <c r="M36" s="14" t="s">
        <v>196</v>
      </c>
      <c r="N36" s="14">
        <f t="shared" ref="N36" si="32">L36/100</f>
        <v>7.3025000000000007E-2</v>
      </c>
      <c r="O36" s="252" t="s">
        <v>197</v>
      </c>
      <c r="Q36" s="14" t="s">
        <v>297</v>
      </c>
      <c r="R36" s="14">
        <v>60</v>
      </c>
      <c r="S36" s="253" t="s">
        <v>298</v>
      </c>
    </row>
    <row r="37" spans="2:19">
      <c r="B37" s="175" t="s">
        <v>299</v>
      </c>
      <c r="C37" s="22"/>
      <c r="F37" s="179"/>
      <c r="G37" s="22"/>
      <c r="I37" s="179"/>
      <c r="K37" s="22" t="s">
        <v>205</v>
      </c>
      <c r="L37" s="14">
        <v>30</v>
      </c>
      <c r="M37" s="14" t="s">
        <v>196</v>
      </c>
      <c r="N37" s="14">
        <f>L37/100</f>
        <v>0.3</v>
      </c>
      <c r="O37" s="252" t="s">
        <v>197</v>
      </c>
      <c r="S37" s="179"/>
    </row>
    <row r="38" spans="2:19">
      <c r="B38" s="175" t="s">
        <v>300</v>
      </c>
      <c r="C38" s="22"/>
      <c r="F38" s="179"/>
      <c r="G38" s="22"/>
      <c r="I38" s="179"/>
      <c r="K38" s="22" t="s">
        <v>301</v>
      </c>
      <c r="L38" s="14">
        <v>3</v>
      </c>
      <c r="M38" s="14" t="s">
        <v>227</v>
      </c>
      <c r="Q38" s="14" t="s">
        <v>302</v>
      </c>
      <c r="R38" s="255" t="s">
        <v>186</v>
      </c>
      <c r="S38" s="179" t="s">
        <v>290</v>
      </c>
    </row>
    <row r="39" spans="2:19" ht="15" thickBot="1">
      <c r="B39" s="175"/>
      <c r="C39" s="22"/>
      <c r="F39" s="179"/>
      <c r="G39" s="22"/>
      <c r="I39" s="179"/>
      <c r="K39" s="22" t="s">
        <v>679</v>
      </c>
      <c r="N39" s="14">
        <f>(PI()*N37*0.25)*(N35^2-N36^2)</f>
        <v>2.149556233402473E-4</v>
      </c>
      <c r="O39" s="14" t="s">
        <v>680</v>
      </c>
      <c r="R39" s="255"/>
      <c r="S39" s="179"/>
    </row>
    <row r="40" spans="2:19">
      <c r="B40" s="174" t="s">
        <v>303</v>
      </c>
      <c r="C40" s="18"/>
      <c r="D40" s="177"/>
      <c r="E40" s="177"/>
      <c r="F40" s="178"/>
      <c r="G40" s="18"/>
      <c r="H40" s="177"/>
      <c r="I40" s="178"/>
      <c r="K40" s="22"/>
      <c r="Q40" s="14" t="s">
        <v>293</v>
      </c>
      <c r="R40" s="14">
        <v>1090</v>
      </c>
      <c r="S40" s="253" t="s">
        <v>294</v>
      </c>
    </row>
    <row r="41" spans="2:19">
      <c r="B41" s="175" t="s">
        <v>304</v>
      </c>
      <c r="C41" s="22"/>
      <c r="F41" s="179"/>
      <c r="G41" s="22"/>
      <c r="I41" s="179"/>
      <c r="K41" s="22" t="s">
        <v>293</v>
      </c>
      <c r="L41" s="14">
        <f>N41/1000</f>
        <v>1.51</v>
      </c>
      <c r="M41" s="14" t="s">
        <v>305</v>
      </c>
      <c r="N41" s="14">
        <f>(R35*R36/100)+(R40*R41/100)</f>
        <v>1510</v>
      </c>
      <c r="O41" s="252" t="s">
        <v>294</v>
      </c>
      <c r="Q41" s="14" t="s">
        <v>306</v>
      </c>
      <c r="R41" s="14">
        <v>40</v>
      </c>
      <c r="S41" s="253" t="s">
        <v>298</v>
      </c>
    </row>
    <row r="42" spans="2:19" ht="15" thickBot="1">
      <c r="B42" s="176" t="s">
        <v>307</v>
      </c>
      <c r="C42" s="180"/>
      <c r="D42" s="181"/>
      <c r="E42" s="181"/>
      <c r="F42" s="182"/>
      <c r="G42" s="180"/>
      <c r="H42" s="181"/>
      <c r="I42" s="182"/>
      <c r="K42" s="180" t="s">
        <v>308</v>
      </c>
      <c r="L42" s="256">
        <f>N42*1000</f>
        <v>324.58299124377345</v>
      </c>
      <c r="M42" s="181" t="s">
        <v>309</v>
      </c>
      <c r="N42" s="258">
        <f>N41*N39</f>
        <v>0.32458299124377343</v>
      </c>
      <c r="O42" s="254" t="s">
        <v>310</v>
      </c>
      <c r="P42" s="181"/>
      <c r="Q42" s="181"/>
      <c r="R42" s="181"/>
      <c r="S42" s="182"/>
    </row>
    <row r="43" spans="2:19" ht="15" thickBot="1"/>
    <row r="44" spans="2:19" ht="15" thickBot="1">
      <c r="K44" s="452" t="s">
        <v>713</v>
      </c>
      <c r="L44" s="453"/>
      <c r="M44" s="453"/>
      <c r="N44" s="453"/>
      <c r="O44" s="453"/>
      <c r="P44" s="453"/>
      <c r="Q44" s="453"/>
      <c r="R44" s="453"/>
      <c r="S44" s="454"/>
    </row>
    <row r="45" spans="2:19" ht="15" thickBot="1">
      <c r="B45" s="443" t="s">
        <v>311</v>
      </c>
      <c r="C45" s="444"/>
      <c r="D45" s="444"/>
      <c r="E45" s="444"/>
      <c r="F45" s="445"/>
      <c r="K45" s="22" t="s">
        <v>287</v>
      </c>
      <c r="N45" s="96"/>
      <c r="O45" s="14" t="s">
        <v>288</v>
      </c>
      <c r="Q45" s="14" t="s">
        <v>289</v>
      </c>
      <c r="R45" s="14" t="s">
        <v>186</v>
      </c>
      <c r="S45" s="179" t="s">
        <v>290</v>
      </c>
    </row>
    <row r="46" spans="2:19" ht="29.25" thickBot="1">
      <c r="B46" s="15" t="s">
        <v>196</v>
      </c>
      <c r="C46" s="29" t="s">
        <v>312</v>
      </c>
      <c r="D46" s="16" t="s">
        <v>254</v>
      </c>
      <c r="E46" s="16" t="s">
        <v>255</v>
      </c>
      <c r="F46" s="17" t="s">
        <v>256</v>
      </c>
      <c r="G46" s="15" t="s">
        <v>257</v>
      </c>
      <c r="H46" s="16" t="s">
        <v>258</v>
      </c>
      <c r="I46" s="17" t="s">
        <v>259</v>
      </c>
      <c r="K46" s="22" t="s">
        <v>313</v>
      </c>
      <c r="L46" s="14">
        <v>15</v>
      </c>
      <c r="M46" s="252" t="s">
        <v>196</v>
      </c>
      <c r="N46" s="14">
        <f>L46/100</f>
        <v>0.15</v>
      </c>
      <c r="O46" s="252" t="s">
        <v>197</v>
      </c>
      <c r="Q46" s="14" t="s">
        <v>293</v>
      </c>
      <c r="R46" s="14">
        <v>1790</v>
      </c>
      <c r="S46" s="253" t="s">
        <v>314</v>
      </c>
    </row>
    <row r="47" spans="2:19">
      <c r="B47" s="18" t="s">
        <v>262</v>
      </c>
      <c r="C47" s="26"/>
      <c r="D47" s="27">
        <v>20</v>
      </c>
      <c r="E47" s="27">
        <v>0</v>
      </c>
      <c r="F47" s="28">
        <v>0</v>
      </c>
      <c r="G47" s="19">
        <f>$C$17*D47*9.81</f>
        <v>58860</v>
      </c>
      <c r="H47" s="20">
        <f>$C$17*E47*9.81</f>
        <v>0</v>
      </c>
      <c r="I47" s="21">
        <f t="shared" ref="I47" si="33">$C$17*F47*9.81</f>
        <v>0</v>
      </c>
      <c r="K47" s="22" t="s">
        <v>315</v>
      </c>
      <c r="L47" s="14">
        <v>10</v>
      </c>
      <c r="M47" s="252" t="s">
        <v>196</v>
      </c>
      <c r="N47" s="14">
        <f t="shared" ref="N47:N48" si="34">L47/100</f>
        <v>0.1</v>
      </c>
      <c r="O47" s="252" t="s">
        <v>197</v>
      </c>
      <c r="Q47" s="14" t="s">
        <v>297</v>
      </c>
      <c r="R47" s="14">
        <v>60</v>
      </c>
      <c r="S47" s="253" t="s">
        <v>298</v>
      </c>
    </row>
    <row r="48" spans="2:19">
      <c r="B48" s="22" t="s">
        <v>263</v>
      </c>
      <c r="C48" s="19"/>
      <c r="D48" s="20">
        <v>80</v>
      </c>
      <c r="E48" s="20">
        <v>0</v>
      </c>
      <c r="F48" s="21">
        <v>0</v>
      </c>
      <c r="G48" s="19">
        <f>$C$18*D48*9.81</f>
        <v>1018670.4</v>
      </c>
      <c r="H48" s="20">
        <f>$C$18*E48*9.81</f>
        <v>0</v>
      </c>
      <c r="I48" s="21">
        <f t="shared" ref="I48" si="35">$C$18*F48*9.81</f>
        <v>0</v>
      </c>
      <c r="K48" s="22" t="s">
        <v>205</v>
      </c>
      <c r="L48" s="14">
        <v>8</v>
      </c>
      <c r="M48" s="252" t="s">
        <v>196</v>
      </c>
      <c r="N48" s="14">
        <f t="shared" si="34"/>
        <v>0.08</v>
      </c>
      <c r="O48" s="252" t="s">
        <v>197</v>
      </c>
      <c r="S48" s="179"/>
    </row>
    <row r="49" spans="2:19">
      <c r="B49" s="22" t="s">
        <v>264</v>
      </c>
      <c r="C49" s="19"/>
      <c r="D49" s="20">
        <v>120</v>
      </c>
      <c r="E49" s="20">
        <v>4</v>
      </c>
      <c r="F49" s="21">
        <v>0</v>
      </c>
      <c r="G49" s="19"/>
      <c r="H49" s="20"/>
      <c r="I49" s="21"/>
      <c r="K49" s="22" t="s">
        <v>226</v>
      </c>
      <c r="L49" s="14">
        <v>3</v>
      </c>
      <c r="M49" s="252" t="s">
        <v>227</v>
      </c>
      <c r="N49" s="14">
        <f>L49/1000</f>
        <v>3.0000000000000001E-3</v>
      </c>
      <c r="O49" s="252" t="s">
        <v>197</v>
      </c>
      <c r="Q49" s="14" t="s">
        <v>302</v>
      </c>
      <c r="R49" s="14" t="s">
        <v>186</v>
      </c>
      <c r="S49" s="179"/>
    </row>
    <row r="50" spans="2:19">
      <c r="B50" s="22"/>
      <c r="C50" s="19"/>
      <c r="D50" s="20"/>
      <c r="E50" s="20"/>
      <c r="F50" s="21"/>
      <c r="G50" s="19"/>
      <c r="H50" s="20"/>
      <c r="I50" s="21"/>
      <c r="K50" s="22" t="s">
        <v>679</v>
      </c>
      <c r="M50" s="252"/>
      <c r="N50" s="14">
        <f>((N46+N47)*N48/2)*N49</f>
        <v>3.0000000000000001E-5</v>
      </c>
      <c r="O50" s="252" t="s">
        <v>680</v>
      </c>
      <c r="S50" s="179"/>
    </row>
    <row r="51" spans="2:19">
      <c r="B51" s="22" t="s">
        <v>265</v>
      </c>
      <c r="C51" s="19"/>
      <c r="D51" s="20">
        <v>120</v>
      </c>
      <c r="E51" s="20">
        <v>-4</v>
      </c>
      <c r="F51" s="21">
        <v>0</v>
      </c>
      <c r="G51" s="19"/>
      <c r="H51" s="20"/>
      <c r="I51" s="21"/>
      <c r="K51" s="22"/>
      <c r="M51" s="252"/>
      <c r="Q51" s="14" t="s">
        <v>293</v>
      </c>
      <c r="R51" s="14">
        <v>1090</v>
      </c>
      <c r="S51" s="253" t="s">
        <v>294</v>
      </c>
    </row>
    <row r="52" spans="2:19">
      <c r="B52" s="22" t="s">
        <v>266</v>
      </c>
      <c r="C52" s="19"/>
      <c r="D52" s="20">
        <v>120</v>
      </c>
      <c r="E52" s="20">
        <v>0</v>
      </c>
      <c r="F52" s="21">
        <v>4</v>
      </c>
      <c r="G52" s="19">
        <f>$C$21*D52*9.81</f>
        <v>52974</v>
      </c>
      <c r="H52" s="20">
        <f>$C$21*E52*9.81</f>
        <v>0</v>
      </c>
      <c r="I52" s="21">
        <f t="shared" ref="I52" si="36">$C$21*F52*9.81</f>
        <v>1765.8000000000002</v>
      </c>
      <c r="K52" s="22" t="s">
        <v>293</v>
      </c>
      <c r="L52" s="14">
        <f>N52</f>
        <v>1510</v>
      </c>
      <c r="M52" s="252" t="s">
        <v>305</v>
      </c>
      <c r="N52" s="14">
        <f>(R46*R47/100)+(R51*R52/100)</f>
        <v>1510</v>
      </c>
      <c r="O52" s="252" t="s">
        <v>294</v>
      </c>
      <c r="Q52" s="14" t="s">
        <v>306</v>
      </c>
      <c r="R52" s="14">
        <v>40</v>
      </c>
      <c r="S52" s="253" t="s">
        <v>298</v>
      </c>
    </row>
    <row r="53" spans="2:19">
      <c r="B53" s="22"/>
      <c r="C53" s="19"/>
      <c r="D53" s="20"/>
      <c r="E53" s="20"/>
      <c r="F53" s="21"/>
      <c r="G53" s="19"/>
      <c r="H53" s="20"/>
      <c r="I53" s="21"/>
      <c r="K53" s="22" t="s">
        <v>308</v>
      </c>
      <c r="L53" s="14">
        <f>N53*1000</f>
        <v>45.3</v>
      </c>
      <c r="M53" s="252" t="s">
        <v>309</v>
      </c>
      <c r="N53" s="14">
        <f>N52*N50</f>
        <v>4.53E-2</v>
      </c>
      <c r="O53" s="252" t="s">
        <v>310</v>
      </c>
      <c r="S53" s="253"/>
    </row>
    <row r="54" spans="2:19">
      <c r="B54" s="22"/>
      <c r="C54" s="19"/>
      <c r="D54" s="20"/>
      <c r="E54" s="20"/>
      <c r="F54" s="21"/>
      <c r="G54" s="19"/>
      <c r="H54" s="20"/>
      <c r="I54" s="21"/>
      <c r="K54" s="22" t="s">
        <v>681</v>
      </c>
      <c r="L54" s="14">
        <v>4</v>
      </c>
      <c r="M54" s="252" t="s">
        <v>682</v>
      </c>
      <c r="O54" s="252"/>
      <c r="S54" s="253"/>
    </row>
    <row r="55" spans="2:19" ht="15" thickBot="1">
      <c r="B55" s="22" t="s">
        <v>267</v>
      </c>
      <c r="C55" s="19"/>
      <c r="D55" s="20">
        <v>120</v>
      </c>
      <c r="E55" s="20">
        <v>0</v>
      </c>
      <c r="F55" s="21">
        <v>-4</v>
      </c>
      <c r="G55" s="19"/>
      <c r="H55" s="20"/>
      <c r="I55" s="21"/>
      <c r="K55" s="180" t="s">
        <v>683</v>
      </c>
      <c r="L55" s="181">
        <f>N55*1000</f>
        <v>181.2</v>
      </c>
      <c r="M55" s="254" t="s">
        <v>309</v>
      </c>
      <c r="N55" s="181">
        <f>N53*L54</f>
        <v>0.1812</v>
      </c>
      <c r="O55" s="254" t="s">
        <v>310</v>
      </c>
      <c r="P55" s="181"/>
      <c r="Q55" s="181"/>
      <c r="R55" s="181"/>
      <c r="S55" s="182"/>
    </row>
    <row r="56" spans="2:19">
      <c r="B56" s="22" t="s">
        <v>269</v>
      </c>
      <c r="C56" s="19"/>
      <c r="D56" s="20">
        <v>128</v>
      </c>
      <c r="E56" s="20">
        <v>0</v>
      </c>
      <c r="F56" s="21">
        <v>0</v>
      </c>
      <c r="G56" s="19">
        <f>$C$23*D56*9.81</f>
        <v>0</v>
      </c>
      <c r="H56" s="20">
        <f>$C$23*E56*9.81</f>
        <v>0</v>
      </c>
      <c r="I56" s="21">
        <f t="shared" ref="I56" si="37">$C$23*F56*9.81</f>
        <v>0</v>
      </c>
    </row>
    <row r="57" spans="2:19" ht="15" thickBot="1">
      <c r="B57" s="22" t="s">
        <v>316</v>
      </c>
      <c r="C57" s="23">
        <f>SUM(C47:C56)</f>
        <v>0</v>
      </c>
      <c r="D57" s="24">
        <f>G57/($C$28*9.81)</f>
        <v>33.219948111847792</v>
      </c>
      <c r="E57" s="24">
        <f>H57/($C$28*9.81)</f>
        <v>0</v>
      </c>
      <c r="F57" s="25">
        <f t="shared" ref="F57" si="38">I57/($C$28*9.81)</f>
        <v>5.1888152205246472E-2</v>
      </c>
      <c r="G57" s="23">
        <f>SUM(G47:G56)</f>
        <v>1130504.3999999999</v>
      </c>
      <c r="H57" s="24">
        <f>SUM(H47:H56)</f>
        <v>0</v>
      </c>
      <c r="I57" s="25">
        <f>SUM(I47:I56)</f>
        <v>1765.8000000000002</v>
      </c>
    </row>
    <row r="58" spans="2:19" ht="29.25" thickBot="1">
      <c r="B58" s="49" t="s">
        <v>317</v>
      </c>
      <c r="C58" s="23"/>
      <c r="D58" s="24"/>
      <c r="E58" s="24"/>
      <c r="F58" s="25"/>
      <c r="G58" s="20"/>
      <c r="I58" s="20"/>
    </row>
    <row r="61" spans="2:19" s="96" customFormat="1" ht="4.5" customHeight="1"/>
    <row r="63" spans="2:19">
      <c r="B63" s="14" t="s">
        <v>318</v>
      </c>
    </row>
    <row r="64" spans="2:19">
      <c r="B64" s="14" t="s">
        <v>319</v>
      </c>
      <c r="C64" s="14" t="s">
        <v>186</v>
      </c>
      <c r="D64" s="14" t="s">
        <v>320</v>
      </c>
      <c r="E64" s="14" t="s">
        <v>321</v>
      </c>
    </row>
    <row r="65" spans="2:2">
      <c r="B65" s="14" t="s">
        <v>322</v>
      </c>
    </row>
    <row r="66" spans="2:2">
      <c r="B66" s="14" t="s">
        <v>323</v>
      </c>
    </row>
    <row r="67" spans="2:2">
      <c r="B67" s="14" t="s">
        <v>214</v>
      </c>
    </row>
    <row r="68" spans="2:2">
      <c r="B68" s="14" t="s">
        <v>324</v>
      </c>
    </row>
  </sheetData>
  <mergeCells count="5">
    <mergeCell ref="B45:F45"/>
    <mergeCell ref="T15:V15"/>
    <mergeCell ref="T23:V23"/>
    <mergeCell ref="K33:S33"/>
    <mergeCell ref="K44:S44"/>
  </mergeCells>
  <pageMargins left="0.7" right="0.7" top="0.75" bottom="0.75" header="0.3" footer="0.3"/>
  <pageSetup orientation="portrait" r:id="rId1"/>
  <customProperties>
    <customPr name="DynardoMOPSolver" r:id="rId2"/>
  </customPropertie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281"/>
  <sheetViews>
    <sheetView tabSelected="1" topLeftCell="A268" zoomScale="85" zoomScaleNormal="85" zoomScaleSheetLayoutView="100" workbookViewId="0">
      <selection activeCell="D275" sqref="D275"/>
    </sheetView>
  </sheetViews>
  <sheetFormatPr defaultRowHeight="14.25" outlineLevelRow="1"/>
  <cols>
    <col min="1" max="1" width="2" customWidth="1"/>
    <col min="2" max="9" width="9.625" customWidth="1"/>
    <col min="10" max="10" width="12.125" customWidth="1"/>
    <col min="11" max="11" width="10.875" customWidth="1"/>
    <col min="12" max="20" width="8.375" customWidth="1"/>
    <col min="21" max="21" width="8.75" customWidth="1"/>
  </cols>
  <sheetData>
    <row r="2" spans="2:9" ht="20.45" customHeight="1">
      <c r="E2" s="354" t="s">
        <v>714</v>
      </c>
      <c r="F2" s="351"/>
    </row>
    <row r="3" spans="2:9">
      <c r="E3" s="455" t="s">
        <v>720</v>
      </c>
      <c r="F3" s="455"/>
      <c r="G3" s="455"/>
      <c r="H3" s="455"/>
    </row>
    <row r="4" spans="2:9">
      <c r="E4" s="455"/>
      <c r="F4" s="455"/>
      <c r="G4" s="455"/>
      <c r="H4" s="455"/>
    </row>
    <row r="6" spans="2:9">
      <c r="B6" t="s">
        <v>705</v>
      </c>
      <c r="G6" t="s">
        <v>684</v>
      </c>
      <c r="I6" s="352">
        <v>45923</v>
      </c>
    </row>
    <row r="7" spans="2:9" hidden="1" outlineLevel="1">
      <c r="B7" t="s">
        <v>685</v>
      </c>
    </row>
    <row r="8" spans="2:9" hidden="1" outlineLevel="1">
      <c r="B8" s="352">
        <v>45902</v>
      </c>
      <c r="C8" t="s">
        <v>686</v>
      </c>
    </row>
    <row r="9" spans="2:9" hidden="1" outlineLevel="1"/>
    <row r="10" spans="2:9" hidden="1" outlineLevel="1">
      <c r="B10" t="s">
        <v>409</v>
      </c>
    </row>
    <row r="11" spans="2:9" hidden="1" outlineLevel="1">
      <c r="B11" t="s">
        <v>748</v>
      </c>
    </row>
    <row r="12" spans="2:9" hidden="1" outlineLevel="1">
      <c r="B12" t="s">
        <v>702</v>
      </c>
    </row>
    <row r="13" spans="2:9" hidden="1" outlineLevel="1">
      <c r="B13" s="364" t="s">
        <v>701</v>
      </c>
    </row>
    <row r="14" spans="2:9" hidden="1" outlineLevel="1"/>
    <row r="15" spans="2:9" hidden="1" outlineLevel="1">
      <c r="B15" t="s">
        <v>703</v>
      </c>
    </row>
    <row r="16" spans="2:9" collapsed="1"/>
    <row r="17" spans="2:13" ht="15">
      <c r="B17" s="356" t="s">
        <v>735</v>
      </c>
      <c r="C17" s="186"/>
      <c r="D17" s="186"/>
    </row>
    <row r="18" spans="2:13" ht="15">
      <c r="B18" s="371" t="s">
        <v>843</v>
      </c>
      <c r="C18" t="s">
        <v>844</v>
      </c>
      <c r="F18" s="306" t="s">
        <v>917</v>
      </c>
      <c r="G18" t="s">
        <v>919</v>
      </c>
    </row>
    <row r="19" spans="2:13" ht="15">
      <c r="B19" s="371" t="s">
        <v>845</v>
      </c>
      <c r="C19" t="s">
        <v>846</v>
      </c>
      <c r="F19" s="306" t="s">
        <v>918</v>
      </c>
    </row>
    <row r="20" spans="2:13">
      <c r="B20" t="s">
        <v>850</v>
      </c>
      <c r="D20">
        <v>191</v>
      </c>
      <c r="E20" t="s">
        <v>848</v>
      </c>
      <c r="F20" t="s">
        <v>850</v>
      </c>
      <c r="H20">
        <v>198</v>
      </c>
      <c r="I20" t="s">
        <v>848</v>
      </c>
    </row>
    <row r="21" spans="2:13">
      <c r="B21" t="s">
        <v>851</v>
      </c>
      <c r="D21">
        <v>0.2</v>
      </c>
      <c r="E21" t="s">
        <v>227</v>
      </c>
      <c r="F21" t="s">
        <v>851</v>
      </c>
      <c r="H21">
        <v>0.25</v>
      </c>
      <c r="I21" t="s">
        <v>227</v>
      </c>
      <c r="L21" t="s">
        <v>797</v>
      </c>
      <c r="M21" t="s">
        <v>801</v>
      </c>
    </row>
    <row r="22" spans="2:13">
      <c r="B22" t="s">
        <v>849</v>
      </c>
      <c r="D22">
        <f>D20/D21</f>
        <v>955</v>
      </c>
      <c r="E22" t="s">
        <v>294</v>
      </c>
      <c r="F22" t="s">
        <v>849</v>
      </c>
      <c r="H22">
        <f>H20/H21</f>
        <v>792</v>
      </c>
      <c r="I22" t="s">
        <v>294</v>
      </c>
      <c r="L22" t="s">
        <v>798</v>
      </c>
      <c r="M22" t="s">
        <v>800</v>
      </c>
    </row>
    <row r="23" spans="2:13">
      <c r="H23" t="s">
        <v>723</v>
      </c>
      <c r="J23" t="s">
        <v>724</v>
      </c>
      <c r="L23" t="s">
        <v>799</v>
      </c>
      <c r="M23" t="s">
        <v>802</v>
      </c>
    </row>
    <row r="24" spans="2:13" ht="15">
      <c r="B24" s="374" t="s">
        <v>920</v>
      </c>
      <c r="G24" t="s">
        <v>806</v>
      </c>
      <c r="H24">
        <v>219</v>
      </c>
      <c r="I24" t="s">
        <v>721</v>
      </c>
      <c r="J24" s="375">
        <v>1.4999999999999999E-2</v>
      </c>
    </row>
    <row r="25" spans="2:13">
      <c r="B25" t="s">
        <v>715</v>
      </c>
      <c r="D25">
        <v>955</v>
      </c>
      <c r="E25" t="s">
        <v>314</v>
      </c>
      <c r="F25" s="357">
        <v>0.55000000000000004</v>
      </c>
      <c r="G25" s="382" t="s">
        <v>807</v>
      </c>
      <c r="H25" s="389">
        <f>H24*0.1</f>
        <v>21.900000000000002</v>
      </c>
      <c r="I25" s="382" t="s">
        <v>746</v>
      </c>
      <c r="J25" s="384">
        <v>1.4999999999999999E-2</v>
      </c>
    </row>
    <row r="26" spans="2:13">
      <c r="B26" s="382" t="s">
        <v>716</v>
      </c>
      <c r="C26" s="382"/>
      <c r="D26" s="382">
        <v>1090</v>
      </c>
      <c r="E26" s="382" t="s">
        <v>314</v>
      </c>
      <c r="F26" s="383">
        <f>1-F25</f>
        <v>0.44999999999999996</v>
      </c>
      <c r="G26" s="386" t="s">
        <v>897</v>
      </c>
      <c r="H26" s="186"/>
      <c r="I26" s="382" t="s">
        <v>898</v>
      </c>
      <c r="J26" s="384">
        <v>1.4999999999999999E-2</v>
      </c>
    </row>
    <row r="27" spans="2:13" ht="15">
      <c r="B27" t="s">
        <v>813</v>
      </c>
      <c r="D27" s="190">
        <f>(H24/J24)/1000</f>
        <v>14.6</v>
      </c>
      <c r="E27" t="s">
        <v>740</v>
      </c>
      <c r="G27" t="s">
        <v>808</v>
      </c>
      <c r="H27" s="389">
        <f>H28*0.8</f>
        <v>34.03921568627451</v>
      </c>
      <c r="I27" t="s">
        <v>722</v>
      </c>
      <c r="J27" s="376">
        <v>1.9E-2</v>
      </c>
    </row>
    <row r="28" spans="2:13" ht="15">
      <c r="B28" s="186" t="s">
        <v>814</v>
      </c>
      <c r="C28" s="186"/>
      <c r="D28" s="277">
        <f>(H28/J28)/1000</f>
        <v>1.5196078431372551</v>
      </c>
      <c r="E28" s="186" t="s">
        <v>740</v>
      </c>
      <c r="G28" t="s">
        <v>809</v>
      </c>
      <c r="H28">
        <f>434*(0.1/1.02)</f>
        <v>42.549019607843135</v>
      </c>
      <c r="I28" t="s">
        <v>733</v>
      </c>
      <c r="J28" s="376">
        <f>2.8/100</f>
        <v>2.7999999999999997E-2</v>
      </c>
    </row>
    <row r="29" spans="2:13" ht="15">
      <c r="B29" t="s">
        <v>815</v>
      </c>
      <c r="D29" s="372">
        <v>0</v>
      </c>
      <c r="E29" t="s">
        <v>740</v>
      </c>
      <c r="G29" t="s">
        <v>810</v>
      </c>
      <c r="H29">
        <f>1239*(0.1/1.02)</f>
        <v>121.47058823529412</v>
      </c>
      <c r="I29" t="s">
        <v>734</v>
      </c>
      <c r="J29" s="376">
        <f>J28</f>
        <v>2.7999999999999997E-2</v>
      </c>
    </row>
    <row r="30" spans="2:13" ht="15">
      <c r="B30" t="s">
        <v>816</v>
      </c>
      <c r="D30" s="190">
        <f>(H29/J29)/1000</f>
        <v>4.3382352941176476</v>
      </c>
      <c r="E30" t="s">
        <v>740</v>
      </c>
      <c r="G30" t="s">
        <v>841</v>
      </c>
      <c r="H30" s="389">
        <f>H29*0.8</f>
        <v>97.176470588235304</v>
      </c>
      <c r="I30" t="s">
        <v>842</v>
      </c>
      <c r="J30" s="376">
        <f>J27</f>
        <v>1.9E-2</v>
      </c>
    </row>
    <row r="31" spans="2:13">
      <c r="D31" s="190"/>
      <c r="G31" t="s">
        <v>905</v>
      </c>
      <c r="H31" s="389">
        <f>819*(0.1/1.02)</f>
        <v>80.294117647058826</v>
      </c>
      <c r="J31" s="376"/>
    </row>
    <row r="33" spans="2:10">
      <c r="B33" s="186" t="s">
        <v>719</v>
      </c>
      <c r="C33" s="186"/>
      <c r="D33" s="186"/>
      <c r="G33" s="186" t="s">
        <v>725</v>
      </c>
      <c r="H33" s="186"/>
    </row>
    <row r="34" spans="2:10">
      <c r="B34" t="s">
        <v>717</v>
      </c>
      <c r="D34">
        <f>D25*(F25)+D26*(F26)</f>
        <v>1015.75</v>
      </c>
      <c r="E34" t="s">
        <v>314</v>
      </c>
      <c r="G34" t="s">
        <v>728</v>
      </c>
      <c r="H34" s="281">
        <f>H35/(H36+H35)</f>
        <v>0.8771929824561403</v>
      </c>
    </row>
    <row r="35" spans="2:10">
      <c r="B35" t="s">
        <v>817</v>
      </c>
      <c r="D35">
        <f>D27*F25+D28*F26</f>
        <v>8.7138235294117656</v>
      </c>
      <c r="E35" t="s">
        <v>740</v>
      </c>
      <c r="G35" t="s">
        <v>726</v>
      </c>
      <c r="H35" s="281">
        <v>100</v>
      </c>
      <c r="I35" t="s">
        <v>729</v>
      </c>
    </row>
    <row r="36" spans="2:10">
      <c r="B36" t="s">
        <v>803</v>
      </c>
      <c r="D36">
        <f>IF(J27=J24,C44,IF(J27&lt;J24,B44,D44))</f>
        <v>130.70735294117648</v>
      </c>
      <c r="E36" t="s">
        <v>723</v>
      </c>
      <c r="G36" t="s">
        <v>727</v>
      </c>
      <c r="H36" s="281">
        <v>14</v>
      </c>
      <c r="I36" t="s">
        <v>729</v>
      </c>
    </row>
    <row r="37" spans="2:10">
      <c r="B37" t="s">
        <v>804</v>
      </c>
      <c r="D37">
        <f>H24*F25+H28*F26</f>
        <v>139.59705882352941</v>
      </c>
      <c r="E37" t="s">
        <v>723</v>
      </c>
      <c r="G37" s="263" t="s">
        <v>730</v>
      </c>
      <c r="H37" s="358">
        <v>1000</v>
      </c>
      <c r="I37" s="263" t="s">
        <v>729</v>
      </c>
      <c r="J37" s="263"/>
    </row>
    <row r="38" spans="2:10" ht="15">
      <c r="B38" t="s">
        <v>819</v>
      </c>
      <c r="D38">
        <f>D39*0.8</f>
        <v>53.365411764705883</v>
      </c>
      <c r="E38" t="s">
        <v>820</v>
      </c>
      <c r="H38" s="359">
        <f>H37*H34</f>
        <v>877.19298245614027</v>
      </c>
      <c r="I38" t="s">
        <v>731</v>
      </c>
    </row>
    <row r="39" spans="2:10" ht="15">
      <c r="B39" t="s">
        <v>805</v>
      </c>
      <c r="D39">
        <f>IF(J27=J24,C45,IF(J27&lt;J24,B45,D45))</f>
        <v>66.70676470588235</v>
      </c>
      <c r="E39" t="s">
        <v>723</v>
      </c>
      <c r="H39" s="359">
        <f>H37-H38</f>
        <v>122.80701754385973</v>
      </c>
      <c r="I39" t="s">
        <v>732</v>
      </c>
    </row>
    <row r="40" spans="2:10" ht="15">
      <c r="B40" t="s">
        <v>899</v>
      </c>
      <c r="D40">
        <f>H26*F25+H31*F26</f>
        <v>36.132352941176471</v>
      </c>
      <c r="E40" t="s">
        <v>723</v>
      </c>
      <c r="H40" s="359"/>
    </row>
    <row r="41" spans="2:10" ht="15">
      <c r="H41" s="359"/>
    </row>
    <row r="43" spans="2:10">
      <c r="B43" t="s">
        <v>745</v>
      </c>
    </row>
    <row r="44" spans="2:10">
      <c r="B44">
        <f>(F25*(D27/D28)+(1-F25))*H27</f>
        <v>195.18964705882348</v>
      </c>
      <c r="C44">
        <f>F25*H24+F26*H27</f>
        <v>135.76764705882354</v>
      </c>
      <c r="D44">
        <f>(F25+F26*(D28/D27))*H24</f>
        <v>130.70735294117648</v>
      </c>
      <c r="E44" t="s">
        <v>811</v>
      </c>
    </row>
    <row r="45" spans="2:10">
      <c r="B45">
        <f>(F25*(D29/D30)+(1-F25))*H29</f>
        <v>54.661764705882348</v>
      </c>
      <c r="C45">
        <f>F25*H25+F26*H29</f>
        <v>66.70676470588235</v>
      </c>
      <c r="D45">
        <f>C45</f>
        <v>66.70676470588235</v>
      </c>
      <c r="E45" t="s">
        <v>812</v>
      </c>
    </row>
    <row r="46" spans="2:10">
      <c r="B46" s="361">
        <f>J27</f>
        <v>1.9E-2</v>
      </c>
      <c r="C46" s="363">
        <f>F25*J24+F26*J27</f>
        <v>1.6799999999999999E-2</v>
      </c>
      <c r="D46" s="361">
        <f>J24</f>
        <v>1.4999999999999999E-2</v>
      </c>
    </row>
    <row r="47" spans="2:10">
      <c r="B47" t="s">
        <v>741</v>
      </c>
      <c r="C47" t="s">
        <v>742</v>
      </c>
      <c r="D47" t="s">
        <v>743</v>
      </c>
    </row>
    <row r="48" spans="2:10">
      <c r="B48" t="s">
        <v>254</v>
      </c>
      <c r="C48" t="s">
        <v>840</v>
      </c>
      <c r="D48" t="s">
        <v>255</v>
      </c>
      <c r="E48" t="s">
        <v>839</v>
      </c>
    </row>
    <row r="49" spans="2:15">
      <c r="B49" s="362">
        <v>0</v>
      </c>
      <c r="C49" s="360">
        <v>0</v>
      </c>
      <c r="D49" s="281">
        <v>0</v>
      </c>
      <c r="E49" s="281">
        <v>0</v>
      </c>
      <c r="G49" t="s">
        <v>736</v>
      </c>
    </row>
    <row r="50" spans="2:15">
      <c r="B50" s="362">
        <f>J24</f>
        <v>1.4999999999999999E-2</v>
      </c>
      <c r="C50" s="360">
        <f>J25</f>
        <v>1.4999999999999999E-2</v>
      </c>
      <c r="D50" s="281">
        <f>H24</f>
        <v>219</v>
      </c>
      <c r="E50" s="281">
        <f>D50*0.1</f>
        <v>21.900000000000002</v>
      </c>
    </row>
    <row r="51" spans="2:15">
      <c r="B51" s="362">
        <v>0</v>
      </c>
      <c r="C51" s="360">
        <v>0</v>
      </c>
      <c r="D51" s="281">
        <v>0</v>
      </c>
      <c r="E51" s="281">
        <v>0</v>
      </c>
      <c r="G51" t="s">
        <v>737</v>
      </c>
    </row>
    <row r="52" spans="2:15">
      <c r="B52" s="362">
        <f>J27</f>
        <v>1.9E-2</v>
      </c>
      <c r="C52" s="360">
        <f>J30</f>
        <v>1.9E-2</v>
      </c>
      <c r="D52" s="281">
        <f>H27</f>
        <v>34.03921568627451</v>
      </c>
      <c r="E52" s="281">
        <f>E53*0.8</f>
        <v>97.176470588235304</v>
      </c>
      <c r="G52" t="s">
        <v>738</v>
      </c>
    </row>
    <row r="53" spans="2:15">
      <c r="B53" s="362">
        <f>J28</f>
        <v>2.7999999999999997E-2</v>
      </c>
      <c r="C53" s="360">
        <f>J29</f>
        <v>2.7999999999999997E-2</v>
      </c>
      <c r="D53" s="281">
        <f>H28</f>
        <v>42.549019607843135</v>
      </c>
      <c r="E53" s="281">
        <f>H29</f>
        <v>121.47058823529412</v>
      </c>
      <c r="G53" t="s">
        <v>739</v>
      </c>
      <c r="M53" t="s">
        <v>836</v>
      </c>
      <c r="N53" t="s">
        <v>834</v>
      </c>
      <c r="O53" t="s">
        <v>837</v>
      </c>
    </row>
    <row r="54" spans="2:15">
      <c r="B54" s="362">
        <v>0</v>
      </c>
      <c r="C54" s="360">
        <v>0</v>
      </c>
      <c r="D54" s="281">
        <v>0</v>
      </c>
      <c r="E54" s="281">
        <v>0</v>
      </c>
      <c r="G54" t="s">
        <v>744</v>
      </c>
      <c r="M54" t="s">
        <v>833</v>
      </c>
      <c r="N54" t="s">
        <v>834</v>
      </c>
      <c r="O54" t="s">
        <v>835</v>
      </c>
    </row>
    <row r="55" spans="2:15">
      <c r="B55" s="362">
        <f>IF(J27=J24,C46,IF(J27&lt;J24,B46,D46))</f>
        <v>1.4999999999999999E-2</v>
      </c>
      <c r="C55" s="360">
        <f>F25*J25+F26*J30</f>
        <v>1.6799999999999999E-2</v>
      </c>
      <c r="D55" s="281">
        <f>D36</f>
        <v>130.70735294117648</v>
      </c>
      <c r="E55" s="281">
        <f>D38</f>
        <v>53.365411764705883</v>
      </c>
    </row>
    <row r="58" spans="2:15">
      <c r="B58" s="186" t="s">
        <v>847</v>
      </c>
      <c r="C58" s="186"/>
      <c r="D58" s="186"/>
    </row>
    <row r="59" spans="2:15">
      <c r="B59">
        <f>D36</f>
        <v>130.70735294117648</v>
      </c>
      <c r="C59" t="s">
        <v>803</v>
      </c>
    </row>
    <row r="60" spans="2:15">
      <c r="B60">
        <f>D38</f>
        <v>53.365411764705883</v>
      </c>
      <c r="C60" t="s">
        <v>819</v>
      </c>
    </row>
    <row r="61" spans="2:15">
      <c r="B61">
        <f>D39</f>
        <v>66.70676470588235</v>
      </c>
      <c r="C61" t="s">
        <v>818</v>
      </c>
    </row>
    <row r="70" spans="2:4" ht="15.75">
      <c r="B70" s="398" t="s">
        <v>706</v>
      </c>
      <c r="C70" s="186"/>
      <c r="D70" s="186"/>
    </row>
    <row r="71" spans="2:4">
      <c r="B71" t="s">
        <v>782</v>
      </c>
    </row>
    <row r="72" spans="2:4" ht="15">
      <c r="D72" s="366"/>
    </row>
    <row r="73" spans="2:4" ht="15">
      <c r="D73" s="366"/>
    </row>
    <row r="74" spans="2:4" ht="15">
      <c r="D74" s="366"/>
    </row>
    <row r="82" spans="2:12">
      <c r="B82" s="379" t="s">
        <v>858</v>
      </c>
      <c r="C82" s="186"/>
      <c r="D82" s="186"/>
      <c r="E82" s="186"/>
      <c r="G82" s="379" t="s">
        <v>942</v>
      </c>
      <c r="H82" s="186"/>
      <c r="I82" s="186"/>
      <c r="J82" s="186"/>
    </row>
    <row r="83" spans="2:12">
      <c r="B83" t="s">
        <v>765</v>
      </c>
      <c r="D83">
        <v>3.5</v>
      </c>
      <c r="E83" t="s">
        <v>749</v>
      </c>
      <c r="G83" t="s">
        <v>205</v>
      </c>
      <c r="I83">
        <v>1620</v>
      </c>
      <c r="J83" t="s">
        <v>227</v>
      </c>
    </row>
    <row r="84" spans="2:12">
      <c r="D84" s="281">
        <f>D83*25.4</f>
        <v>88.899999999999991</v>
      </c>
      <c r="E84" t="s">
        <v>227</v>
      </c>
      <c r="G84" t="s">
        <v>226</v>
      </c>
      <c r="I84" s="190">
        <v>1.4075101552646612</v>
      </c>
      <c r="J84" t="s">
        <v>227</v>
      </c>
    </row>
    <row r="85" spans="2:12">
      <c r="B85" t="s">
        <v>859</v>
      </c>
      <c r="D85" t="s">
        <v>753</v>
      </c>
      <c r="G85" t="s">
        <v>707</v>
      </c>
      <c r="I85" s="190">
        <f>I86+2*I84</f>
        <v>91.715020310529326</v>
      </c>
      <c r="J85" t="s">
        <v>227</v>
      </c>
    </row>
    <row r="86" spans="2:12">
      <c r="B86" t="s">
        <v>772</v>
      </c>
      <c r="D86">
        <v>20</v>
      </c>
      <c r="E86" t="s">
        <v>769</v>
      </c>
      <c r="G86" t="s">
        <v>708</v>
      </c>
      <c r="I86" s="190">
        <v>88.9</v>
      </c>
      <c r="J86" t="s">
        <v>227</v>
      </c>
    </row>
    <row r="87" spans="2:12">
      <c r="B87" t="s">
        <v>768</v>
      </c>
      <c r="D87">
        <v>100</v>
      </c>
      <c r="E87" t="s">
        <v>769</v>
      </c>
      <c r="G87" t="s">
        <v>709</v>
      </c>
      <c r="I87" s="190">
        <f>(I85+I86)*0.5</f>
        <v>90.307510155264666</v>
      </c>
      <c r="J87" t="s">
        <v>227</v>
      </c>
    </row>
    <row r="88" spans="2:12">
      <c r="D88">
        <f>CONVERT(D87,"C","F")</f>
        <v>212</v>
      </c>
      <c r="E88" t="s">
        <v>770</v>
      </c>
      <c r="G88" t="s">
        <v>323</v>
      </c>
      <c r="I88" s="190">
        <f>1620/2</f>
        <v>810</v>
      </c>
      <c r="J88" t="s">
        <v>227</v>
      </c>
      <c r="L88" t="s">
        <v>779</v>
      </c>
    </row>
    <row r="89" spans="2:12">
      <c r="B89" t="s">
        <v>766</v>
      </c>
      <c r="D89">
        <f>VLOOKUP(D85,B256:C262,2,)</f>
        <v>23.2</v>
      </c>
      <c r="E89" t="s">
        <v>771</v>
      </c>
      <c r="G89" t="s">
        <v>747</v>
      </c>
      <c r="I89" s="190">
        <f>((PI()*I85^2)/4)-((PI()*I86^2)/4)</f>
        <v>399.32387637752981</v>
      </c>
      <c r="J89" t="s">
        <v>872</v>
      </c>
      <c r="L89" t="s">
        <v>780</v>
      </c>
    </row>
    <row r="90" spans="2:12" ht="15">
      <c r="B90" t="s">
        <v>767</v>
      </c>
      <c r="D90">
        <f>D84+((D87-D86)*(D89/1000))</f>
        <v>90.755999999999986</v>
      </c>
      <c r="E90" t="s">
        <v>227</v>
      </c>
      <c r="G90" t="s">
        <v>873</v>
      </c>
      <c r="I90" s="190">
        <f>(PI()/(32*I85))*((I85^4)-I86^4)</f>
        <v>8879.2859383022005</v>
      </c>
      <c r="J90" t="s">
        <v>871</v>
      </c>
      <c r="L90" t="s">
        <v>781</v>
      </c>
    </row>
    <row r="92" spans="2:12">
      <c r="B92" t="s">
        <v>946</v>
      </c>
      <c r="D92" s="281">
        <f>I95</f>
        <v>85.788892562927941</v>
      </c>
      <c r="E92" t="s">
        <v>227</v>
      </c>
      <c r="G92" s="186" t="s">
        <v>943</v>
      </c>
      <c r="H92" s="186"/>
      <c r="I92" s="186"/>
      <c r="J92" s="186"/>
    </row>
    <row r="93" spans="2:12">
      <c r="B93" t="s">
        <v>947</v>
      </c>
      <c r="D93" s="281">
        <f>D92+((D86-D87)*D89/1000)</f>
        <v>83.932892562927947</v>
      </c>
      <c r="E93" t="s">
        <v>227</v>
      </c>
      <c r="G93" s="385" t="s">
        <v>226</v>
      </c>
      <c r="H93" s="382"/>
      <c r="I93" s="397">
        <f>0.5*I86-(0.125*(I86^4)-0.0625*(I85^4))^(1/4)</f>
        <v>1.5555537185360322</v>
      </c>
      <c r="J93" s="382" t="s">
        <v>227</v>
      </c>
    </row>
    <row r="94" spans="2:12">
      <c r="B94" t="s">
        <v>948</v>
      </c>
      <c r="D94" s="281">
        <f>(D92-D93)/2</f>
        <v>0.92799999999999727</v>
      </c>
      <c r="E94" t="s">
        <v>227</v>
      </c>
      <c r="G94" s="385" t="s">
        <v>945</v>
      </c>
      <c r="H94" s="382"/>
      <c r="I94" s="396">
        <f>I86</f>
        <v>88.9</v>
      </c>
      <c r="J94" s="382" t="s">
        <v>227</v>
      </c>
    </row>
    <row r="95" spans="2:12">
      <c r="C95" t="s">
        <v>951</v>
      </c>
      <c r="D95">
        <v>0.2</v>
      </c>
      <c r="E95" t="s">
        <v>787</v>
      </c>
      <c r="G95" s="385" t="s">
        <v>944</v>
      </c>
      <c r="I95">
        <f>I94-2*I93</f>
        <v>85.788892562927941</v>
      </c>
      <c r="J95" t="s">
        <v>227</v>
      </c>
    </row>
    <row r="96" spans="2:12">
      <c r="D96">
        <v>0</v>
      </c>
      <c r="E96" t="s">
        <v>194</v>
      </c>
      <c r="G96" t="s">
        <v>949</v>
      </c>
    </row>
    <row r="97" spans="2:10">
      <c r="G97" t="s">
        <v>950</v>
      </c>
    </row>
    <row r="98" spans="2:10">
      <c r="B98" s="186" t="s">
        <v>860</v>
      </c>
      <c r="C98" s="186"/>
      <c r="D98" s="186"/>
      <c r="E98" s="186"/>
      <c r="F98" s="186"/>
      <c r="G98" s="186"/>
      <c r="H98" s="186"/>
      <c r="I98" s="186"/>
      <c r="J98" s="186"/>
    </row>
    <row r="99" spans="2:10">
      <c r="B99" t="s">
        <v>866</v>
      </c>
    </row>
    <row r="100" spans="2:10">
      <c r="B100" t="s">
        <v>861</v>
      </c>
    </row>
    <row r="101" spans="2:10">
      <c r="B101" t="s">
        <v>84</v>
      </c>
      <c r="C101" t="s">
        <v>862</v>
      </c>
      <c r="D101" t="s">
        <v>863</v>
      </c>
      <c r="E101">
        <v>18</v>
      </c>
      <c r="F101" t="s">
        <v>864</v>
      </c>
      <c r="G101" t="s">
        <v>865</v>
      </c>
      <c r="H101">
        <v>0.5</v>
      </c>
    </row>
    <row r="103" spans="2:10" ht="28.5">
      <c r="B103" s="186" t="s">
        <v>852</v>
      </c>
      <c r="C103" s="186" t="s">
        <v>783</v>
      </c>
      <c r="D103" s="380" t="s">
        <v>867</v>
      </c>
      <c r="E103" s="186" t="s">
        <v>409</v>
      </c>
      <c r="F103" s="186"/>
      <c r="G103" s="186"/>
      <c r="H103" s="186"/>
      <c r="I103" s="186"/>
      <c r="J103" s="186"/>
    </row>
    <row r="104" spans="2:10">
      <c r="B104" t="s">
        <v>773</v>
      </c>
      <c r="C104" t="s">
        <v>788</v>
      </c>
      <c r="D104" t="s">
        <v>775</v>
      </c>
      <c r="E104" t="s">
        <v>776</v>
      </c>
    </row>
    <row r="105" spans="2:10">
      <c r="B105" s="190">
        <v>89</v>
      </c>
      <c r="C105" s="368" t="s">
        <v>787</v>
      </c>
      <c r="D105">
        <v>150</v>
      </c>
      <c r="E105" t="s">
        <v>778</v>
      </c>
    </row>
    <row r="106" spans="2:10" ht="15">
      <c r="B106" s="190">
        <v>350</v>
      </c>
      <c r="C106" s="369" t="s">
        <v>787</v>
      </c>
      <c r="D106">
        <v>1500</v>
      </c>
      <c r="E106" t="s">
        <v>855</v>
      </c>
      <c r="I106" s="371"/>
      <c r="J106" s="281"/>
    </row>
    <row r="107" spans="2:10" ht="15">
      <c r="B107" s="190">
        <f>(B105+B106-(B108*D108))/D107</f>
        <v>-7.0269360269360301E-2</v>
      </c>
      <c r="C107" s="370" t="s">
        <v>194</v>
      </c>
      <c r="D107">
        <f>I88-D105</f>
        <v>660</v>
      </c>
      <c r="E107" t="s">
        <v>857</v>
      </c>
      <c r="I107" s="306"/>
      <c r="J107" s="306"/>
    </row>
    <row r="108" spans="2:10" ht="15">
      <c r="B108" s="190">
        <f>(B106*(2*D108+D107)-(B105*D107))/((D108^2)+D107*D108)</f>
        <v>0.70344605475040256</v>
      </c>
      <c r="C108" s="367" t="s">
        <v>194</v>
      </c>
      <c r="D108">
        <f>D106-I88</f>
        <v>690</v>
      </c>
      <c r="E108" t="s">
        <v>856</v>
      </c>
      <c r="H108" t="s">
        <v>877</v>
      </c>
      <c r="I108">
        <f>SUM(D107:D108)</f>
        <v>1350</v>
      </c>
      <c r="J108" s="306"/>
    </row>
    <row r="110" spans="2:10">
      <c r="B110" t="s">
        <v>868</v>
      </c>
      <c r="F110" t="s">
        <v>870</v>
      </c>
    </row>
    <row r="111" spans="2:10">
      <c r="B111" t="s">
        <v>878</v>
      </c>
      <c r="D111" s="281">
        <f>B105-B107*D107</f>
        <v>135.37777777777779</v>
      </c>
      <c r="E111" t="s">
        <v>718</v>
      </c>
    </row>
    <row r="112" spans="2:10">
      <c r="B112" t="s">
        <v>869</v>
      </c>
      <c r="D112" s="281">
        <f>(B105^2)/(2*B107)</f>
        <v>-56361.691423095326</v>
      </c>
      <c r="E112" t="s">
        <v>793</v>
      </c>
      <c r="F112">
        <f>B105/B107</f>
        <v>-1266.5548634403444</v>
      </c>
      <c r="G112" t="s">
        <v>227</v>
      </c>
    </row>
    <row r="113" spans="2:14">
      <c r="B113" t="s">
        <v>875</v>
      </c>
      <c r="D113" s="281">
        <f>((D111^2)/(2*B108))-D111*(I108-D107)+B108*(0.5*I108^2+0.5*D107^2-I108*D107)</f>
        <v>87071.353355919797</v>
      </c>
      <c r="E113" t="s">
        <v>793</v>
      </c>
      <c r="F113">
        <f>(D111/B108)+D107</f>
        <v>852.44940939474407</v>
      </c>
      <c r="G113" t="s">
        <v>227</v>
      </c>
      <c r="H113" s="381" t="s">
        <v>908</v>
      </c>
    </row>
    <row r="114" spans="2:14">
      <c r="B114" t="s">
        <v>796</v>
      </c>
      <c r="D114" s="281">
        <f>MAX(D112:D113)</f>
        <v>87071.353355919797</v>
      </c>
      <c r="E114" t="s">
        <v>793</v>
      </c>
      <c r="H114" s="381" t="s">
        <v>909</v>
      </c>
    </row>
    <row r="115" spans="2:14">
      <c r="B115" t="s">
        <v>874</v>
      </c>
      <c r="D115" s="281">
        <f>D114/tubeZ</f>
        <v>9.8061211184025261</v>
      </c>
      <c r="E115" t="s">
        <v>723</v>
      </c>
    </row>
    <row r="116" spans="2:14">
      <c r="B116" t="s">
        <v>904</v>
      </c>
      <c r="D116" s="281">
        <f>B106/(PI()*I87*I84)</f>
        <v>0.87648152465870166</v>
      </c>
      <c r="E116" t="s">
        <v>723</v>
      </c>
    </row>
    <row r="117" spans="2:14">
      <c r="B117" t="s">
        <v>900</v>
      </c>
      <c r="D117" s="281">
        <f>StyComp/D115</f>
        <v>13.329159548711496</v>
      </c>
    </row>
    <row r="118" spans="2:14">
      <c r="B118" t="s">
        <v>901</v>
      </c>
      <c r="D118" s="281">
        <f>ScyComp/D115</f>
        <v>5.442051053658556</v>
      </c>
    </row>
    <row r="119" spans="2:14">
      <c r="B119" t="s">
        <v>903</v>
      </c>
      <c r="D119" s="281">
        <f>SsyComp/D116</f>
        <v>41.2243178260332</v>
      </c>
      <c r="F119" s="381" t="s">
        <v>906</v>
      </c>
    </row>
    <row r="120" spans="2:14">
      <c r="F120" s="381" t="s">
        <v>907</v>
      </c>
    </row>
    <row r="121" spans="2:14">
      <c r="L121" t="s">
        <v>789</v>
      </c>
    </row>
    <row r="122" spans="2:14">
      <c r="B122" t="s">
        <v>876</v>
      </c>
      <c r="C122">
        <v>15</v>
      </c>
      <c r="D122">
        <f>I108/C122</f>
        <v>90</v>
      </c>
      <c r="L122" t="s">
        <v>785</v>
      </c>
      <c r="M122" t="s">
        <v>792</v>
      </c>
    </row>
    <row r="123" spans="2:14">
      <c r="B123" s="373" t="s">
        <v>794</v>
      </c>
      <c r="C123" s="373" t="s">
        <v>320</v>
      </c>
      <c r="D123" s="373" t="s">
        <v>795</v>
      </c>
      <c r="L123">
        <f>D105</f>
        <v>150</v>
      </c>
      <c r="M123">
        <v>0</v>
      </c>
    </row>
    <row r="124" spans="2:14">
      <c r="B124">
        <v>0</v>
      </c>
      <c r="C124">
        <f t="shared" ref="C124:C140" si="0">IF(B124&lt;$D$107,$B$105-$B$107*B124,$D$111-$B$108*(B124-$D$107))</f>
        <v>89</v>
      </c>
      <c r="D124">
        <f>IF(B124&lt;$D$107,$B$105*B124-$B$107*(B124^2)*0.5,$D$111*B124+$B$108*($D$107*B124+0.5*$I$108^2-0.5*B124^2)-$I$108*($D$111+$B$108*$D$107))</f>
        <v>0</v>
      </c>
      <c r="L124">
        <f>L123</f>
        <v>150</v>
      </c>
      <c r="M124">
        <f>B105</f>
        <v>89</v>
      </c>
      <c r="N124" t="s">
        <v>786</v>
      </c>
    </row>
    <row r="125" spans="2:14">
      <c r="B125">
        <f>D122</f>
        <v>90</v>
      </c>
      <c r="C125">
        <f t="shared" si="0"/>
        <v>95.324242424242428</v>
      </c>
      <c r="D125">
        <f t="shared" ref="D125:D141" si="1">IF(B125&lt;$D$107,$B$105*B125-$B$107*(B125^2)*0.5,$D$111*B125+$B$108*($D$107*B125+0.5*$I$108^2-0.5*B125^2)-$I$108*($D$111+$B$108*$D$107))</f>
        <v>8294.5909090909099</v>
      </c>
      <c r="L125" t="e">
        <f>#REF!</f>
        <v>#REF!</v>
      </c>
      <c r="M125">
        <f>M124</f>
        <v>89</v>
      </c>
    </row>
    <row r="126" spans="2:14">
      <c r="B126">
        <f>B125+$D$122</f>
        <v>180</v>
      </c>
      <c r="C126">
        <f t="shared" si="0"/>
        <v>101.64848484848486</v>
      </c>
      <c r="D126">
        <f t="shared" si="1"/>
        <v>17158.363636363636</v>
      </c>
      <c r="L126" t="e">
        <f>L125</f>
        <v>#REF!</v>
      </c>
      <c r="M126" t="e">
        <f>M125-#REF!</f>
        <v>#REF!</v>
      </c>
    </row>
    <row r="127" spans="2:14">
      <c r="B127">
        <f t="shared" ref="B127:B140" si="2">B126+$D$122</f>
        <v>270</v>
      </c>
      <c r="C127">
        <f t="shared" si="0"/>
        <v>107.97272727272728</v>
      </c>
      <c r="D127">
        <f t="shared" si="1"/>
        <v>26591.318181818184</v>
      </c>
      <c r="L127">
        <f>D106</f>
        <v>1500</v>
      </c>
      <c r="M127" t="e">
        <f>M126</f>
        <v>#REF!</v>
      </c>
    </row>
    <row r="128" spans="2:14">
      <c r="B128">
        <f t="shared" si="2"/>
        <v>360</v>
      </c>
      <c r="C128">
        <f t="shared" si="0"/>
        <v>114.29696969696971</v>
      </c>
      <c r="D128">
        <f t="shared" si="1"/>
        <v>36593.454545454544</v>
      </c>
      <c r="L128">
        <f>L127</f>
        <v>1500</v>
      </c>
      <c r="M128" t="e">
        <f>M126+B106</f>
        <v>#REF!</v>
      </c>
    </row>
    <row r="129" spans="2:13">
      <c r="B129">
        <f t="shared" si="2"/>
        <v>450</v>
      </c>
      <c r="C129">
        <f t="shared" si="0"/>
        <v>120.62121212121214</v>
      </c>
      <c r="D129">
        <f t="shared" si="1"/>
        <v>47164.772727272728</v>
      </c>
    </row>
    <row r="130" spans="2:13">
      <c r="B130">
        <f t="shared" si="2"/>
        <v>540</v>
      </c>
      <c r="C130">
        <f t="shared" si="0"/>
        <v>126.94545454545457</v>
      </c>
      <c r="D130">
        <f t="shared" si="1"/>
        <v>58305.272727272735</v>
      </c>
    </row>
    <row r="131" spans="2:13">
      <c r="B131">
        <f t="shared" si="2"/>
        <v>630</v>
      </c>
      <c r="C131">
        <f t="shared" si="0"/>
        <v>133.26969696969698</v>
      </c>
      <c r="D131">
        <f t="shared" si="1"/>
        <v>70014.954545454559</v>
      </c>
    </row>
    <row r="132" spans="2:13">
      <c r="B132">
        <f>D107</f>
        <v>660</v>
      </c>
      <c r="C132">
        <f t="shared" si="0"/>
        <v>135.37777777777779</v>
      </c>
      <c r="D132">
        <f t="shared" si="1"/>
        <v>74044.666666666628</v>
      </c>
    </row>
    <row r="133" spans="2:13">
      <c r="B133">
        <f>B131+$D$122</f>
        <v>720</v>
      </c>
      <c r="C133">
        <f t="shared" si="0"/>
        <v>93.171014492753642</v>
      </c>
      <c r="D133">
        <f t="shared" si="1"/>
        <v>80901.130434782477</v>
      </c>
    </row>
    <row r="134" spans="2:13">
      <c r="B134">
        <f t="shared" si="2"/>
        <v>810</v>
      </c>
      <c r="C134">
        <f t="shared" si="0"/>
        <v>29.860869565217413</v>
      </c>
      <c r="D134">
        <f>IF(B134&lt;$D$107,$B$105*B134-$B$107*(B134^2)*0.5,$D$111*B134+$B$108*($D$107*B134+0.5*$I$108^2-0.5*B134^2)-$I$108*($D$111+$B$108*$D$107))</f>
        <v>86437.565217391239</v>
      </c>
      <c r="L134" t="s">
        <v>790</v>
      </c>
    </row>
    <row r="135" spans="2:13">
      <c r="B135">
        <f t="shared" si="2"/>
        <v>900</v>
      </c>
      <c r="C135">
        <f t="shared" si="0"/>
        <v>-33.449275362318815</v>
      </c>
      <c r="D135">
        <f t="shared" si="1"/>
        <v>86276.086956521613</v>
      </c>
      <c r="L135" t="s">
        <v>785</v>
      </c>
      <c r="M135" t="s">
        <v>791</v>
      </c>
    </row>
    <row r="136" spans="2:13">
      <c r="B136">
        <f t="shared" si="2"/>
        <v>990</v>
      </c>
      <c r="C136">
        <f t="shared" si="0"/>
        <v>-96.759420289855058</v>
      </c>
      <c r="D136">
        <f t="shared" si="1"/>
        <v>80416.695652173832</v>
      </c>
      <c r="L136">
        <f>L123</f>
        <v>150</v>
      </c>
      <c r="M136">
        <f>M123</f>
        <v>0</v>
      </c>
    </row>
    <row r="137" spans="2:13">
      <c r="B137">
        <f t="shared" si="2"/>
        <v>1080</v>
      </c>
      <c r="C137">
        <f t="shared" si="0"/>
        <v>-160.0695652173913</v>
      </c>
      <c r="D137">
        <f t="shared" si="1"/>
        <v>68859.391304347781</v>
      </c>
      <c r="L137" t="e">
        <f>L125</f>
        <v>#REF!</v>
      </c>
      <c r="M137" t="e">
        <f>(L137-L136)*M125</f>
        <v>#REF!</v>
      </c>
    </row>
    <row r="138" spans="2:13">
      <c r="B138">
        <f t="shared" si="2"/>
        <v>1170</v>
      </c>
      <c r="C138">
        <f t="shared" si="0"/>
        <v>-223.37971014492751</v>
      </c>
      <c r="D138">
        <f t="shared" si="1"/>
        <v>51604.173913043342</v>
      </c>
      <c r="L138">
        <f>L127</f>
        <v>1500</v>
      </c>
      <c r="M138" t="e">
        <f>M137-(L138-L137)*M126</f>
        <v>#REF!</v>
      </c>
    </row>
    <row r="139" spans="2:13">
      <c r="B139">
        <f t="shared" si="2"/>
        <v>1260</v>
      </c>
      <c r="C139">
        <f t="shared" si="0"/>
        <v>-286.68985507246373</v>
      </c>
      <c r="D139">
        <f t="shared" si="1"/>
        <v>28651.043478260748</v>
      </c>
    </row>
    <row r="140" spans="2:13">
      <c r="B140">
        <f t="shared" si="2"/>
        <v>1350</v>
      </c>
      <c r="C140">
        <f t="shared" si="0"/>
        <v>-350</v>
      </c>
      <c r="D140">
        <f t="shared" si="1"/>
        <v>-1.1641532182693481E-10</v>
      </c>
    </row>
    <row r="141" spans="2:13">
      <c r="B141">
        <f>B140</f>
        <v>1350</v>
      </c>
      <c r="C141">
        <f>0</f>
        <v>0</v>
      </c>
      <c r="D141">
        <f t="shared" si="1"/>
        <v>-1.1641532182693481E-10</v>
      </c>
    </row>
    <row r="157" spans="2:10">
      <c r="B157" s="186" t="s">
        <v>784</v>
      </c>
      <c r="C157" s="186" t="s">
        <v>783</v>
      </c>
      <c r="D157" s="186" t="s">
        <v>774</v>
      </c>
      <c r="E157" s="186" t="s">
        <v>409</v>
      </c>
      <c r="F157" s="186"/>
      <c r="G157" s="186"/>
      <c r="H157" s="186"/>
      <c r="I157" s="186"/>
      <c r="J157" s="186"/>
    </row>
    <row r="158" spans="2:10">
      <c r="B158" t="s">
        <v>773</v>
      </c>
      <c r="C158" t="s">
        <v>788</v>
      </c>
      <c r="D158" t="s">
        <v>775</v>
      </c>
      <c r="E158" t="s">
        <v>776</v>
      </c>
    </row>
    <row r="159" spans="2:10">
      <c r="B159">
        <v>6</v>
      </c>
      <c r="C159" s="368" t="s">
        <v>194</v>
      </c>
      <c r="D159">
        <v>0</v>
      </c>
      <c r="E159" t="s">
        <v>853</v>
      </c>
    </row>
    <row r="160" spans="2:10">
      <c r="B160">
        <v>150</v>
      </c>
      <c r="C160" s="369" t="s">
        <v>194</v>
      </c>
      <c r="E160" t="s">
        <v>854</v>
      </c>
    </row>
    <row r="161" spans="2:10">
      <c r="B161" s="281">
        <f>(H164*9.81*(1+H163))</f>
        <v>1261.6950899999999</v>
      </c>
      <c r="C161" s="370" t="s">
        <v>194</v>
      </c>
      <c r="E161" t="s">
        <v>895</v>
      </c>
      <c r="I161" s="378"/>
      <c r="J161" s="378"/>
    </row>
    <row r="162" spans="2:10">
      <c r="B162">
        <v>1200</v>
      </c>
      <c r="C162" t="s">
        <v>787</v>
      </c>
      <c r="D162" t="s">
        <v>88</v>
      </c>
      <c r="E162" t="s">
        <v>777</v>
      </c>
    </row>
    <row r="163" spans="2:10">
      <c r="G163" t="s">
        <v>879</v>
      </c>
      <c r="H163">
        <f>(B162/H164)/9.81</f>
        <v>19.450494358627243</v>
      </c>
      <c r="I163" t="s">
        <v>884</v>
      </c>
    </row>
    <row r="164" spans="2:10">
      <c r="G164" t="s">
        <v>881</v>
      </c>
      <c r="H164">
        <f>H166-H165</f>
        <v>6.2889999999999997</v>
      </c>
    </row>
    <row r="165" spans="2:10">
      <c r="G165" t="s">
        <v>882</v>
      </c>
      <c r="H165">
        <f>3.423-2.328</f>
        <v>1.0950000000000002</v>
      </c>
    </row>
    <row r="166" spans="2:10">
      <c r="G166" t="s">
        <v>880</v>
      </c>
      <c r="H166">
        <v>7.3840000000000003</v>
      </c>
    </row>
    <row r="167" spans="2:10">
      <c r="G167" t="s">
        <v>883</v>
      </c>
    </row>
    <row r="168" spans="2:10">
      <c r="B168" t="s">
        <v>885</v>
      </c>
      <c r="D168" s="281">
        <f>B160/I89</f>
        <v>0.37563493913944335</v>
      </c>
      <c r="E168" t="s">
        <v>723</v>
      </c>
    </row>
    <row r="169" spans="2:10">
      <c r="B169" t="s">
        <v>886</v>
      </c>
      <c r="D169" s="281">
        <f>B161/I89</f>
        <v>3.159578388964563</v>
      </c>
      <c r="E169" t="s">
        <v>723</v>
      </c>
      <c r="F169" t="s">
        <v>891</v>
      </c>
    </row>
    <row r="170" spans="2:10">
      <c r="B170" t="s">
        <v>887</v>
      </c>
      <c r="D170" s="281">
        <f>Sbending</f>
        <v>9.8061211184025261</v>
      </c>
      <c r="E170" t="s">
        <v>723</v>
      </c>
      <c r="F170" t="s">
        <v>892</v>
      </c>
    </row>
    <row r="171" spans="2:10">
      <c r="B171" t="s">
        <v>888</v>
      </c>
      <c r="D171" s="281">
        <f>SUM(D168:D170)</f>
        <v>13.341334446506533</v>
      </c>
      <c r="E171" t="s">
        <v>723</v>
      </c>
      <c r="F171" t="s">
        <v>893</v>
      </c>
    </row>
    <row r="172" spans="2:10">
      <c r="B172" t="s">
        <v>902</v>
      </c>
      <c r="D172" s="281">
        <f>D111</f>
        <v>135.37777777777779</v>
      </c>
      <c r="F172" t="s">
        <v>894</v>
      </c>
      <c r="G172">
        <f>(B160/H164)/9.81</f>
        <v>2.4313117948284053</v>
      </c>
    </row>
    <row r="173" spans="2:10">
      <c r="B173" s="273" t="s">
        <v>890</v>
      </c>
      <c r="C173" s="273"/>
      <c r="D173" s="387">
        <f>ScyComp/D171</f>
        <v>4.0000055450734742</v>
      </c>
    </row>
    <row r="174" spans="2:10">
      <c r="B174" s="273" t="s">
        <v>889</v>
      </c>
      <c r="C174" s="273"/>
      <c r="D174" s="387">
        <f>StyComp/Sbending</f>
        <v>13.329159548711496</v>
      </c>
    </row>
    <row r="175" spans="2:10">
      <c r="B175" s="273" t="s">
        <v>896</v>
      </c>
      <c r="C175" s="273"/>
      <c r="D175" s="387">
        <f>D119</f>
        <v>41.2243178260332</v>
      </c>
    </row>
    <row r="176" spans="2:10">
      <c r="B176" s="388"/>
      <c r="C176" s="388"/>
      <c r="D176" s="388"/>
      <c r="E176" s="388"/>
      <c r="F176" s="388"/>
      <c r="G176" s="388"/>
      <c r="H176" s="388"/>
      <c r="I176" s="388"/>
    </row>
    <row r="177" spans="2:12">
      <c r="B177" s="388" t="s">
        <v>928</v>
      </c>
      <c r="C177" s="388"/>
      <c r="D177" s="388"/>
      <c r="E177" s="388"/>
      <c r="F177" s="388" t="s">
        <v>952</v>
      </c>
      <c r="G177" s="388"/>
      <c r="H177" s="388"/>
      <c r="I177" s="388"/>
    </row>
    <row r="178" spans="2:12">
      <c r="B178" s="388" t="s">
        <v>921</v>
      </c>
      <c r="C178" s="388"/>
      <c r="D178" s="388">
        <f>(I89*I83)/(1000^3)</f>
        <v>6.4690467973159838E-4</v>
      </c>
      <c r="E178" s="388" t="s">
        <v>680</v>
      </c>
      <c r="F178" s="388" t="s">
        <v>954</v>
      </c>
      <c r="G178" s="388"/>
      <c r="H178" s="388"/>
      <c r="I178" s="388"/>
    </row>
    <row r="179" spans="2:12">
      <c r="B179" s="388" t="s">
        <v>922</v>
      </c>
      <c r="C179" s="388"/>
      <c r="D179" s="388">
        <f>F26*D178</f>
        <v>2.9110710587921927E-4</v>
      </c>
      <c r="E179" s="388" t="s">
        <v>680</v>
      </c>
      <c r="F179" s="388" t="s">
        <v>953</v>
      </c>
      <c r="G179" s="388">
        <f>I193</f>
        <v>0.67485735107802547</v>
      </c>
      <c r="H179" s="388" t="s">
        <v>955</v>
      </c>
      <c r="I179" s="388"/>
    </row>
    <row r="180" spans="2:12">
      <c r="C180" s="388"/>
      <c r="D180" s="388">
        <f>D179*(1000)</f>
        <v>0.29110710587921929</v>
      </c>
      <c r="E180" s="388" t="s">
        <v>403</v>
      </c>
      <c r="F180" s="390" t="s">
        <v>959</v>
      </c>
      <c r="G180" s="388"/>
      <c r="H180" s="388"/>
      <c r="I180" s="388"/>
    </row>
    <row r="181" spans="2:12">
      <c r="B181" s="388" t="s">
        <v>923</v>
      </c>
      <c r="C181" s="388"/>
      <c r="D181" s="388">
        <f>F25*D178</f>
        <v>3.5579757385237912E-4</v>
      </c>
      <c r="E181" s="388" t="s">
        <v>680</v>
      </c>
      <c r="F181" s="390" t="s">
        <v>961</v>
      </c>
      <c r="G181" s="388"/>
      <c r="H181" s="388"/>
      <c r="I181" s="388"/>
    </row>
    <row r="182" spans="2:12">
      <c r="B182" s="388" t="s">
        <v>924</v>
      </c>
      <c r="C182" s="388"/>
      <c r="D182" s="388">
        <f>D25*D181</f>
        <v>0.33978668302902204</v>
      </c>
      <c r="E182" s="388" t="s">
        <v>310</v>
      </c>
      <c r="F182" s="388" t="s">
        <v>962</v>
      </c>
      <c r="H182" s="388"/>
      <c r="I182" s="388"/>
    </row>
    <row r="183" spans="2:12">
      <c r="B183" s="388" t="s">
        <v>925</v>
      </c>
      <c r="C183" s="388"/>
      <c r="D183" s="388">
        <f>D182/(D20/1000)</f>
        <v>1.7789878692618954</v>
      </c>
      <c r="E183" s="388" t="s">
        <v>223</v>
      </c>
      <c r="F183" s="391" t="s">
        <v>960</v>
      </c>
      <c r="G183" s="388"/>
      <c r="H183" s="388"/>
      <c r="I183" s="388"/>
    </row>
    <row r="184" spans="2:12">
      <c r="B184" s="388" t="s">
        <v>926</v>
      </c>
      <c r="C184" s="388"/>
      <c r="D184" s="388">
        <v>1.62</v>
      </c>
      <c r="E184" s="388" t="s">
        <v>197</v>
      </c>
      <c r="F184" s="388"/>
      <c r="G184" s="388"/>
      <c r="H184" s="388"/>
      <c r="I184" s="388"/>
    </row>
    <row r="185" spans="2:12">
      <c r="B185" s="388" t="s">
        <v>927</v>
      </c>
      <c r="C185" s="388"/>
      <c r="D185" s="388">
        <f>D183/D184</f>
        <v>1.0981406600382071</v>
      </c>
      <c r="E185" s="388" t="s">
        <v>197</v>
      </c>
      <c r="F185" s="388"/>
      <c r="G185" s="388"/>
      <c r="H185" s="388"/>
      <c r="I185" s="388"/>
    </row>
    <row r="186" spans="2:12">
      <c r="B186" s="388"/>
      <c r="C186" s="388"/>
      <c r="D186" s="388"/>
      <c r="E186" s="388"/>
      <c r="F186" s="388"/>
      <c r="G186" s="388"/>
      <c r="H186" s="388" t="s">
        <v>957</v>
      </c>
      <c r="I186" s="388" t="s">
        <v>956</v>
      </c>
    </row>
    <row r="187" spans="2:12">
      <c r="B187" s="388" t="s">
        <v>929</v>
      </c>
      <c r="C187" s="388"/>
      <c r="D187" s="388"/>
      <c r="E187" s="388"/>
      <c r="F187" s="388" t="s">
        <v>937</v>
      </c>
      <c r="G187" s="388"/>
      <c r="H187" s="388"/>
      <c r="I187" s="388" t="s">
        <v>679</v>
      </c>
    </row>
    <row r="188" spans="2:12">
      <c r="B188" s="388" t="s">
        <v>930</v>
      </c>
      <c r="C188" s="388"/>
      <c r="D188" s="392">
        <v>0.2</v>
      </c>
      <c r="E188" s="388" t="s">
        <v>227</v>
      </c>
      <c r="F188" s="388">
        <v>0.3</v>
      </c>
      <c r="G188" s="388" t="s">
        <v>935</v>
      </c>
      <c r="I188" s="388">
        <f>($I$89/1000^2)*F188</f>
        <v>1.1979716291325894E-4</v>
      </c>
      <c r="L188" s="388"/>
    </row>
    <row r="189" spans="2:12">
      <c r="B189" s="388" t="s">
        <v>932</v>
      </c>
      <c r="C189" s="388"/>
      <c r="D189" s="392">
        <f>PI()*I87</f>
        <v>283.70941046776511</v>
      </c>
      <c r="E189" s="388" t="s">
        <v>227</v>
      </c>
      <c r="F189" s="388">
        <v>0.22</v>
      </c>
      <c r="G189" s="388" t="s">
        <v>936</v>
      </c>
      <c r="I189" s="388">
        <f t="shared" ref="I189:I191" si="3">($I$89/1000^2)*F189</f>
        <v>8.7851252803056561E-5</v>
      </c>
      <c r="J189" s="388"/>
      <c r="K189" s="388"/>
      <c r="L189" s="388"/>
    </row>
    <row r="190" spans="2:12">
      <c r="B190" s="388" t="s">
        <v>205</v>
      </c>
      <c r="C190" s="388"/>
      <c r="D190" s="392">
        <v>1620</v>
      </c>
      <c r="E190" s="388" t="s">
        <v>227</v>
      </c>
      <c r="F190" s="388">
        <v>0.37</v>
      </c>
      <c r="G190" s="388" t="s">
        <v>938</v>
      </c>
      <c r="H190" s="388"/>
      <c r="I190" s="388">
        <f t="shared" si="3"/>
        <v>1.4774983425968604E-4</v>
      </c>
      <c r="L190" s="388"/>
    </row>
    <row r="191" spans="2:12">
      <c r="B191" s="388" t="s">
        <v>931</v>
      </c>
      <c r="C191" s="388"/>
      <c r="D191" s="392">
        <f>ROUNDUP(I84/D188,0)</f>
        <v>8</v>
      </c>
      <c r="E191" s="388" t="s">
        <v>934</v>
      </c>
      <c r="F191" s="388">
        <v>0.8</v>
      </c>
      <c r="G191" s="388" t="s">
        <v>939</v>
      </c>
      <c r="H191" s="388"/>
      <c r="I191" s="388">
        <f t="shared" si="3"/>
        <v>3.1945910110202391E-4</v>
      </c>
    </row>
    <row r="192" spans="2:12">
      <c r="B192" s="388" t="s">
        <v>933</v>
      </c>
      <c r="D192" s="281">
        <f>(D189/1000)*(D190/1000)*D191</f>
        <v>3.676873959662236</v>
      </c>
      <c r="E192" t="s">
        <v>223</v>
      </c>
      <c r="F192" s="388">
        <f>SUM(F188:F191)</f>
        <v>1.69</v>
      </c>
      <c r="G192" s="393">
        <f>SUM(F190:F191)</f>
        <v>1.17</v>
      </c>
      <c r="H192" s="388" t="s">
        <v>940</v>
      </c>
      <c r="I192" s="388">
        <f>SUM(I188:I191)</f>
        <v>6.7485735107802544E-4</v>
      </c>
    </row>
    <row r="193" spans="2:10">
      <c r="B193" s="388" t="s">
        <v>926</v>
      </c>
      <c r="C193" s="388"/>
      <c r="D193" s="392">
        <v>1.17</v>
      </c>
      <c r="I193" s="388">
        <f>I192*1000</f>
        <v>0.67485735107802547</v>
      </c>
      <c r="J193" t="s">
        <v>958</v>
      </c>
    </row>
    <row r="194" spans="2:10">
      <c r="B194" s="386" t="s">
        <v>927</v>
      </c>
      <c r="C194" s="386"/>
      <c r="D194" s="394">
        <f>D192/D193</f>
        <v>3.1426273159506293</v>
      </c>
      <c r="I194" s="388"/>
    </row>
    <row r="195" spans="2:10">
      <c r="B195" s="388" t="s">
        <v>930</v>
      </c>
      <c r="C195" s="388"/>
      <c r="D195" s="392">
        <v>0.2</v>
      </c>
      <c r="E195" s="388" t="s">
        <v>227</v>
      </c>
      <c r="F195" s="393">
        <v>1.17</v>
      </c>
      <c r="G195" s="388" t="s">
        <v>940</v>
      </c>
      <c r="I195" s="388"/>
    </row>
    <row r="196" spans="2:10">
      <c r="B196" s="388" t="s">
        <v>932</v>
      </c>
      <c r="C196" s="388"/>
      <c r="D196" s="392">
        <f>PI()*I87</f>
        <v>283.70941046776511</v>
      </c>
      <c r="E196" s="388" t="s">
        <v>227</v>
      </c>
      <c r="I196" s="388"/>
    </row>
    <row r="197" spans="2:10">
      <c r="B197" s="388" t="s">
        <v>205</v>
      </c>
      <c r="C197" s="388"/>
      <c r="D197" s="392">
        <v>1170</v>
      </c>
      <c r="E197" s="388" t="s">
        <v>227</v>
      </c>
      <c r="I197" s="388"/>
    </row>
    <row r="198" spans="2:10">
      <c r="B198" s="388" t="s">
        <v>931</v>
      </c>
      <c r="C198" s="388"/>
      <c r="D198" s="392">
        <v>9</v>
      </c>
      <c r="E198" s="388" t="s">
        <v>934</v>
      </c>
      <c r="F198" s="388"/>
      <c r="G198" s="388"/>
      <c r="H198" s="388"/>
      <c r="I198" s="388"/>
    </row>
    <row r="199" spans="2:10">
      <c r="B199" s="388" t="s">
        <v>933</v>
      </c>
      <c r="D199" s="281">
        <f>(D196/1000)*(D197/1000)*D198</f>
        <v>2.9874600922255663</v>
      </c>
      <c r="E199" t="s">
        <v>223</v>
      </c>
      <c r="F199" s="388"/>
      <c r="G199" s="388"/>
      <c r="H199" s="388"/>
      <c r="I199" s="388"/>
    </row>
    <row r="200" spans="2:10">
      <c r="B200" s="388" t="s">
        <v>926</v>
      </c>
      <c r="C200" s="388"/>
      <c r="D200" s="392">
        <v>1.17</v>
      </c>
      <c r="H200" s="388"/>
      <c r="I200" s="388"/>
    </row>
    <row r="201" spans="2:10">
      <c r="B201" s="386" t="s">
        <v>927</v>
      </c>
      <c r="C201" s="386"/>
      <c r="D201" s="394">
        <f>D199/D200</f>
        <v>2.5533846942098859</v>
      </c>
      <c r="F201" s="388"/>
      <c r="G201" s="388"/>
      <c r="H201" s="388"/>
      <c r="I201" s="388"/>
    </row>
    <row r="202" spans="2:10">
      <c r="B202" s="388" t="s">
        <v>930</v>
      </c>
      <c r="C202" s="388"/>
      <c r="D202" s="392">
        <v>0.2</v>
      </c>
      <c r="E202" s="388" t="s">
        <v>227</v>
      </c>
      <c r="F202" s="301">
        <f>SUM(F188:F189)</f>
        <v>0.52</v>
      </c>
      <c r="G202" s="388" t="s">
        <v>941</v>
      </c>
      <c r="H202" s="388"/>
      <c r="I202" s="388"/>
    </row>
    <row r="203" spans="2:10">
      <c r="B203" s="388" t="s">
        <v>932</v>
      </c>
      <c r="C203" s="388"/>
      <c r="D203" s="392">
        <f>PI()*I87</f>
        <v>283.70941046776511</v>
      </c>
      <c r="E203" s="388" t="s">
        <v>227</v>
      </c>
      <c r="F203" s="388"/>
      <c r="G203" s="388"/>
      <c r="H203" s="388"/>
      <c r="I203" s="388"/>
    </row>
    <row r="204" spans="2:10">
      <c r="B204" s="388" t="s">
        <v>205</v>
      </c>
      <c r="C204" s="388"/>
      <c r="D204" s="392">
        <v>520</v>
      </c>
      <c r="E204" s="388" t="s">
        <v>227</v>
      </c>
      <c r="F204" s="388"/>
      <c r="G204" s="388"/>
      <c r="H204" s="388"/>
      <c r="I204" s="388"/>
    </row>
    <row r="205" spans="2:10">
      <c r="B205" s="388" t="s">
        <v>931</v>
      </c>
      <c r="C205" s="388"/>
      <c r="D205" s="392">
        <v>9</v>
      </c>
      <c r="E205" s="388" t="s">
        <v>934</v>
      </c>
      <c r="F205" s="388"/>
      <c r="G205" s="388"/>
      <c r="H205" s="388"/>
      <c r="I205" s="388"/>
    </row>
    <row r="206" spans="2:10">
      <c r="B206" s="388" t="s">
        <v>933</v>
      </c>
      <c r="D206" s="281">
        <f>(D203/1000)*(D204/1000)*D205</f>
        <v>1.3277600409891408</v>
      </c>
      <c r="E206" t="s">
        <v>223</v>
      </c>
      <c r="F206" s="388"/>
      <c r="G206" s="388"/>
      <c r="H206" s="388"/>
      <c r="I206" s="388"/>
    </row>
    <row r="207" spans="2:10">
      <c r="B207" s="388" t="s">
        <v>926</v>
      </c>
      <c r="C207" s="388"/>
      <c r="D207" s="392">
        <v>0.52</v>
      </c>
      <c r="F207" s="388"/>
      <c r="G207" s="388"/>
      <c r="H207" s="388"/>
      <c r="I207" s="388"/>
    </row>
    <row r="208" spans="2:10">
      <c r="B208" s="385" t="s">
        <v>927</v>
      </c>
      <c r="C208" s="385"/>
      <c r="D208" s="395">
        <f>D206/D207</f>
        <v>2.5533846942098859</v>
      </c>
      <c r="F208" s="388"/>
      <c r="G208" s="388"/>
      <c r="H208" s="388"/>
      <c r="I208" s="388"/>
    </row>
    <row r="210" spans="2:20">
      <c r="L210" t="s">
        <v>963</v>
      </c>
      <c r="Q210" t="s">
        <v>971</v>
      </c>
    </row>
    <row r="211" spans="2:20" ht="15.75">
      <c r="B211" s="398" t="s">
        <v>710</v>
      </c>
      <c r="C211" s="186"/>
      <c r="D211" s="186"/>
      <c r="L211" t="s">
        <v>964</v>
      </c>
      <c r="N211">
        <v>15</v>
      </c>
      <c r="O211" t="s">
        <v>196</v>
      </c>
      <c r="Q211" t="s">
        <v>974</v>
      </c>
      <c r="S211">
        <v>2</v>
      </c>
      <c r="T211" t="s">
        <v>227</v>
      </c>
    </row>
    <row r="212" spans="2:20">
      <c r="L212" t="s">
        <v>965</v>
      </c>
      <c r="N212">
        <v>10</v>
      </c>
      <c r="O212" t="s">
        <v>196</v>
      </c>
      <c r="Q212" t="s">
        <v>972</v>
      </c>
      <c r="S212">
        <v>0.25</v>
      </c>
      <c r="T212" t="s">
        <v>227</v>
      </c>
    </row>
    <row r="213" spans="2:20">
      <c r="L213" t="s">
        <v>966</v>
      </c>
      <c r="N213">
        <v>10</v>
      </c>
      <c r="O213" t="s">
        <v>196</v>
      </c>
      <c r="Q213" t="s">
        <v>973</v>
      </c>
      <c r="S213" s="286">
        <f>ROUNDUP(S211/S212,0)</f>
        <v>8</v>
      </c>
      <c r="T213" t="s">
        <v>934</v>
      </c>
    </row>
    <row r="214" spans="2:20">
      <c r="L214" t="s">
        <v>967</v>
      </c>
      <c r="N214">
        <v>40</v>
      </c>
      <c r="O214" t="s">
        <v>217</v>
      </c>
    </row>
    <row r="215" spans="2:20">
      <c r="Q215" t="s">
        <v>976</v>
      </c>
      <c r="S215">
        <f>4*S213</f>
        <v>32</v>
      </c>
      <c r="T215" t="s">
        <v>977</v>
      </c>
    </row>
    <row r="216" spans="2:20">
      <c r="L216" t="s">
        <v>968</v>
      </c>
      <c r="N216">
        <f>TAN(RADIANS(N214))*N213</f>
        <v>8.390996311772799</v>
      </c>
      <c r="O216" t="s">
        <v>196</v>
      </c>
    </row>
    <row r="217" spans="2:20">
      <c r="L217" t="s">
        <v>926</v>
      </c>
      <c r="N217">
        <f>N216+N212</f>
        <v>18.390996311772799</v>
      </c>
    </row>
    <row r="218" spans="2:20">
      <c r="L218" t="s">
        <v>927</v>
      </c>
      <c r="N218">
        <f>N213</f>
        <v>10</v>
      </c>
    </row>
    <row r="219" spans="2:20">
      <c r="L219" t="s">
        <v>969</v>
      </c>
      <c r="Q219" t="s">
        <v>975</v>
      </c>
    </row>
    <row r="220" spans="2:20">
      <c r="L220" t="s">
        <v>926</v>
      </c>
      <c r="N220" s="286">
        <f>N217+2.54*2</f>
        <v>23.470996311772801</v>
      </c>
      <c r="O220" t="s">
        <v>196</v>
      </c>
      <c r="Q220" t="s">
        <v>926</v>
      </c>
      <c r="R220">
        <v>8</v>
      </c>
      <c r="S220">
        <f>R220*N221</f>
        <v>120.64</v>
      </c>
    </row>
    <row r="221" spans="2:20">
      <c r="L221" t="s">
        <v>927</v>
      </c>
      <c r="N221" s="286">
        <f>N218+2.54*2</f>
        <v>15.08</v>
      </c>
      <c r="O221" t="s">
        <v>196</v>
      </c>
      <c r="Q221" t="s">
        <v>927</v>
      </c>
      <c r="R221">
        <f>S215/R220</f>
        <v>4</v>
      </c>
      <c r="S221">
        <f>R221*N220</f>
        <v>93.883985247091204</v>
      </c>
    </row>
    <row r="223" spans="2:20">
      <c r="L223" t="s">
        <v>970</v>
      </c>
      <c r="P223">
        <f>23/100</f>
        <v>0.23</v>
      </c>
      <c r="Q223">
        <f>15/100</f>
        <v>0.15</v>
      </c>
    </row>
    <row r="224" spans="2:20">
      <c r="L224" t="s">
        <v>926</v>
      </c>
      <c r="N224">
        <v>1.27</v>
      </c>
      <c r="O224" t="s">
        <v>197</v>
      </c>
      <c r="P224" s="281">
        <f>$N$224/P223</f>
        <v>5.5217391304347823</v>
      </c>
      <c r="Q224" s="281">
        <f>$N$224/Q223</f>
        <v>8.4666666666666668</v>
      </c>
    </row>
    <row r="225" spans="2:17">
      <c r="L225" t="s">
        <v>927</v>
      </c>
    </row>
    <row r="226" spans="2:17">
      <c r="Q226">
        <f>0.47*N221</f>
        <v>7.0875999999999992</v>
      </c>
    </row>
    <row r="227" spans="2:17" ht="15.75">
      <c r="B227" s="400" t="s">
        <v>711</v>
      </c>
      <c r="C227" s="186"/>
    </row>
    <row r="228" spans="2:17">
      <c r="L228" t="s">
        <v>978</v>
      </c>
    </row>
    <row r="239" spans="2:17">
      <c r="B239" s="399" t="s">
        <v>687</v>
      </c>
      <c r="C239" s="186"/>
      <c r="D239" s="186"/>
      <c r="E239" s="186"/>
    </row>
    <row r="240" spans="2:17" ht="42.75">
      <c r="B240" t="s">
        <v>690</v>
      </c>
      <c r="C240" t="s">
        <v>688</v>
      </c>
      <c r="D240" t="s">
        <v>691</v>
      </c>
      <c r="E240" t="s">
        <v>692</v>
      </c>
      <c r="F240" s="353" t="s">
        <v>696</v>
      </c>
      <c r="G240" t="s">
        <v>689</v>
      </c>
      <c r="H240" t="s">
        <v>694</v>
      </c>
      <c r="I240" t="s">
        <v>695</v>
      </c>
    </row>
    <row r="241" spans="2:9">
      <c r="B241">
        <v>2</v>
      </c>
      <c r="C241">
        <v>2.375</v>
      </c>
      <c r="D241">
        <f>C241-2*E241</f>
        <v>2.0670000000000002</v>
      </c>
      <c r="E241">
        <v>0.154</v>
      </c>
      <c r="F241" t="s">
        <v>697</v>
      </c>
      <c r="G241">
        <f>C241*25.4</f>
        <v>60.324999999999996</v>
      </c>
      <c r="H241">
        <f t="shared" ref="H241:I241" si="4">D241*25.4</f>
        <v>52.501800000000003</v>
      </c>
      <c r="I241">
        <f t="shared" si="4"/>
        <v>3.9115999999999995</v>
      </c>
    </row>
    <row r="242" spans="2:9">
      <c r="B242">
        <v>2</v>
      </c>
      <c r="C242">
        <v>2.375</v>
      </c>
      <c r="D242">
        <f t="shared" ref="D242:D250" si="5">C242-2*E242</f>
        <v>1.9390000000000001</v>
      </c>
      <c r="E242">
        <v>0.218</v>
      </c>
      <c r="F242" t="s">
        <v>698</v>
      </c>
      <c r="G242">
        <f t="shared" ref="G242:G250" si="6">C242*25.4</f>
        <v>60.324999999999996</v>
      </c>
      <c r="H242">
        <f t="shared" ref="H242:H250" si="7">D242*25.4</f>
        <v>49.250599999999999</v>
      </c>
      <c r="I242">
        <f t="shared" ref="I242:I250" si="8">E242*25.4</f>
        <v>5.5371999999999995</v>
      </c>
    </row>
    <row r="243" spans="2:9">
      <c r="B243">
        <v>2.5</v>
      </c>
      <c r="C243">
        <v>2.875</v>
      </c>
      <c r="D243">
        <f t="shared" si="5"/>
        <v>2.4689999999999999</v>
      </c>
      <c r="E243">
        <v>0.20300000000000001</v>
      </c>
      <c r="F243" t="s">
        <v>697</v>
      </c>
      <c r="G243">
        <f t="shared" si="6"/>
        <v>73.024999999999991</v>
      </c>
      <c r="H243">
        <f t="shared" si="7"/>
        <v>62.712599999999995</v>
      </c>
      <c r="I243">
        <f t="shared" si="8"/>
        <v>5.1562000000000001</v>
      </c>
    </row>
    <row r="244" spans="2:9">
      <c r="B244">
        <v>2.5</v>
      </c>
      <c r="C244">
        <v>2.875</v>
      </c>
      <c r="D244">
        <f t="shared" si="5"/>
        <v>2.323</v>
      </c>
      <c r="E244">
        <v>0.27600000000000002</v>
      </c>
      <c r="F244" t="s">
        <v>698</v>
      </c>
      <c r="G244">
        <f t="shared" si="6"/>
        <v>73.024999999999991</v>
      </c>
      <c r="H244">
        <f t="shared" si="7"/>
        <v>59.004199999999997</v>
      </c>
      <c r="I244">
        <f t="shared" si="8"/>
        <v>7.0104000000000006</v>
      </c>
    </row>
    <row r="245" spans="2:9">
      <c r="B245">
        <v>3</v>
      </c>
      <c r="C245">
        <v>3.5</v>
      </c>
      <c r="D245">
        <f t="shared" si="5"/>
        <v>3.0680000000000001</v>
      </c>
      <c r="E245">
        <v>0.216</v>
      </c>
      <c r="F245" t="s">
        <v>697</v>
      </c>
      <c r="G245">
        <f t="shared" si="6"/>
        <v>88.899999999999991</v>
      </c>
      <c r="H245">
        <f t="shared" si="7"/>
        <v>77.927199999999999</v>
      </c>
      <c r="I245">
        <f t="shared" si="8"/>
        <v>5.4863999999999997</v>
      </c>
    </row>
    <row r="246" spans="2:9">
      <c r="B246">
        <v>3</v>
      </c>
      <c r="C246">
        <v>3.5</v>
      </c>
      <c r="D246">
        <f t="shared" si="5"/>
        <v>2.9</v>
      </c>
      <c r="E246">
        <v>0.3</v>
      </c>
      <c r="F246" t="s">
        <v>698</v>
      </c>
      <c r="G246">
        <f t="shared" si="6"/>
        <v>88.899999999999991</v>
      </c>
      <c r="H246">
        <f t="shared" si="7"/>
        <v>73.66</v>
      </c>
      <c r="I246">
        <f t="shared" si="8"/>
        <v>7.6199999999999992</v>
      </c>
    </row>
    <row r="247" spans="2:9">
      <c r="B247">
        <v>3.5</v>
      </c>
      <c r="C247">
        <v>4</v>
      </c>
      <c r="D247">
        <f t="shared" si="5"/>
        <v>3.548</v>
      </c>
      <c r="E247">
        <v>0.22600000000000001</v>
      </c>
      <c r="F247" t="s">
        <v>697</v>
      </c>
      <c r="G247">
        <f t="shared" si="6"/>
        <v>101.6</v>
      </c>
      <c r="H247">
        <f t="shared" si="7"/>
        <v>90.119199999999992</v>
      </c>
      <c r="I247">
        <f t="shared" si="8"/>
        <v>5.7404000000000002</v>
      </c>
    </row>
    <row r="248" spans="2:9">
      <c r="B248">
        <v>3.5</v>
      </c>
      <c r="C248">
        <v>4</v>
      </c>
      <c r="D248">
        <f t="shared" si="5"/>
        <v>3.3639999999999999</v>
      </c>
      <c r="E248">
        <v>0.318</v>
      </c>
      <c r="F248" t="s">
        <v>698</v>
      </c>
      <c r="G248">
        <f t="shared" si="6"/>
        <v>101.6</v>
      </c>
      <c r="H248">
        <f t="shared" si="7"/>
        <v>85.445599999999999</v>
      </c>
      <c r="I248">
        <f t="shared" si="8"/>
        <v>8.0771999999999995</v>
      </c>
    </row>
    <row r="249" spans="2:9">
      <c r="B249">
        <v>4</v>
      </c>
      <c r="C249">
        <v>4.5</v>
      </c>
      <c r="D249">
        <f t="shared" si="5"/>
        <v>4.0259999999999998</v>
      </c>
      <c r="E249">
        <v>0.23699999999999999</v>
      </c>
      <c r="F249" t="s">
        <v>697</v>
      </c>
      <c r="G249">
        <f t="shared" si="6"/>
        <v>114.3</v>
      </c>
      <c r="H249">
        <f t="shared" si="7"/>
        <v>102.26039999999999</v>
      </c>
      <c r="I249">
        <f t="shared" si="8"/>
        <v>6.0197999999999992</v>
      </c>
    </row>
    <row r="250" spans="2:9">
      <c r="B250">
        <v>4</v>
      </c>
      <c r="C250">
        <v>4.5</v>
      </c>
      <c r="D250">
        <f t="shared" si="5"/>
        <v>3.8260000000000001</v>
      </c>
      <c r="E250">
        <v>0.33700000000000002</v>
      </c>
      <c r="F250" t="s">
        <v>698</v>
      </c>
      <c r="G250">
        <f t="shared" si="6"/>
        <v>114.3</v>
      </c>
      <c r="H250">
        <f t="shared" si="7"/>
        <v>97.180399999999992</v>
      </c>
      <c r="I250">
        <f t="shared" si="8"/>
        <v>8.5597999999999992</v>
      </c>
    </row>
    <row r="252" spans="2:9">
      <c r="B252" t="s">
        <v>693</v>
      </c>
      <c r="C252" t="s">
        <v>699</v>
      </c>
    </row>
    <row r="253" spans="2:9">
      <c r="B253" t="s">
        <v>704</v>
      </c>
      <c r="C253" t="s">
        <v>700</v>
      </c>
    </row>
    <row r="255" spans="2:9" ht="71.25">
      <c r="B255" s="353" t="s">
        <v>750</v>
      </c>
      <c r="C255" s="353" t="s">
        <v>821</v>
      </c>
      <c r="D255" t="s">
        <v>409</v>
      </c>
    </row>
    <row r="256" spans="2:9" ht="28.5">
      <c r="B256" s="63" t="s">
        <v>751</v>
      </c>
      <c r="C256" s="63">
        <v>23.6</v>
      </c>
      <c r="D256" s="365" t="s">
        <v>752</v>
      </c>
    </row>
    <row r="257" spans="2:8">
      <c r="B257" s="63" t="s">
        <v>753</v>
      </c>
      <c r="C257" s="63">
        <v>23.2</v>
      </c>
      <c r="D257" s="365" t="s">
        <v>754</v>
      </c>
    </row>
    <row r="258" spans="2:8">
      <c r="B258" s="63" t="s">
        <v>755</v>
      </c>
      <c r="C258" s="63">
        <v>22</v>
      </c>
      <c r="D258" s="365" t="s">
        <v>756</v>
      </c>
    </row>
    <row r="259" spans="2:8">
      <c r="B259" s="63" t="s">
        <v>757</v>
      </c>
      <c r="C259" s="63">
        <v>23.6</v>
      </c>
      <c r="D259" s="365" t="s">
        <v>758</v>
      </c>
    </row>
    <row r="260" spans="2:8">
      <c r="B260" s="63" t="s">
        <v>759</v>
      </c>
      <c r="C260" s="63">
        <v>23.5</v>
      </c>
      <c r="D260" s="365" t="s">
        <v>760</v>
      </c>
    </row>
    <row r="261" spans="2:8" ht="28.5">
      <c r="B261" s="63" t="s">
        <v>761</v>
      </c>
      <c r="C261" s="63">
        <v>21.5</v>
      </c>
      <c r="D261" s="365" t="s">
        <v>762</v>
      </c>
    </row>
    <row r="262" spans="2:8" ht="28.5">
      <c r="B262" s="63" t="s">
        <v>763</v>
      </c>
      <c r="C262" s="63">
        <v>21.5</v>
      </c>
      <c r="D262" s="365" t="s">
        <v>764</v>
      </c>
    </row>
    <row r="266" spans="2:8">
      <c r="B266" t="s">
        <v>822</v>
      </c>
    </row>
    <row r="267" spans="2:8">
      <c r="B267" t="s">
        <v>823</v>
      </c>
      <c r="C267" t="s">
        <v>838</v>
      </c>
      <c r="D267" t="s">
        <v>824</v>
      </c>
      <c r="E267" t="s">
        <v>825</v>
      </c>
    </row>
    <row r="268" spans="2:8">
      <c r="B268">
        <v>310</v>
      </c>
      <c r="C268">
        <f>B268*D268</f>
        <v>310</v>
      </c>
      <c r="D268">
        <v>1</v>
      </c>
      <c r="E268" s="301" t="s">
        <v>826</v>
      </c>
    </row>
    <row r="269" spans="2:8">
      <c r="B269">
        <v>840</v>
      </c>
      <c r="C269">
        <f t="shared" ref="C269:C279" si="9">B269*D269</f>
        <v>840</v>
      </c>
      <c r="D269">
        <v>1</v>
      </c>
      <c r="E269" s="301" t="s">
        <v>827</v>
      </c>
    </row>
    <row r="270" spans="2:8">
      <c r="B270">
        <v>840</v>
      </c>
      <c r="C270">
        <f t="shared" si="9"/>
        <v>840</v>
      </c>
      <c r="D270">
        <v>1</v>
      </c>
      <c r="E270" s="301" t="s">
        <v>910</v>
      </c>
    </row>
    <row r="271" spans="2:8">
      <c r="B271">
        <v>595</v>
      </c>
      <c r="C271" s="300">
        <f t="shared" si="9"/>
        <v>595</v>
      </c>
      <c r="D271">
        <v>1</v>
      </c>
      <c r="E271" t="s">
        <v>828</v>
      </c>
      <c r="H271" s="364" t="s">
        <v>911</v>
      </c>
    </row>
    <row r="272" spans="2:8">
      <c r="B272">
        <v>590</v>
      </c>
      <c r="C272" s="300">
        <f t="shared" si="9"/>
        <v>590</v>
      </c>
      <c r="D272">
        <v>1</v>
      </c>
      <c r="E272" t="s">
        <v>829</v>
      </c>
      <c r="H272" s="364" t="s">
        <v>912</v>
      </c>
    </row>
    <row r="273" spans="2:8">
      <c r="B273" s="300">
        <v>360</v>
      </c>
      <c r="C273" s="388">
        <f t="shared" si="9"/>
        <v>1800</v>
      </c>
      <c r="D273">
        <v>5</v>
      </c>
      <c r="E273" t="s">
        <v>830</v>
      </c>
      <c r="H273" s="364" t="s">
        <v>913</v>
      </c>
    </row>
    <row r="274" spans="2:8">
      <c r="B274">
        <v>649</v>
      </c>
      <c r="C274">
        <f>B274*D274</f>
        <v>649</v>
      </c>
      <c r="D274">
        <v>1</v>
      </c>
      <c r="E274" s="301" t="s">
        <v>831</v>
      </c>
    </row>
    <row r="275" spans="2:8">
      <c r="B275">
        <v>800</v>
      </c>
      <c r="C275" s="300">
        <f t="shared" si="9"/>
        <v>1600</v>
      </c>
      <c r="D275">
        <v>2</v>
      </c>
      <c r="E275" t="s">
        <v>832</v>
      </c>
    </row>
    <row r="276" spans="2:8">
      <c r="B276">
        <v>85</v>
      </c>
      <c r="C276">
        <f t="shared" si="9"/>
        <v>85</v>
      </c>
      <c r="D276">
        <v>1</v>
      </c>
      <c r="E276" s="301" t="s">
        <v>914</v>
      </c>
    </row>
    <row r="277" spans="2:8">
      <c r="B277">
        <v>320</v>
      </c>
      <c r="C277" s="300">
        <f>B277*D277</f>
        <v>960</v>
      </c>
      <c r="D277">
        <v>3</v>
      </c>
      <c r="E277" t="s">
        <v>915</v>
      </c>
    </row>
    <row r="278" spans="2:8">
      <c r="B278">
        <v>320</v>
      </c>
      <c r="C278">
        <f t="shared" si="9"/>
        <v>0</v>
      </c>
      <c r="E278" t="s">
        <v>916</v>
      </c>
    </row>
    <row r="279" spans="2:8">
      <c r="B279">
        <v>420</v>
      </c>
      <c r="C279">
        <f t="shared" si="9"/>
        <v>1260</v>
      </c>
      <c r="D279">
        <v>3</v>
      </c>
      <c r="E279" t="s">
        <v>979</v>
      </c>
    </row>
    <row r="281" spans="2:8">
      <c r="C281">
        <f>C271+B273+C275+C277</f>
        <v>3515</v>
      </c>
      <c r="D281" t="s">
        <v>324</v>
      </c>
    </row>
  </sheetData>
  <dataConsolidate/>
  <mergeCells count="1">
    <mergeCell ref="E3:H4"/>
  </mergeCells>
  <dataValidations disablePrompts="1" count="2">
    <dataValidation type="list" allowBlank="1" showInputMessage="1" showErrorMessage="1" sqref="D83">
      <formula1>$C$241:$C$250</formula1>
    </dataValidation>
    <dataValidation type="list" allowBlank="1" showInputMessage="1" showErrorMessage="1" sqref="D85">
      <formula1>$B$256:$B$262</formula1>
    </dataValidation>
  </dataValidations>
  <hyperlinks>
    <hyperlink ref="B13" r:id="rId1"/>
    <hyperlink ref="H272" r:id="rId2"/>
    <hyperlink ref="H271" r:id="rId3"/>
    <hyperlink ref="H273" r:id="rId4"/>
  </hyperlinks>
  <pageMargins left="0.25" right="0.25" top="0.75" bottom="0.75" header="0.3" footer="0.3"/>
  <pageSetup orientation="portrait" r:id="rId5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K249"/>
  <sheetViews>
    <sheetView zoomScale="85" zoomScaleNormal="85" workbookViewId="0">
      <pane ySplit="10" topLeftCell="A19" activePane="bottomLeft" state="frozen"/>
      <selection pane="bottomLeft" activeCell="C154" sqref="C154"/>
    </sheetView>
  </sheetViews>
  <sheetFormatPr defaultColWidth="9.125" defaultRowHeight="15" customHeight="1" outlineLevelRow="1"/>
  <cols>
    <col min="1" max="1" width="39.375" customWidth="1"/>
    <col min="2" max="11" width="12.75" style="190" customWidth="1"/>
  </cols>
  <sheetData>
    <row r="1" spans="1:11" ht="30.75" customHeight="1" thickBot="1">
      <c r="A1" s="268" t="s">
        <v>494</v>
      </c>
      <c r="B1" s="190">
        <v>1</v>
      </c>
      <c r="C1" s="190">
        <v>1</v>
      </c>
      <c r="D1" s="190">
        <v>1</v>
      </c>
      <c r="E1" s="190">
        <v>1</v>
      </c>
      <c r="F1" s="190">
        <v>1</v>
      </c>
      <c r="G1" s="190">
        <v>1</v>
      </c>
      <c r="H1" s="190">
        <v>1</v>
      </c>
      <c r="I1" s="190">
        <v>1</v>
      </c>
      <c r="J1" s="190">
        <v>1</v>
      </c>
      <c r="K1" s="190">
        <v>1</v>
      </c>
    </row>
    <row r="2" spans="1:11" ht="14.25">
      <c r="A2" t="s">
        <v>325</v>
      </c>
      <c r="B2" s="190">
        <f>B6*B8</f>
        <v>20.410444385167118</v>
      </c>
      <c r="C2" s="190">
        <f t="shared" ref="C2:I2" si="0">C6*C8</f>
        <v>34.028626478304993</v>
      </c>
      <c r="D2" s="190">
        <f t="shared" si="0"/>
        <v>102.08587943491499</v>
      </c>
      <c r="E2" s="190">
        <f t="shared" si="0"/>
        <v>170.14313239152497</v>
      </c>
      <c r="F2" s="190">
        <f t="shared" si="0"/>
        <v>238.20038534813494</v>
      </c>
      <c r="G2" s="190">
        <f t="shared" si="0"/>
        <v>340.28626478304994</v>
      </c>
      <c r="H2" s="190">
        <f t="shared" si="0"/>
        <v>510.42939717457489</v>
      </c>
      <c r="I2" s="190">
        <f t="shared" si="0"/>
        <v>680.57252956609989</v>
      </c>
      <c r="J2" s="190">
        <f t="shared" ref="J2:K2" si="1">J6*J8</f>
        <v>1020.8587943491498</v>
      </c>
      <c r="K2" s="190">
        <f t="shared" si="1"/>
        <v>1701.4313239152498</v>
      </c>
    </row>
    <row r="3" spans="1:11" ht="14.25" outlineLevel="1">
      <c r="A3" t="s">
        <v>326</v>
      </c>
      <c r="B3" s="190">
        <f>B2*COS(RADIANS(B9))*COS(RADIANS(B10))</f>
        <v>19.714975357669623</v>
      </c>
      <c r="C3" s="190">
        <f t="shared" ref="C3:I3" si="2">C2*COS(RADIANS(C9))*COS(RADIANS(C10))</f>
        <v>34.028626478304993</v>
      </c>
      <c r="D3" s="190">
        <f t="shared" si="2"/>
        <v>102.08587943491499</v>
      </c>
      <c r="E3" s="190">
        <f t="shared" si="2"/>
        <v>170.14313239152497</v>
      </c>
      <c r="F3" s="190">
        <f t="shared" si="2"/>
        <v>238.20038534813494</v>
      </c>
      <c r="G3" s="190">
        <f t="shared" si="2"/>
        <v>340.28626478304994</v>
      </c>
      <c r="H3" s="190">
        <f t="shared" si="2"/>
        <v>510.42939717457489</v>
      </c>
      <c r="I3" s="190">
        <f t="shared" si="2"/>
        <v>680.57252956609989</v>
      </c>
      <c r="J3" s="190">
        <f t="shared" ref="J3" si="3">J2*COS(RADIANS(J9))*COS(RADIANS(J10))</f>
        <v>1020.8587943491498</v>
      </c>
      <c r="K3" s="190">
        <f t="shared" ref="K3" si="4">K2*COS(RADIANS(K9))*COS(RADIANS(K10))</f>
        <v>1701.4313239152498</v>
      </c>
    </row>
    <row r="4" spans="1:11" ht="14.25" outlineLevel="1">
      <c r="A4" t="s">
        <v>327</v>
      </c>
      <c r="B4" s="190">
        <f t="shared" ref="B4" si="5">B2*SIN(RADIANS(B10))</f>
        <v>0</v>
      </c>
      <c r="C4" s="190">
        <f t="shared" ref="C4:I4" si="6">C2*SIN(RADIANS(C10))</f>
        <v>0</v>
      </c>
      <c r="D4" s="190">
        <f t="shared" si="6"/>
        <v>0</v>
      </c>
      <c r="E4" s="190">
        <f t="shared" si="6"/>
        <v>0</v>
      </c>
      <c r="F4" s="190">
        <f t="shared" si="6"/>
        <v>0</v>
      </c>
      <c r="G4" s="190">
        <f t="shared" si="6"/>
        <v>0</v>
      </c>
      <c r="H4" s="190">
        <f t="shared" si="6"/>
        <v>0</v>
      </c>
      <c r="I4" s="190">
        <f t="shared" si="6"/>
        <v>0</v>
      </c>
      <c r="J4" s="190">
        <f t="shared" ref="J4:K4" si="7">J2*SIN(RADIANS(J10))</f>
        <v>0</v>
      </c>
      <c r="K4" s="190">
        <f t="shared" si="7"/>
        <v>0</v>
      </c>
    </row>
    <row r="5" spans="1:11" ht="14.25" outlineLevel="1">
      <c r="A5" t="s">
        <v>328</v>
      </c>
      <c r="B5" s="190">
        <f t="shared" ref="B5" si="8">B2*SIN(RADIANS(B9))*COS(RADIANS(B10))</f>
        <v>5.2826117258870591</v>
      </c>
      <c r="C5" s="190">
        <f t="shared" ref="C5:I5" si="9">C2*SIN(RADIANS(C9))*COS(RADIANS(C10))</f>
        <v>0</v>
      </c>
      <c r="D5" s="190">
        <f t="shared" si="9"/>
        <v>0</v>
      </c>
      <c r="E5" s="190">
        <f t="shared" si="9"/>
        <v>0</v>
      </c>
      <c r="F5" s="190">
        <f t="shared" si="9"/>
        <v>0</v>
      </c>
      <c r="G5" s="190">
        <f t="shared" si="9"/>
        <v>0</v>
      </c>
      <c r="H5" s="190">
        <f t="shared" si="9"/>
        <v>0</v>
      </c>
      <c r="I5" s="190">
        <f t="shared" si="9"/>
        <v>0</v>
      </c>
      <c r="J5" s="190">
        <f t="shared" ref="J5:K5" si="10">J2*SIN(RADIANS(J9))*COS(RADIANS(J10))</f>
        <v>0</v>
      </c>
      <c r="K5" s="190">
        <f t="shared" si="10"/>
        <v>0</v>
      </c>
    </row>
    <row r="6" spans="1:11" s="283" customFormat="1">
      <c r="A6" s="283" t="s">
        <v>482</v>
      </c>
      <c r="B6" s="284">
        <v>0.06</v>
      </c>
      <c r="C6" s="284">
        <v>0.1</v>
      </c>
      <c r="D6" s="284">
        <v>0.3</v>
      </c>
      <c r="E6" s="284">
        <v>0.5</v>
      </c>
      <c r="F6" s="284">
        <v>0.7</v>
      </c>
      <c r="G6" s="284">
        <v>1</v>
      </c>
      <c r="H6" s="284">
        <v>1.5</v>
      </c>
      <c r="I6" s="284">
        <v>2</v>
      </c>
      <c r="J6" s="284">
        <v>3</v>
      </c>
      <c r="K6" s="284">
        <v>5</v>
      </c>
    </row>
    <row r="7" spans="1:11" ht="14.25">
      <c r="A7" t="s">
        <v>329</v>
      </c>
      <c r="B7" s="281">
        <f t="shared" ref="B7" si="11">B2/B8</f>
        <v>0.06</v>
      </c>
      <c r="C7" s="281">
        <f t="shared" ref="C7:I7" si="12">C2/C8</f>
        <v>9.9999999999999992E-2</v>
      </c>
      <c r="D7" s="281">
        <f t="shared" si="12"/>
        <v>0.3</v>
      </c>
      <c r="E7" s="281">
        <f t="shared" si="12"/>
        <v>0.5</v>
      </c>
      <c r="F7" s="281">
        <f t="shared" si="12"/>
        <v>0.7</v>
      </c>
      <c r="G7" s="281">
        <f t="shared" si="12"/>
        <v>1</v>
      </c>
      <c r="H7" s="281">
        <f t="shared" si="12"/>
        <v>1.5</v>
      </c>
      <c r="I7" s="281">
        <f t="shared" si="12"/>
        <v>2</v>
      </c>
      <c r="J7" s="281">
        <f t="shared" ref="J7:K7" si="13">J2/J8</f>
        <v>3</v>
      </c>
      <c r="K7" s="281">
        <f t="shared" si="13"/>
        <v>5</v>
      </c>
    </row>
    <row r="8" spans="1:11" ht="14.25">
      <c r="A8" t="s">
        <v>483</v>
      </c>
      <c r="B8" s="190">
        <f>(SQRT(1.4*B17*287))</f>
        <v>340.17407308611865</v>
      </c>
      <c r="C8" s="190">
        <f t="shared" ref="C8:I8" si="14">(SQRT(1.4*C17*287))</f>
        <v>340.28626478304994</v>
      </c>
      <c r="D8" s="190">
        <f t="shared" si="14"/>
        <v>340.28626478304994</v>
      </c>
      <c r="E8" s="190">
        <f t="shared" si="14"/>
        <v>340.28626478304994</v>
      </c>
      <c r="F8" s="190">
        <f t="shared" si="14"/>
        <v>340.28626478304994</v>
      </c>
      <c r="G8" s="190">
        <f t="shared" si="14"/>
        <v>340.28626478304994</v>
      </c>
      <c r="H8" s="190">
        <f t="shared" si="14"/>
        <v>340.28626478304994</v>
      </c>
      <c r="I8" s="190">
        <f t="shared" si="14"/>
        <v>340.28626478304994</v>
      </c>
      <c r="J8" s="190">
        <f t="shared" ref="J8:K8" si="15">(SQRT(1.4*J17*287))</f>
        <v>340.28626478304994</v>
      </c>
      <c r="K8" s="190">
        <f t="shared" si="15"/>
        <v>340.28626478304994</v>
      </c>
    </row>
    <row r="9" spans="1:11" s="283" customFormat="1">
      <c r="A9" s="283" t="s">
        <v>330</v>
      </c>
      <c r="B9" s="285">
        <v>15</v>
      </c>
      <c r="C9" s="285">
        <v>0</v>
      </c>
      <c r="D9" s="285">
        <v>0</v>
      </c>
      <c r="E9" s="285">
        <v>0</v>
      </c>
      <c r="F9" s="285">
        <v>0</v>
      </c>
      <c r="G9" s="285">
        <v>0</v>
      </c>
      <c r="H9" s="285">
        <v>0</v>
      </c>
      <c r="I9" s="285">
        <v>0</v>
      </c>
      <c r="J9" s="285">
        <v>0</v>
      </c>
      <c r="K9" s="285">
        <v>0</v>
      </c>
    </row>
    <row r="10" spans="1:11">
      <c r="A10" s="266" t="s">
        <v>331</v>
      </c>
      <c r="B10" s="190">
        <v>0</v>
      </c>
      <c r="C10" s="190">
        <v>0</v>
      </c>
      <c r="D10" s="190">
        <v>0</v>
      </c>
      <c r="E10" s="190">
        <v>0</v>
      </c>
      <c r="F10" s="190">
        <v>0</v>
      </c>
      <c r="G10" s="190">
        <v>0</v>
      </c>
      <c r="H10" s="190">
        <v>0</v>
      </c>
      <c r="I10" s="190">
        <v>0</v>
      </c>
      <c r="J10" s="190">
        <v>0</v>
      </c>
      <c r="K10" s="190">
        <v>0</v>
      </c>
    </row>
    <row r="11" spans="1:11" ht="14.25">
      <c r="A11" t="s">
        <v>332</v>
      </c>
      <c r="B11" s="190">
        <f t="shared" ref="B11:K11" si="16">RADIANS(AoAfins)</f>
        <v>0.26179938779914941</v>
      </c>
      <c r="C11" s="190">
        <f t="shared" si="16"/>
        <v>0.26179938779914941</v>
      </c>
      <c r="D11" s="190">
        <f t="shared" si="16"/>
        <v>0.26179938779914941</v>
      </c>
      <c r="E11" s="190">
        <f t="shared" si="16"/>
        <v>0.26179938779914941</v>
      </c>
      <c r="F11" s="190">
        <f t="shared" si="16"/>
        <v>0.26179938779914941</v>
      </c>
      <c r="G11" s="190">
        <f t="shared" si="16"/>
        <v>0.26179938779914941</v>
      </c>
      <c r="H11" s="190">
        <f t="shared" si="16"/>
        <v>0.26179938779914941</v>
      </c>
      <c r="I11" s="190">
        <f t="shared" si="16"/>
        <v>0.26179938779914941</v>
      </c>
      <c r="J11" s="190">
        <f t="shared" si="16"/>
        <v>0.26179938779914941</v>
      </c>
      <c r="K11" s="190">
        <f t="shared" si="16"/>
        <v>0.26179938779914941</v>
      </c>
    </row>
    <row r="12" spans="1:11" ht="14.25">
      <c r="A12" t="s">
        <v>333</v>
      </c>
      <c r="B12" s="190">
        <f t="shared" ref="B12:K12" si="17">RADIANS(AoSfins)</f>
        <v>0</v>
      </c>
      <c r="C12" s="190">
        <f t="shared" si="17"/>
        <v>0</v>
      </c>
      <c r="D12" s="190">
        <f t="shared" si="17"/>
        <v>0</v>
      </c>
      <c r="E12" s="190">
        <f t="shared" si="17"/>
        <v>0</v>
      </c>
      <c r="F12" s="190">
        <f t="shared" si="17"/>
        <v>0</v>
      </c>
      <c r="G12" s="190">
        <f t="shared" si="17"/>
        <v>0</v>
      </c>
      <c r="H12" s="190">
        <f t="shared" si="17"/>
        <v>0</v>
      </c>
      <c r="I12" s="190">
        <f t="shared" si="17"/>
        <v>0</v>
      </c>
      <c r="J12" s="190">
        <f t="shared" si="17"/>
        <v>0</v>
      </c>
      <c r="K12" s="190">
        <f t="shared" si="17"/>
        <v>0</v>
      </c>
    </row>
    <row r="13" spans="1:11" thickBot="1">
      <c r="A13" t="s">
        <v>334</v>
      </c>
      <c r="B13" s="190">
        <v>0</v>
      </c>
      <c r="C13" s="190">
        <v>0</v>
      </c>
      <c r="D13" s="190">
        <v>0</v>
      </c>
      <c r="E13" s="190">
        <v>0</v>
      </c>
      <c r="F13" s="190">
        <v>0</v>
      </c>
      <c r="G13" s="190">
        <v>0</v>
      </c>
      <c r="H13" s="190">
        <v>0</v>
      </c>
      <c r="I13" s="190">
        <v>0</v>
      </c>
      <c r="J13" s="190">
        <v>0</v>
      </c>
      <c r="K13" s="190">
        <v>0</v>
      </c>
    </row>
    <row r="14" spans="1:11" ht="15.75" thickBot="1">
      <c r="A14" s="267" t="s">
        <v>484</v>
      </c>
    </row>
    <row r="15" spans="1:11" ht="14.25" outlineLevel="1">
      <c r="A15" t="s">
        <v>346</v>
      </c>
      <c r="B15" s="190">
        <f>101325*(B17/288.08)^5.256</f>
        <v>101177.1939523339</v>
      </c>
      <c r="C15" s="190">
        <f t="shared" ref="C15:I15" si="18">101325*(C17/288.08)^5.256</f>
        <v>101528.51875418922</v>
      </c>
      <c r="D15" s="190">
        <f t="shared" si="18"/>
        <v>101528.51875418922</v>
      </c>
      <c r="E15" s="190">
        <f t="shared" si="18"/>
        <v>101528.51875418922</v>
      </c>
      <c r="F15" s="190">
        <f t="shared" si="18"/>
        <v>101528.51875418922</v>
      </c>
      <c r="G15" s="190">
        <f t="shared" si="18"/>
        <v>101528.51875418922</v>
      </c>
      <c r="H15" s="190">
        <f t="shared" si="18"/>
        <v>101528.51875418922</v>
      </c>
      <c r="I15" s="190">
        <f t="shared" si="18"/>
        <v>101528.51875418922</v>
      </c>
      <c r="J15" s="190">
        <f t="shared" ref="J15:K15" si="19">101325*(J17/288.08)^5.256</f>
        <v>101528.51875418922</v>
      </c>
      <c r="K15" s="190">
        <f t="shared" si="19"/>
        <v>101528.51875418922</v>
      </c>
    </row>
    <row r="16" spans="1:11" ht="14.25" outlineLevel="1">
      <c r="A16" t="s">
        <v>335</v>
      </c>
      <c r="B16" s="190">
        <f t="shared" ref="B16" si="20">B15/(287*B17)</f>
        <v>1.2240756140187512</v>
      </c>
      <c r="C16" s="190">
        <f t="shared" ref="C16:I16" si="21">C15/(287*C17)</f>
        <v>1.2275162395185863</v>
      </c>
      <c r="D16" s="190">
        <f t="shared" si="21"/>
        <v>1.2275162395185863</v>
      </c>
      <c r="E16" s="190">
        <f t="shared" si="21"/>
        <v>1.2275162395185863</v>
      </c>
      <c r="F16" s="190">
        <f t="shared" si="21"/>
        <v>1.2275162395185863</v>
      </c>
      <c r="G16" s="190">
        <f t="shared" si="21"/>
        <v>1.2275162395185863</v>
      </c>
      <c r="H16" s="190">
        <f t="shared" si="21"/>
        <v>1.2275162395185863</v>
      </c>
      <c r="I16" s="190">
        <f t="shared" si="21"/>
        <v>1.2275162395185863</v>
      </c>
      <c r="J16" s="190">
        <f t="shared" ref="J16:K16" si="22">J15/(287*J17)</f>
        <v>1.2275162395185863</v>
      </c>
      <c r="K16" s="190">
        <f t="shared" si="22"/>
        <v>1.2275162395185863</v>
      </c>
    </row>
    <row r="17" spans="1:11" ht="14.25" outlineLevel="1">
      <c r="A17" t="s">
        <v>336</v>
      </c>
      <c r="B17" s="190">
        <f>(15-0.0065*B13)+273</f>
        <v>288</v>
      </c>
      <c r="C17" s="190">
        <f t="shared" ref="C17:I17" si="23">(15.04-0.0065*C13)+273.15</f>
        <v>288.19</v>
      </c>
      <c r="D17" s="190">
        <f t="shared" si="23"/>
        <v>288.19</v>
      </c>
      <c r="E17" s="190">
        <f t="shared" si="23"/>
        <v>288.19</v>
      </c>
      <c r="F17" s="190">
        <f t="shared" si="23"/>
        <v>288.19</v>
      </c>
      <c r="G17" s="190">
        <f t="shared" si="23"/>
        <v>288.19</v>
      </c>
      <c r="H17" s="190">
        <f t="shared" si="23"/>
        <v>288.19</v>
      </c>
      <c r="I17" s="190">
        <f t="shared" si="23"/>
        <v>288.19</v>
      </c>
      <c r="J17" s="190">
        <f t="shared" ref="J17:K17" si="24">(15.04-0.0065*J13)+273.15</f>
        <v>288.19</v>
      </c>
      <c r="K17" s="190">
        <f t="shared" si="24"/>
        <v>288.19</v>
      </c>
    </row>
    <row r="18" spans="1:11" ht="14.25" outlineLevel="1">
      <c r="A18" t="s">
        <v>481</v>
      </c>
      <c r="B18" s="190">
        <f>B17-273</f>
        <v>15</v>
      </c>
      <c r="C18" s="190">
        <f t="shared" ref="C18:I18" si="25">C17-273</f>
        <v>15.189999999999998</v>
      </c>
      <c r="D18" s="190">
        <f t="shared" si="25"/>
        <v>15.189999999999998</v>
      </c>
      <c r="E18" s="190">
        <f t="shared" si="25"/>
        <v>15.189999999999998</v>
      </c>
      <c r="F18" s="190">
        <f t="shared" si="25"/>
        <v>15.189999999999998</v>
      </c>
      <c r="G18" s="190">
        <f t="shared" si="25"/>
        <v>15.189999999999998</v>
      </c>
      <c r="H18" s="190">
        <f t="shared" si="25"/>
        <v>15.189999999999998</v>
      </c>
      <c r="I18" s="190">
        <f t="shared" si="25"/>
        <v>15.189999999999998</v>
      </c>
      <c r="J18" s="190">
        <f t="shared" ref="J18" si="26">J17-273</f>
        <v>15.189999999999998</v>
      </c>
      <c r="K18" s="190">
        <f t="shared" ref="K18" si="27">K17-273</f>
        <v>15.189999999999998</v>
      </c>
    </row>
    <row r="19" spans="1:11" ht="14.25" outlineLevel="1">
      <c r="A19" t="s">
        <v>337</v>
      </c>
      <c r="B19" s="185">
        <f>(1.76*10^-5)*((B17/273)^(3/2))*((273+110)/(B17+110))</f>
        <v>1.8351566035015911E-5</v>
      </c>
      <c r="C19" s="185">
        <f t="shared" ref="C19:I19" si="28">(1.76*10^-5)*((C17/273)^(3/2))*((273+110)/(C17+110))</f>
        <v>1.8360964149388051E-5</v>
      </c>
      <c r="D19" s="185">
        <f t="shared" si="28"/>
        <v>1.8360964149388051E-5</v>
      </c>
      <c r="E19" s="185">
        <f t="shared" si="28"/>
        <v>1.8360964149388051E-5</v>
      </c>
      <c r="F19" s="185">
        <f t="shared" si="28"/>
        <v>1.8360964149388051E-5</v>
      </c>
      <c r="G19" s="185">
        <f t="shared" si="28"/>
        <v>1.8360964149388051E-5</v>
      </c>
      <c r="H19" s="185">
        <f t="shared" si="28"/>
        <v>1.8360964149388051E-5</v>
      </c>
      <c r="I19" s="185">
        <f t="shared" si="28"/>
        <v>1.8360964149388051E-5</v>
      </c>
      <c r="J19" s="185">
        <f t="shared" ref="J19:K19" si="29">(1.76*10^-5)*((J17/273)^(3/2))*((273+110)/(J17+110))</f>
        <v>1.8360964149388051E-5</v>
      </c>
      <c r="K19" s="185">
        <f t="shared" si="29"/>
        <v>1.8360964149388051E-5</v>
      </c>
    </row>
    <row r="20" spans="1:11" ht="14.25" outlineLevel="1">
      <c r="A20" t="s">
        <v>338</v>
      </c>
      <c r="B20" s="185">
        <f t="shared" ref="B20" si="30">B19/B16</f>
        <v>1.4992183346228143E-5</v>
      </c>
      <c r="C20" s="185">
        <f t="shared" ref="C20:I20" si="31">C19/C16</f>
        <v>1.4957817712121631E-5</v>
      </c>
      <c r="D20" s="185">
        <f t="shared" si="31"/>
        <v>1.4957817712121631E-5</v>
      </c>
      <c r="E20" s="185">
        <f t="shared" si="31"/>
        <v>1.4957817712121631E-5</v>
      </c>
      <c r="F20" s="185">
        <f t="shared" si="31"/>
        <v>1.4957817712121631E-5</v>
      </c>
      <c r="G20" s="185">
        <f t="shared" si="31"/>
        <v>1.4957817712121631E-5</v>
      </c>
      <c r="H20" s="185">
        <f t="shared" si="31"/>
        <v>1.4957817712121631E-5</v>
      </c>
      <c r="I20" s="185">
        <f t="shared" si="31"/>
        <v>1.4957817712121631E-5</v>
      </c>
      <c r="J20" s="185">
        <f t="shared" ref="J20:K20" si="32">J19/J16</f>
        <v>1.4957817712121631E-5</v>
      </c>
      <c r="K20" s="185">
        <f t="shared" si="32"/>
        <v>1.4957817712121631E-5</v>
      </c>
    </row>
    <row r="21" spans="1:11" ht="14.25" outlineLevel="1">
      <c r="A21" t="s">
        <v>339</v>
      </c>
      <c r="B21" s="190">
        <v>9</v>
      </c>
      <c r="C21" s="190">
        <v>9</v>
      </c>
      <c r="D21" s="190">
        <v>9</v>
      </c>
      <c r="E21" s="190">
        <v>9</v>
      </c>
      <c r="F21" s="190">
        <v>9</v>
      </c>
      <c r="G21" s="190">
        <v>9</v>
      </c>
      <c r="H21" s="190">
        <v>9</v>
      </c>
      <c r="I21" s="190">
        <v>9</v>
      </c>
      <c r="J21" s="190">
        <v>9</v>
      </c>
      <c r="K21" s="190">
        <v>9</v>
      </c>
    </row>
    <row r="22" spans="1:11" ht="14.25" outlineLevel="1">
      <c r="A22" t="s">
        <v>347</v>
      </c>
    </row>
    <row r="23" spans="1:11" ht="14.25" outlineLevel="1">
      <c r="A23" t="s">
        <v>348</v>
      </c>
    </row>
    <row r="24" spans="1:11" ht="14.25" outlineLevel="1">
      <c r="A24" t="s">
        <v>349</v>
      </c>
    </row>
    <row r="25" spans="1:11" ht="14.25" outlineLevel="1">
      <c r="A25" t="s">
        <v>340</v>
      </c>
      <c r="B25" s="190">
        <f t="shared" ref="B25" si="33">DEGREES(ATAN((B5+B21)/B3))</f>
        <v>35.921637338271211</v>
      </c>
      <c r="C25" s="190">
        <f t="shared" ref="C25:I25" si="34">DEGREES(ATAN((C5+C21)/C3))</f>
        <v>14.814555975479079</v>
      </c>
      <c r="D25" s="190">
        <f t="shared" si="34"/>
        <v>5.0382309646817349</v>
      </c>
      <c r="E25" s="190">
        <f t="shared" si="34"/>
        <v>3.0279322124746915</v>
      </c>
      <c r="F25" s="190">
        <f t="shared" si="34"/>
        <v>2.1637951681161911</v>
      </c>
      <c r="G25" s="190">
        <f t="shared" si="34"/>
        <v>1.5150239133225982</v>
      </c>
      <c r="H25" s="190">
        <f t="shared" si="34"/>
        <v>1.0101467304454064</v>
      </c>
      <c r="I25" s="190">
        <f t="shared" si="34"/>
        <v>0.75764439054895982</v>
      </c>
      <c r="J25" s="190">
        <f t="shared" ref="J25:K25" si="35">DEGREES(ATAN((J5+J21)/J3))</f>
        <v>0.505112616327407</v>
      </c>
      <c r="K25" s="190">
        <f t="shared" si="35"/>
        <v>0.30307259479063259</v>
      </c>
    </row>
    <row r="26" spans="1:11" ht="14.25" outlineLevel="1">
      <c r="A26" t="s">
        <v>341</v>
      </c>
      <c r="B26" s="190">
        <f t="shared" ref="B26" si="36">DEGREES(ATAN((B4+B21)/B3))</f>
        <v>24.536971295091643</v>
      </c>
      <c r="C26" s="190">
        <f t="shared" ref="C26:I26" si="37">DEGREES(ATAN((C4+C21)/C3))</f>
        <v>14.814555975479079</v>
      </c>
      <c r="D26" s="190">
        <f t="shared" si="37"/>
        <v>5.0382309646817349</v>
      </c>
      <c r="E26" s="190">
        <f t="shared" si="37"/>
        <v>3.0279322124746915</v>
      </c>
      <c r="F26" s="190">
        <f t="shared" si="37"/>
        <v>2.1637951681161911</v>
      </c>
      <c r="G26" s="190">
        <f t="shared" si="37"/>
        <v>1.5150239133225982</v>
      </c>
      <c r="H26" s="190">
        <f t="shared" si="37"/>
        <v>1.0101467304454064</v>
      </c>
      <c r="I26" s="190">
        <f t="shared" si="37"/>
        <v>0.75764439054895982</v>
      </c>
      <c r="J26" s="190">
        <f t="shared" ref="J26:K26" si="38">DEGREES(ATAN((J4+J21)/J3))</f>
        <v>0.505112616327407</v>
      </c>
      <c r="K26" s="190">
        <f t="shared" si="38"/>
        <v>0.30307259479063259</v>
      </c>
    </row>
    <row r="27" spans="1:11" ht="14.25" outlineLevel="1">
      <c r="A27" t="s">
        <v>342</v>
      </c>
      <c r="B27" s="190">
        <f t="shared" ref="B27" si="39">RADIANS(B25)</f>
        <v>0.62695084426016467</v>
      </c>
      <c r="C27" s="190">
        <f t="shared" ref="C27:I27" si="40">RADIANS(C25)</f>
        <v>0.25856277899311025</v>
      </c>
      <c r="D27" s="190">
        <f t="shared" si="40"/>
        <v>8.7933718809626416E-2</v>
      </c>
      <c r="E27" s="190">
        <f t="shared" si="40"/>
        <v>5.2847386634879888E-2</v>
      </c>
      <c r="F27" s="190">
        <f t="shared" si="40"/>
        <v>3.776535002237176E-2</v>
      </c>
      <c r="G27" s="190">
        <f t="shared" si="40"/>
        <v>2.6442155533928525E-2</v>
      </c>
      <c r="H27" s="190">
        <f t="shared" si="40"/>
        <v>1.7630386374527986E-2</v>
      </c>
      <c r="I27" s="190">
        <f t="shared" si="40"/>
        <v>1.3223389174345157E-2</v>
      </c>
      <c r="J27" s="190">
        <f t="shared" ref="J27:K27" si="41">RADIANS(J25)</f>
        <v>8.8158782482761211E-3</v>
      </c>
      <c r="K27" s="190">
        <f t="shared" si="41"/>
        <v>5.2896146516591535E-3</v>
      </c>
    </row>
    <row r="28" spans="1:11" ht="14.25" outlineLevel="1">
      <c r="A28" t="s">
        <v>343</v>
      </c>
      <c r="B28" s="190">
        <f t="shared" ref="B28" si="42">RADIANS(B26)</f>
        <v>0.42825093756668631</v>
      </c>
      <c r="C28" s="190">
        <f t="shared" ref="C28:I28" si="43">RADIANS(C26)</f>
        <v>0.25856277899311025</v>
      </c>
      <c r="D28" s="190">
        <f t="shared" si="43"/>
        <v>8.7933718809626416E-2</v>
      </c>
      <c r="E28" s="190">
        <f t="shared" si="43"/>
        <v>5.2847386634879888E-2</v>
      </c>
      <c r="F28" s="190">
        <f t="shared" si="43"/>
        <v>3.776535002237176E-2</v>
      </c>
      <c r="G28" s="190">
        <f t="shared" si="43"/>
        <v>2.6442155533928525E-2</v>
      </c>
      <c r="H28" s="190">
        <f t="shared" si="43"/>
        <v>1.7630386374527986E-2</v>
      </c>
      <c r="I28" s="190">
        <f t="shared" si="43"/>
        <v>1.3223389174345157E-2</v>
      </c>
      <c r="J28" s="190">
        <f t="shared" ref="J28:K28" si="44">RADIANS(J26)</f>
        <v>8.8158782482761211E-3</v>
      </c>
      <c r="K28" s="190">
        <f t="shared" si="44"/>
        <v>5.2896146516591535E-3</v>
      </c>
    </row>
    <row r="29" spans="1:11" ht="14.25" outlineLevel="1">
      <c r="A29" t="s">
        <v>344</v>
      </c>
      <c r="B29" s="190">
        <f t="shared" ref="B29" si="45">0.5*B16*B2^2</f>
        <v>254.96652875988138</v>
      </c>
      <c r="C29" s="190">
        <f t="shared" ref="C29:I29" si="46">0.5*C16*C2^2</f>
        <v>710.69963127932442</v>
      </c>
      <c r="D29" s="190">
        <f t="shared" si="46"/>
        <v>6396.2966815139198</v>
      </c>
      <c r="E29" s="190">
        <f t="shared" si="46"/>
        <v>17767.49078198311</v>
      </c>
      <c r="F29" s="190">
        <f t="shared" si="46"/>
        <v>34824.281932686892</v>
      </c>
      <c r="G29" s="190">
        <f t="shared" si="46"/>
        <v>71069.963127932439</v>
      </c>
      <c r="H29" s="190">
        <f t="shared" si="46"/>
        <v>159907.41703784798</v>
      </c>
      <c r="I29" s="190">
        <f t="shared" si="46"/>
        <v>284279.85251172975</v>
      </c>
      <c r="J29" s="190">
        <f t="shared" ref="J29:K29" si="47">0.5*J16*J2^2</f>
        <v>639629.6681513919</v>
      </c>
      <c r="K29" s="190">
        <f t="shared" si="47"/>
        <v>1776749.0781983112</v>
      </c>
    </row>
    <row r="30" spans="1:11" ht="14.25" outlineLevel="1">
      <c r="A30" t="s">
        <v>345</v>
      </c>
      <c r="B30" s="190">
        <f t="shared" ref="B30:K30" si="48">CrossSecAreaRocket</f>
        <v>5.0265482457436689E-3</v>
      </c>
      <c r="C30" s="190">
        <f t="shared" si="48"/>
        <v>5.0265482457436689E-3</v>
      </c>
      <c r="D30" s="190">
        <f t="shared" si="48"/>
        <v>5.0265482457436689E-3</v>
      </c>
      <c r="E30" s="190">
        <f t="shared" si="48"/>
        <v>5.0265482457436689E-3</v>
      </c>
      <c r="F30" s="190">
        <f t="shared" si="48"/>
        <v>5.0265482457436689E-3</v>
      </c>
      <c r="G30" s="190">
        <f t="shared" si="48"/>
        <v>5.0265482457436689E-3</v>
      </c>
      <c r="H30" s="190">
        <f t="shared" si="48"/>
        <v>5.0265482457436689E-3</v>
      </c>
      <c r="I30" s="190">
        <f t="shared" si="48"/>
        <v>5.0265482457436689E-3</v>
      </c>
      <c r="J30" s="190">
        <f t="shared" si="48"/>
        <v>5.0265482457436689E-3</v>
      </c>
      <c r="K30" s="190">
        <f t="shared" si="48"/>
        <v>5.0265482457436689E-3</v>
      </c>
    </row>
    <row r="31" spans="1:11" ht="15" customHeight="1" thickBot="1"/>
    <row r="32" spans="1:11" ht="15.75" thickBot="1">
      <c r="A32" s="267" t="s">
        <v>350</v>
      </c>
    </row>
    <row r="33" spans="1:11" ht="14.25" outlineLevel="1">
      <c r="A33" t="s">
        <v>351</v>
      </c>
      <c r="B33" s="190">
        <f t="shared" ref="B33:K33" si="49">DiameterRocket</f>
        <v>8</v>
      </c>
      <c r="C33" s="190">
        <f t="shared" si="49"/>
        <v>8</v>
      </c>
      <c r="D33" s="190">
        <f t="shared" si="49"/>
        <v>8</v>
      </c>
      <c r="E33" s="190">
        <f t="shared" si="49"/>
        <v>8</v>
      </c>
      <c r="F33" s="190">
        <f t="shared" si="49"/>
        <v>8</v>
      </c>
      <c r="G33" s="190">
        <f t="shared" si="49"/>
        <v>8</v>
      </c>
      <c r="H33" s="190">
        <f t="shared" si="49"/>
        <v>8</v>
      </c>
      <c r="I33" s="190">
        <f t="shared" si="49"/>
        <v>8</v>
      </c>
      <c r="J33" s="190">
        <f t="shared" si="49"/>
        <v>8</v>
      </c>
      <c r="K33" s="190">
        <f t="shared" si="49"/>
        <v>8</v>
      </c>
    </row>
    <row r="34" spans="1:11" ht="14.25" outlineLevel="1">
      <c r="A34" t="s">
        <v>352</v>
      </c>
      <c r="B34" s="190">
        <f t="shared" ref="B34" si="50">B33/100</f>
        <v>0.08</v>
      </c>
      <c r="C34" s="190">
        <f t="shared" ref="C34:I34" si="51">C33/100</f>
        <v>0.08</v>
      </c>
      <c r="D34" s="190">
        <f t="shared" si="51"/>
        <v>0.08</v>
      </c>
      <c r="E34" s="190">
        <f t="shared" si="51"/>
        <v>0.08</v>
      </c>
      <c r="F34" s="190">
        <f t="shared" si="51"/>
        <v>0.08</v>
      </c>
      <c r="G34" s="190">
        <f t="shared" si="51"/>
        <v>0.08</v>
      </c>
      <c r="H34" s="190">
        <f t="shared" si="51"/>
        <v>0.08</v>
      </c>
      <c r="I34" s="190">
        <f t="shared" si="51"/>
        <v>0.08</v>
      </c>
      <c r="J34" s="190">
        <f t="shared" ref="J34:K34" si="52">J33/100</f>
        <v>0.08</v>
      </c>
      <c r="K34" s="190">
        <f t="shared" si="52"/>
        <v>0.08</v>
      </c>
    </row>
    <row r="35" spans="1:11" ht="14.25" outlineLevel="1">
      <c r="A35" t="s">
        <v>353</v>
      </c>
      <c r="B35" s="260">
        <f t="shared" ref="B35" si="53">((B39-B37)/(-B47))*(B47+B33/2)+B39</f>
        <v>16.333333333333332</v>
      </c>
      <c r="C35" s="260">
        <f t="shared" ref="C35:I35" si="54">((C39-C37)/(-C47))*(C47+C33/2)+C39</f>
        <v>16.333333333333332</v>
      </c>
      <c r="D35" s="260">
        <f t="shared" si="54"/>
        <v>16.333333333333332</v>
      </c>
      <c r="E35" s="260">
        <f t="shared" si="54"/>
        <v>16.333333333333332</v>
      </c>
      <c r="F35" s="260">
        <f t="shared" si="54"/>
        <v>16.333333333333332</v>
      </c>
      <c r="G35" s="260">
        <f t="shared" si="54"/>
        <v>16.333333333333332</v>
      </c>
      <c r="H35" s="260">
        <f t="shared" si="54"/>
        <v>16.333333333333332</v>
      </c>
      <c r="I35" s="260">
        <f t="shared" si="54"/>
        <v>16.333333333333332</v>
      </c>
      <c r="J35" s="260">
        <f t="shared" ref="J35:K35" si="55">((J39-J37)/(-J47))*(J47+J33/2)+J39</f>
        <v>16.333333333333332</v>
      </c>
      <c r="K35" s="260">
        <f t="shared" si="55"/>
        <v>16.333333333333332</v>
      </c>
    </row>
    <row r="36" spans="1:11" ht="14.25" outlineLevel="1">
      <c r="A36" t="s">
        <v>354</v>
      </c>
      <c r="B36" s="190">
        <f t="shared" ref="B36" si="56">B35/100</f>
        <v>0.16333333333333333</v>
      </c>
      <c r="C36" s="190">
        <f t="shared" ref="C36:I36" si="57">C35/100</f>
        <v>0.16333333333333333</v>
      </c>
      <c r="D36" s="190">
        <f t="shared" si="57"/>
        <v>0.16333333333333333</v>
      </c>
      <c r="E36" s="190">
        <f t="shared" si="57"/>
        <v>0.16333333333333333</v>
      </c>
      <c r="F36" s="190">
        <f t="shared" si="57"/>
        <v>0.16333333333333333</v>
      </c>
      <c r="G36" s="190">
        <f t="shared" si="57"/>
        <v>0.16333333333333333</v>
      </c>
      <c r="H36" s="190">
        <f t="shared" si="57"/>
        <v>0.16333333333333333</v>
      </c>
      <c r="I36" s="190">
        <f t="shared" si="57"/>
        <v>0.16333333333333333</v>
      </c>
      <c r="J36" s="190">
        <f t="shared" ref="J36:K36" si="58">J35/100</f>
        <v>0.16333333333333333</v>
      </c>
      <c r="K36" s="190">
        <f t="shared" si="58"/>
        <v>0.16333333333333333</v>
      </c>
    </row>
    <row r="37" spans="1:11" outlineLevel="1">
      <c r="A37" s="265" t="s">
        <v>355</v>
      </c>
      <c r="B37" s="190">
        <v>15</v>
      </c>
      <c r="C37" s="190">
        <v>15</v>
      </c>
      <c r="D37" s="190">
        <v>15</v>
      </c>
      <c r="E37" s="190">
        <v>15</v>
      </c>
      <c r="F37" s="190">
        <v>15</v>
      </c>
      <c r="G37" s="190">
        <v>15</v>
      </c>
      <c r="H37" s="190">
        <v>15</v>
      </c>
      <c r="I37" s="190">
        <v>15</v>
      </c>
      <c r="J37" s="190">
        <v>15</v>
      </c>
      <c r="K37" s="190">
        <v>15</v>
      </c>
    </row>
    <row r="38" spans="1:11" ht="14.25" outlineLevel="1">
      <c r="A38" t="s">
        <v>352</v>
      </c>
      <c r="B38" s="190">
        <f t="shared" ref="B38" si="59">B37/100</f>
        <v>0.15</v>
      </c>
      <c r="C38" s="190">
        <f t="shared" ref="C38:I38" si="60">C37/100</f>
        <v>0.15</v>
      </c>
      <c r="D38" s="190">
        <f t="shared" si="60"/>
        <v>0.15</v>
      </c>
      <c r="E38" s="190">
        <f t="shared" si="60"/>
        <v>0.15</v>
      </c>
      <c r="F38" s="190">
        <f t="shared" si="60"/>
        <v>0.15</v>
      </c>
      <c r="G38" s="190">
        <f t="shared" si="60"/>
        <v>0.15</v>
      </c>
      <c r="H38" s="190">
        <f t="shared" si="60"/>
        <v>0.15</v>
      </c>
      <c r="I38" s="190">
        <f t="shared" si="60"/>
        <v>0.15</v>
      </c>
      <c r="J38" s="190">
        <f t="shared" ref="J38:K38" si="61">J37/100</f>
        <v>0.15</v>
      </c>
      <c r="K38" s="190">
        <f t="shared" si="61"/>
        <v>0.15</v>
      </c>
    </row>
    <row r="39" spans="1:11" outlineLevel="1">
      <c r="A39" s="265" t="s">
        <v>356</v>
      </c>
      <c r="B39" s="190">
        <v>10</v>
      </c>
      <c r="C39" s="190">
        <v>10</v>
      </c>
      <c r="D39" s="190">
        <v>10</v>
      </c>
      <c r="E39" s="190">
        <v>10</v>
      </c>
      <c r="F39" s="190">
        <v>10</v>
      </c>
      <c r="G39" s="190">
        <v>10</v>
      </c>
      <c r="H39" s="190">
        <v>10</v>
      </c>
      <c r="I39" s="190">
        <v>10</v>
      </c>
      <c r="J39" s="190">
        <v>10</v>
      </c>
      <c r="K39" s="190">
        <v>10</v>
      </c>
    </row>
    <row r="40" spans="1:11" ht="14.25" outlineLevel="1">
      <c r="A40" t="s">
        <v>352</v>
      </c>
      <c r="B40" s="190">
        <f t="shared" ref="B40" si="62">B39/100</f>
        <v>0.1</v>
      </c>
      <c r="C40" s="190">
        <f t="shared" ref="C40:I40" si="63">C39/100</f>
        <v>0.1</v>
      </c>
      <c r="D40" s="190">
        <f t="shared" si="63"/>
        <v>0.1</v>
      </c>
      <c r="E40" s="190">
        <f t="shared" si="63"/>
        <v>0.1</v>
      </c>
      <c r="F40" s="190">
        <f t="shared" si="63"/>
        <v>0.1</v>
      </c>
      <c r="G40" s="190">
        <f t="shared" si="63"/>
        <v>0.1</v>
      </c>
      <c r="H40" s="190">
        <f t="shared" si="63"/>
        <v>0.1</v>
      </c>
      <c r="I40" s="190">
        <f t="shared" si="63"/>
        <v>0.1</v>
      </c>
      <c r="J40" s="190">
        <f t="shared" ref="J40:K40" si="64">J39/100</f>
        <v>0.1</v>
      </c>
      <c r="K40" s="190">
        <f t="shared" si="64"/>
        <v>0.1</v>
      </c>
    </row>
    <row r="41" spans="1:11" outlineLevel="1">
      <c r="A41" s="265" t="s">
        <v>357</v>
      </c>
      <c r="B41" s="190">
        <v>2</v>
      </c>
      <c r="C41" s="190">
        <v>2</v>
      </c>
      <c r="D41" s="190">
        <v>2</v>
      </c>
      <c r="E41" s="190">
        <v>2</v>
      </c>
      <c r="F41" s="190">
        <v>2</v>
      </c>
      <c r="G41" s="190">
        <v>2</v>
      </c>
      <c r="H41" s="190">
        <v>2</v>
      </c>
      <c r="I41" s="190">
        <v>2</v>
      </c>
      <c r="J41" s="190">
        <v>2</v>
      </c>
      <c r="K41" s="190">
        <v>2</v>
      </c>
    </row>
    <row r="42" spans="1:11" ht="14.25" outlineLevel="1">
      <c r="A42" t="s">
        <v>352</v>
      </c>
      <c r="B42" s="190">
        <f t="shared" ref="B42" si="65">B41/100</f>
        <v>0.02</v>
      </c>
      <c r="C42" s="190">
        <f t="shared" ref="C42:I42" si="66">C41/100</f>
        <v>0.02</v>
      </c>
      <c r="D42" s="190">
        <f t="shared" si="66"/>
        <v>0.02</v>
      </c>
      <c r="E42" s="190">
        <f t="shared" si="66"/>
        <v>0.02</v>
      </c>
      <c r="F42" s="190">
        <f t="shared" si="66"/>
        <v>0.02</v>
      </c>
      <c r="G42" s="190">
        <f t="shared" si="66"/>
        <v>0.02</v>
      </c>
      <c r="H42" s="190">
        <f t="shared" si="66"/>
        <v>0.02</v>
      </c>
      <c r="I42" s="190">
        <f t="shared" si="66"/>
        <v>0.02</v>
      </c>
      <c r="J42" s="190">
        <f t="shared" ref="J42:K42" si="67">J41/100</f>
        <v>0.02</v>
      </c>
      <c r="K42" s="190">
        <f t="shared" si="67"/>
        <v>0.02</v>
      </c>
    </row>
    <row r="43" spans="1:11" outlineLevel="1">
      <c r="A43" s="265" t="s">
        <v>358</v>
      </c>
      <c r="B43" s="190">
        <v>45</v>
      </c>
      <c r="C43" s="190">
        <v>45</v>
      </c>
      <c r="D43" s="190">
        <v>45</v>
      </c>
      <c r="E43" s="190">
        <v>45</v>
      </c>
      <c r="F43" s="190">
        <v>45</v>
      </c>
      <c r="G43" s="190">
        <v>45</v>
      </c>
      <c r="H43" s="190">
        <v>45</v>
      </c>
      <c r="I43" s="190">
        <v>45</v>
      </c>
      <c r="J43" s="190">
        <v>45</v>
      </c>
      <c r="K43" s="190">
        <v>45</v>
      </c>
    </row>
    <row r="44" spans="1:11" ht="14.25" outlineLevel="1">
      <c r="A44" t="s">
        <v>359</v>
      </c>
      <c r="B44" s="190">
        <f t="shared" ref="B44" si="68">B39/B37</f>
        <v>0.66666666666666663</v>
      </c>
      <c r="C44" s="190">
        <f t="shared" ref="C44:I44" si="69">C39/C37</f>
        <v>0.66666666666666663</v>
      </c>
      <c r="D44" s="190">
        <f t="shared" si="69"/>
        <v>0.66666666666666663</v>
      </c>
      <c r="E44" s="190">
        <f t="shared" si="69"/>
        <v>0.66666666666666663</v>
      </c>
      <c r="F44" s="190">
        <f t="shared" si="69"/>
        <v>0.66666666666666663</v>
      </c>
      <c r="G44" s="190">
        <f t="shared" si="69"/>
        <v>0.66666666666666663</v>
      </c>
      <c r="H44" s="190">
        <f t="shared" si="69"/>
        <v>0.66666666666666663</v>
      </c>
      <c r="I44" s="190">
        <f t="shared" si="69"/>
        <v>0.66666666666666663</v>
      </c>
      <c r="J44" s="190">
        <f t="shared" ref="J44:K44" si="70">J39/J37</f>
        <v>0.66666666666666663</v>
      </c>
      <c r="K44" s="190">
        <f t="shared" si="70"/>
        <v>0.66666666666666663</v>
      </c>
    </row>
    <row r="45" spans="1:11" ht="14.25" outlineLevel="1">
      <c r="A45" t="s">
        <v>360</v>
      </c>
      <c r="B45" s="190">
        <f t="shared" ref="B45" si="71">B47+B33/2</f>
        <v>19</v>
      </c>
      <c r="C45" s="190">
        <f t="shared" ref="C45:I45" si="72">C47+C33/2</f>
        <v>19</v>
      </c>
      <c r="D45" s="190">
        <f t="shared" si="72"/>
        <v>19</v>
      </c>
      <c r="E45" s="190">
        <f t="shared" si="72"/>
        <v>19</v>
      </c>
      <c r="F45" s="190">
        <f t="shared" si="72"/>
        <v>19</v>
      </c>
      <c r="G45" s="190">
        <f t="shared" si="72"/>
        <v>19</v>
      </c>
      <c r="H45" s="190">
        <f t="shared" si="72"/>
        <v>19</v>
      </c>
      <c r="I45" s="190">
        <f t="shared" si="72"/>
        <v>19</v>
      </c>
      <c r="J45" s="190">
        <f t="shared" ref="J45:K45" si="73">J47+J33/2</f>
        <v>19</v>
      </c>
      <c r="K45" s="190">
        <f t="shared" si="73"/>
        <v>19</v>
      </c>
    </row>
    <row r="46" spans="1:11" ht="14.25" outlineLevel="1">
      <c r="A46" t="s">
        <v>352</v>
      </c>
      <c r="B46" s="190">
        <f t="shared" ref="B46" si="74">B45/100</f>
        <v>0.19</v>
      </c>
      <c r="C46" s="190">
        <f t="shared" ref="C46:I46" si="75">C45/100</f>
        <v>0.19</v>
      </c>
      <c r="D46" s="190">
        <f t="shared" si="75"/>
        <v>0.19</v>
      </c>
      <c r="E46" s="190">
        <f t="shared" si="75"/>
        <v>0.19</v>
      </c>
      <c r="F46" s="190">
        <f t="shared" si="75"/>
        <v>0.19</v>
      </c>
      <c r="G46" s="190">
        <f t="shared" si="75"/>
        <v>0.19</v>
      </c>
      <c r="H46" s="190">
        <f t="shared" si="75"/>
        <v>0.19</v>
      </c>
      <c r="I46" s="190">
        <f t="shared" si="75"/>
        <v>0.19</v>
      </c>
      <c r="J46" s="190">
        <f t="shared" ref="J46:K46" si="76">J45/100</f>
        <v>0.19</v>
      </c>
      <c r="K46" s="190">
        <f t="shared" si="76"/>
        <v>0.19</v>
      </c>
    </row>
    <row r="47" spans="1:11" outlineLevel="1">
      <c r="A47" s="265" t="s">
        <v>361</v>
      </c>
      <c r="B47" s="190">
        <v>15</v>
      </c>
      <c r="C47" s="190">
        <v>15</v>
      </c>
      <c r="D47" s="190">
        <v>15</v>
      </c>
      <c r="E47" s="190">
        <v>15</v>
      </c>
      <c r="F47" s="190">
        <v>15</v>
      </c>
      <c r="G47" s="190">
        <v>15</v>
      </c>
      <c r="H47" s="190">
        <v>15</v>
      </c>
      <c r="I47" s="190">
        <v>15</v>
      </c>
      <c r="J47" s="190">
        <v>15</v>
      </c>
      <c r="K47" s="190">
        <v>15</v>
      </c>
    </row>
    <row r="48" spans="1:11" ht="14.25" outlineLevel="1">
      <c r="A48" t="s">
        <v>354</v>
      </c>
      <c r="B48" s="190">
        <f t="shared" ref="B48" si="77">B47/100</f>
        <v>0.15</v>
      </c>
      <c r="C48" s="190">
        <f t="shared" ref="C48:I48" si="78">C47/100</f>
        <v>0.15</v>
      </c>
      <c r="D48" s="190">
        <f t="shared" si="78"/>
        <v>0.15</v>
      </c>
      <c r="E48" s="190">
        <f t="shared" si="78"/>
        <v>0.15</v>
      </c>
      <c r="F48" s="190">
        <f t="shared" si="78"/>
        <v>0.15</v>
      </c>
      <c r="G48" s="190">
        <f t="shared" si="78"/>
        <v>0.15</v>
      </c>
      <c r="H48" s="190">
        <f t="shared" si="78"/>
        <v>0.15</v>
      </c>
      <c r="I48" s="190">
        <f t="shared" si="78"/>
        <v>0.15</v>
      </c>
      <c r="J48" s="190">
        <f t="shared" ref="J48:K48" si="79">J47/100</f>
        <v>0.15</v>
      </c>
      <c r="K48" s="190">
        <f t="shared" si="79"/>
        <v>0.15</v>
      </c>
    </row>
    <row r="49" spans="1:11" ht="14.25" outlineLevel="1">
      <c r="A49" t="s">
        <v>362</v>
      </c>
      <c r="B49" s="190">
        <f>(B40+B36)*B46/2</f>
        <v>2.5016666666666666E-2</v>
      </c>
      <c r="C49" s="190">
        <f t="shared" ref="C49:I49" si="80">(C40+C36)*C46/2</f>
        <v>2.5016666666666666E-2</v>
      </c>
      <c r="D49" s="190">
        <f t="shared" si="80"/>
        <v>2.5016666666666666E-2</v>
      </c>
      <c r="E49" s="190">
        <f t="shared" si="80"/>
        <v>2.5016666666666666E-2</v>
      </c>
      <c r="F49" s="190">
        <f t="shared" si="80"/>
        <v>2.5016666666666666E-2</v>
      </c>
      <c r="G49" s="190">
        <f t="shared" si="80"/>
        <v>2.5016666666666666E-2</v>
      </c>
      <c r="H49" s="190">
        <f t="shared" si="80"/>
        <v>2.5016666666666666E-2</v>
      </c>
      <c r="I49" s="190">
        <f t="shared" si="80"/>
        <v>2.5016666666666666E-2</v>
      </c>
      <c r="J49" s="190">
        <f t="shared" ref="J49:K49" si="81">(J40+J36)*J46/2</f>
        <v>2.5016666666666666E-2</v>
      </c>
      <c r="K49" s="190">
        <f t="shared" si="81"/>
        <v>2.5016666666666666E-2</v>
      </c>
    </row>
    <row r="50" spans="1:11" ht="14.25" outlineLevel="1">
      <c r="A50" t="s">
        <v>363</v>
      </c>
      <c r="B50" s="190">
        <f t="shared" ref="B50" si="82">(B38+B40)*B48/2</f>
        <v>1.8749999999999999E-2</v>
      </c>
      <c r="C50" s="190">
        <f t="shared" ref="C50:I50" si="83">(C38+C40)*C48/2</f>
        <v>1.8749999999999999E-2</v>
      </c>
      <c r="D50" s="190">
        <f t="shared" si="83"/>
        <v>1.8749999999999999E-2</v>
      </c>
      <c r="E50" s="190">
        <f t="shared" si="83"/>
        <v>1.8749999999999999E-2</v>
      </c>
      <c r="F50" s="190">
        <f t="shared" si="83"/>
        <v>1.8749999999999999E-2</v>
      </c>
      <c r="G50" s="190">
        <f t="shared" si="83"/>
        <v>1.8749999999999999E-2</v>
      </c>
      <c r="H50" s="190">
        <f t="shared" si="83"/>
        <v>1.8749999999999999E-2</v>
      </c>
      <c r="I50" s="190">
        <f t="shared" si="83"/>
        <v>1.8749999999999999E-2</v>
      </c>
      <c r="J50" s="190">
        <f t="shared" ref="J50:K50" si="84">(J38+J40)*J48/2</f>
        <v>1.8749999999999999E-2</v>
      </c>
      <c r="K50" s="190">
        <f t="shared" si="84"/>
        <v>1.8749999999999999E-2</v>
      </c>
    </row>
    <row r="51" spans="1:11" ht="14.25" outlineLevel="1">
      <c r="A51" t="s">
        <v>364</v>
      </c>
      <c r="B51" s="260">
        <f>((B46+B46)^2)/(B49+B49)</f>
        <v>2.8860759493670889</v>
      </c>
      <c r="C51" s="260">
        <f t="shared" ref="C51:I51" si="85">((C46+C46)^2)/(C49+C49)</f>
        <v>2.8860759493670889</v>
      </c>
      <c r="D51" s="260">
        <f t="shared" si="85"/>
        <v>2.8860759493670889</v>
      </c>
      <c r="E51" s="260">
        <f t="shared" si="85"/>
        <v>2.8860759493670889</v>
      </c>
      <c r="F51" s="260">
        <f t="shared" si="85"/>
        <v>2.8860759493670889</v>
      </c>
      <c r="G51" s="260">
        <f t="shared" si="85"/>
        <v>2.8860759493670889</v>
      </c>
      <c r="H51" s="260">
        <f t="shared" si="85"/>
        <v>2.8860759493670889</v>
      </c>
      <c r="I51" s="260">
        <f t="shared" si="85"/>
        <v>2.8860759493670889</v>
      </c>
      <c r="J51" s="260">
        <f t="shared" ref="J51:K51" si="86">((J46+J46)^2)/(J49+J49)</f>
        <v>2.8860759493670889</v>
      </c>
      <c r="K51" s="260">
        <f t="shared" si="86"/>
        <v>2.8860759493670889</v>
      </c>
    </row>
    <row r="52" spans="1:11" thickBot="1">
      <c r="B52" s="260"/>
      <c r="C52" s="260"/>
      <c r="D52" s="260"/>
      <c r="E52" s="260"/>
      <c r="F52" s="260"/>
      <c r="G52" s="260"/>
      <c r="H52" s="260"/>
      <c r="I52" s="260"/>
      <c r="J52" s="260"/>
      <c r="K52" s="260"/>
    </row>
    <row r="53" spans="1:11" ht="15.75" thickBot="1">
      <c r="A53" s="267" t="s">
        <v>365</v>
      </c>
      <c r="B53" s="260"/>
      <c r="C53" s="260"/>
      <c r="D53" s="260"/>
      <c r="E53" s="260"/>
      <c r="F53" s="260"/>
      <c r="G53" s="260"/>
      <c r="H53" s="260"/>
      <c r="I53" s="260"/>
      <c r="J53" s="260"/>
      <c r="K53" s="260"/>
    </row>
    <row r="54" spans="1:11" ht="14.25">
      <c r="A54" t="s">
        <v>366</v>
      </c>
      <c r="B54" s="260">
        <f t="shared" ref="B54" si="87">B48/(10+1)</f>
        <v>1.3636363636363636E-2</v>
      </c>
      <c r="C54" s="260">
        <f t="shared" ref="C54:I54" si="88">C48/(10+1)</f>
        <v>1.3636363636363636E-2</v>
      </c>
      <c r="D54" s="260">
        <f t="shared" si="88"/>
        <v>1.3636363636363636E-2</v>
      </c>
      <c r="E54" s="260">
        <f t="shared" si="88"/>
        <v>1.3636363636363636E-2</v>
      </c>
      <c r="F54" s="260">
        <f t="shared" si="88"/>
        <v>1.3636363636363636E-2</v>
      </c>
      <c r="G54" s="260">
        <f t="shared" si="88"/>
        <v>1.3636363636363636E-2</v>
      </c>
      <c r="H54" s="260">
        <f t="shared" si="88"/>
        <v>1.3636363636363636E-2</v>
      </c>
      <c r="I54" s="260">
        <f t="shared" si="88"/>
        <v>1.3636363636363636E-2</v>
      </c>
      <c r="J54" s="260">
        <f t="shared" ref="J54:K54" si="89">J48/(10+1)</f>
        <v>1.3636363636363636E-2</v>
      </c>
      <c r="K54" s="260">
        <f t="shared" si="89"/>
        <v>1.3636363636363636E-2</v>
      </c>
    </row>
    <row r="55" spans="1:11" ht="14.25">
      <c r="A55" t="s">
        <v>367</v>
      </c>
      <c r="B55" s="260">
        <f t="shared" ref="B55" si="90">(B37-B39)/(-B47)</f>
        <v>-0.33333333333333331</v>
      </c>
      <c r="C55" s="260">
        <f t="shared" ref="C55:I55" si="91">(C37-C39)/(-C47)</f>
        <v>-0.33333333333333331</v>
      </c>
      <c r="D55" s="260">
        <f t="shared" si="91"/>
        <v>-0.33333333333333331</v>
      </c>
      <c r="E55" s="260">
        <f t="shared" si="91"/>
        <v>-0.33333333333333331</v>
      </c>
      <c r="F55" s="260">
        <f t="shared" si="91"/>
        <v>-0.33333333333333331</v>
      </c>
      <c r="G55" s="260">
        <f t="shared" si="91"/>
        <v>-0.33333333333333331</v>
      </c>
      <c r="H55" s="260">
        <f t="shared" si="91"/>
        <v>-0.33333333333333331</v>
      </c>
      <c r="I55" s="260">
        <f t="shared" si="91"/>
        <v>-0.33333333333333331</v>
      </c>
      <c r="J55" s="260">
        <f t="shared" ref="J55:K55" si="92">(J37-J39)/(-J47)</f>
        <v>-0.33333333333333331</v>
      </c>
      <c r="K55" s="260">
        <f t="shared" si="92"/>
        <v>-0.33333333333333331</v>
      </c>
    </row>
    <row r="56" spans="1:11" ht="14.25">
      <c r="A56" t="s">
        <v>368</v>
      </c>
      <c r="B56" s="260"/>
      <c r="C56" s="260"/>
      <c r="D56" s="260"/>
      <c r="E56" s="260"/>
      <c r="F56" s="260"/>
      <c r="G56" s="260"/>
      <c r="H56" s="260"/>
      <c r="I56" s="260"/>
      <c r="J56" s="260"/>
      <c r="K56" s="260"/>
    </row>
    <row r="57" spans="1:11" ht="14.25" hidden="1" outlineLevel="1">
      <c r="A57">
        <v>1</v>
      </c>
      <c r="B57" s="260">
        <f>(B54/2)</f>
        <v>6.8181818181818179E-3</v>
      </c>
      <c r="C57" s="260">
        <f t="shared" ref="C57:I57" si="93">(C54/2)</f>
        <v>6.8181818181818179E-3</v>
      </c>
      <c r="D57" s="260">
        <f t="shared" si="93"/>
        <v>6.8181818181818179E-3</v>
      </c>
      <c r="E57" s="260">
        <f t="shared" si="93"/>
        <v>6.8181818181818179E-3</v>
      </c>
      <c r="F57" s="260">
        <f t="shared" si="93"/>
        <v>6.8181818181818179E-3</v>
      </c>
      <c r="G57" s="260">
        <f t="shared" si="93"/>
        <v>6.8181818181818179E-3</v>
      </c>
      <c r="H57" s="260">
        <f t="shared" si="93"/>
        <v>6.8181818181818179E-3</v>
      </c>
      <c r="I57" s="260">
        <f t="shared" si="93"/>
        <v>6.8181818181818179E-3</v>
      </c>
      <c r="J57" s="260">
        <f t="shared" ref="J57:K57" si="94">(J54/2)</f>
        <v>6.8181818181818179E-3</v>
      </c>
      <c r="K57" s="260">
        <f t="shared" si="94"/>
        <v>6.8181818181818179E-3</v>
      </c>
    </row>
    <row r="58" spans="1:11" ht="14.25" hidden="1" outlineLevel="1">
      <c r="A58">
        <v>2</v>
      </c>
      <c r="B58" s="260">
        <f>B57+B54</f>
        <v>2.0454545454545454E-2</v>
      </c>
      <c r="C58" s="260">
        <f t="shared" ref="C58:I58" si="95">C57+C54</f>
        <v>2.0454545454545454E-2</v>
      </c>
      <c r="D58" s="260">
        <f t="shared" si="95"/>
        <v>2.0454545454545454E-2</v>
      </c>
      <c r="E58" s="260">
        <f t="shared" si="95"/>
        <v>2.0454545454545454E-2</v>
      </c>
      <c r="F58" s="260">
        <f t="shared" si="95"/>
        <v>2.0454545454545454E-2</v>
      </c>
      <c r="G58" s="260">
        <f t="shared" si="95"/>
        <v>2.0454545454545454E-2</v>
      </c>
      <c r="H58" s="260">
        <f t="shared" si="95"/>
        <v>2.0454545454545454E-2</v>
      </c>
      <c r="I58" s="260">
        <f t="shared" si="95"/>
        <v>2.0454545454545454E-2</v>
      </c>
      <c r="J58" s="260">
        <f t="shared" ref="J58" si="96">J57+J54</f>
        <v>2.0454545454545454E-2</v>
      </c>
      <c r="K58" s="260">
        <f t="shared" ref="K58" si="97">K57+K54</f>
        <v>2.0454545454545454E-2</v>
      </c>
    </row>
    <row r="59" spans="1:11" ht="14.25" hidden="1" outlineLevel="1">
      <c r="A59">
        <v>3</v>
      </c>
      <c r="B59" s="260">
        <f t="shared" ref="B59" si="98">B58+B$54</f>
        <v>3.4090909090909088E-2</v>
      </c>
      <c r="C59" s="260">
        <f t="shared" ref="C59:I59" si="99">C58+C$54</f>
        <v>3.4090909090909088E-2</v>
      </c>
      <c r="D59" s="260">
        <f t="shared" si="99"/>
        <v>3.4090909090909088E-2</v>
      </c>
      <c r="E59" s="260">
        <f t="shared" si="99"/>
        <v>3.4090909090909088E-2</v>
      </c>
      <c r="F59" s="260">
        <f t="shared" si="99"/>
        <v>3.4090909090909088E-2</v>
      </c>
      <c r="G59" s="260">
        <f t="shared" si="99"/>
        <v>3.4090909090909088E-2</v>
      </c>
      <c r="H59" s="260">
        <f t="shared" si="99"/>
        <v>3.4090909090909088E-2</v>
      </c>
      <c r="I59" s="260">
        <f t="shared" si="99"/>
        <v>3.4090909090909088E-2</v>
      </c>
      <c r="J59" s="260">
        <f t="shared" ref="J59:K59" si="100">J58+J$54</f>
        <v>3.4090909090909088E-2</v>
      </c>
      <c r="K59" s="260">
        <f t="shared" si="100"/>
        <v>3.4090909090909088E-2</v>
      </c>
    </row>
    <row r="60" spans="1:11" ht="14.25" hidden="1" outlineLevel="1">
      <c r="A60">
        <v>4</v>
      </c>
      <c r="B60" s="260">
        <f t="shared" ref="B60:B67" si="101">B59+B$54</f>
        <v>4.7727272727272722E-2</v>
      </c>
      <c r="C60" s="260">
        <f t="shared" ref="C60:I60" si="102">C59+C$54</f>
        <v>4.7727272727272722E-2</v>
      </c>
      <c r="D60" s="260">
        <f t="shared" si="102"/>
        <v>4.7727272727272722E-2</v>
      </c>
      <c r="E60" s="260">
        <f t="shared" si="102"/>
        <v>4.7727272727272722E-2</v>
      </c>
      <c r="F60" s="260">
        <f t="shared" si="102"/>
        <v>4.7727272727272722E-2</v>
      </c>
      <c r="G60" s="260">
        <f t="shared" si="102"/>
        <v>4.7727272727272722E-2</v>
      </c>
      <c r="H60" s="260">
        <f t="shared" si="102"/>
        <v>4.7727272727272722E-2</v>
      </c>
      <c r="I60" s="260">
        <f t="shared" si="102"/>
        <v>4.7727272727272722E-2</v>
      </c>
      <c r="J60" s="260">
        <f t="shared" ref="J60:K60" si="103">J59+J$54</f>
        <v>4.7727272727272722E-2</v>
      </c>
      <c r="K60" s="260">
        <f t="shared" si="103"/>
        <v>4.7727272727272722E-2</v>
      </c>
    </row>
    <row r="61" spans="1:11" ht="14.25" hidden="1" outlineLevel="1">
      <c r="A61">
        <v>5</v>
      </c>
      <c r="B61" s="260">
        <f t="shared" si="101"/>
        <v>6.1363636363636356E-2</v>
      </c>
      <c r="C61" s="260">
        <f t="shared" ref="C61:I61" si="104">C60+C$54</f>
        <v>6.1363636363636356E-2</v>
      </c>
      <c r="D61" s="260">
        <f t="shared" si="104"/>
        <v>6.1363636363636356E-2</v>
      </c>
      <c r="E61" s="260">
        <f t="shared" si="104"/>
        <v>6.1363636363636356E-2</v>
      </c>
      <c r="F61" s="260">
        <f t="shared" si="104"/>
        <v>6.1363636363636356E-2</v>
      </c>
      <c r="G61" s="260">
        <f t="shared" si="104"/>
        <v>6.1363636363636356E-2</v>
      </c>
      <c r="H61" s="260">
        <f t="shared" si="104"/>
        <v>6.1363636363636356E-2</v>
      </c>
      <c r="I61" s="260">
        <f t="shared" si="104"/>
        <v>6.1363636363636356E-2</v>
      </c>
      <c r="J61" s="260">
        <f t="shared" ref="J61:K61" si="105">J60+J$54</f>
        <v>6.1363636363636356E-2</v>
      </c>
      <c r="K61" s="260">
        <f t="shared" si="105"/>
        <v>6.1363636363636356E-2</v>
      </c>
    </row>
    <row r="62" spans="1:11" ht="14.25" hidden="1" outlineLevel="1">
      <c r="A62">
        <v>6</v>
      </c>
      <c r="B62" s="260">
        <f t="shared" si="101"/>
        <v>7.4999999999999997E-2</v>
      </c>
      <c r="C62" s="260">
        <f t="shared" ref="C62:I62" si="106">C61+C$54</f>
        <v>7.4999999999999997E-2</v>
      </c>
      <c r="D62" s="260">
        <f t="shared" si="106"/>
        <v>7.4999999999999997E-2</v>
      </c>
      <c r="E62" s="260">
        <f t="shared" si="106"/>
        <v>7.4999999999999997E-2</v>
      </c>
      <c r="F62" s="260">
        <f t="shared" si="106"/>
        <v>7.4999999999999997E-2</v>
      </c>
      <c r="G62" s="260">
        <f t="shared" si="106"/>
        <v>7.4999999999999997E-2</v>
      </c>
      <c r="H62" s="260">
        <f t="shared" si="106"/>
        <v>7.4999999999999997E-2</v>
      </c>
      <c r="I62" s="260">
        <f t="shared" si="106"/>
        <v>7.4999999999999997E-2</v>
      </c>
      <c r="J62" s="260">
        <f t="shared" ref="J62:K62" si="107">J61+J$54</f>
        <v>7.4999999999999997E-2</v>
      </c>
      <c r="K62" s="260">
        <f t="shared" si="107"/>
        <v>7.4999999999999997E-2</v>
      </c>
    </row>
    <row r="63" spans="1:11" ht="14.25" hidden="1" outlineLevel="1">
      <c r="A63">
        <v>7</v>
      </c>
      <c r="B63" s="260">
        <f t="shared" si="101"/>
        <v>8.8636363636363638E-2</v>
      </c>
      <c r="C63" s="260">
        <f t="shared" ref="C63:I63" si="108">C62+C$54</f>
        <v>8.8636363636363638E-2</v>
      </c>
      <c r="D63" s="260">
        <f t="shared" si="108"/>
        <v>8.8636363636363638E-2</v>
      </c>
      <c r="E63" s="260">
        <f t="shared" si="108"/>
        <v>8.8636363636363638E-2</v>
      </c>
      <c r="F63" s="260">
        <f t="shared" si="108"/>
        <v>8.8636363636363638E-2</v>
      </c>
      <c r="G63" s="260">
        <f t="shared" si="108"/>
        <v>8.8636363636363638E-2</v>
      </c>
      <c r="H63" s="260">
        <f t="shared" si="108"/>
        <v>8.8636363636363638E-2</v>
      </c>
      <c r="I63" s="260">
        <f t="shared" si="108"/>
        <v>8.8636363636363638E-2</v>
      </c>
      <c r="J63" s="260">
        <f t="shared" ref="J63:K63" si="109">J62+J$54</f>
        <v>8.8636363636363638E-2</v>
      </c>
      <c r="K63" s="260">
        <f t="shared" si="109"/>
        <v>8.8636363636363638E-2</v>
      </c>
    </row>
    <row r="64" spans="1:11" ht="14.25" hidden="1" outlineLevel="1">
      <c r="A64">
        <v>8</v>
      </c>
      <c r="B64" s="260">
        <f t="shared" si="101"/>
        <v>0.10227272727272728</v>
      </c>
      <c r="C64" s="260">
        <f t="shared" ref="C64:I64" si="110">C63+C$54</f>
        <v>0.10227272727272728</v>
      </c>
      <c r="D64" s="260">
        <f t="shared" si="110"/>
        <v>0.10227272727272728</v>
      </c>
      <c r="E64" s="260">
        <f t="shared" si="110"/>
        <v>0.10227272727272728</v>
      </c>
      <c r="F64" s="260">
        <f t="shared" si="110"/>
        <v>0.10227272727272728</v>
      </c>
      <c r="G64" s="260">
        <f t="shared" si="110"/>
        <v>0.10227272727272728</v>
      </c>
      <c r="H64" s="260">
        <f t="shared" si="110"/>
        <v>0.10227272727272728</v>
      </c>
      <c r="I64" s="260">
        <f t="shared" si="110"/>
        <v>0.10227272727272728</v>
      </c>
      <c r="J64" s="260">
        <f t="shared" ref="J64:K64" si="111">J63+J$54</f>
        <v>0.10227272727272728</v>
      </c>
      <c r="K64" s="260">
        <f t="shared" si="111"/>
        <v>0.10227272727272728</v>
      </c>
    </row>
    <row r="65" spans="1:11" ht="14.25" hidden="1" outlineLevel="1">
      <c r="A65">
        <v>9</v>
      </c>
      <c r="B65" s="260">
        <f t="shared" si="101"/>
        <v>0.11590909090909092</v>
      </c>
      <c r="C65" s="260">
        <f t="shared" ref="C65:I65" si="112">C64+C$54</f>
        <v>0.11590909090909092</v>
      </c>
      <c r="D65" s="260">
        <f t="shared" si="112"/>
        <v>0.11590909090909092</v>
      </c>
      <c r="E65" s="260">
        <f t="shared" si="112"/>
        <v>0.11590909090909092</v>
      </c>
      <c r="F65" s="260">
        <f t="shared" si="112"/>
        <v>0.11590909090909092</v>
      </c>
      <c r="G65" s="260">
        <f t="shared" si="112"/>
        <v>0.11590909090909092</v>
      </c>
      <c r="H65" s="260">
        <f t="shared" si="112"/>
        <v>0.11590909090909092</v>
      </c>
      <c r="I65" s="260">
        <f t="shared" si="112"/>
        <v>0.11590909090909092</v>
      </c>
      <c r="J65" s="260">
        <f t="shared" ref="J65:K65" si="113">J64+J$54</f>
        <v>0.11590909090909092</v>
      </c>
      <c r="K65" s="260">
        <f t="shared" si="113"/>
        <v>0.11590909090909092</v>
      </c>
    </row>
    <row r="66" spans="1:11" ht="14.25" hidden="1" outlineLevel="1">
      <c r="A66">
        <v>10</v>
      </c>
      <c r="B66" s="260">
        <f t="shared" si="101"/>
        <v>0.12954545454545455</v>
      </c>
      <c r="C66" s="260">
        <f t="shared" ref="C66:I66" si="114">C65+C$54</f>
        <v>0.12954545454545455</v>
      </c>
      <c r="D66" s="260">
        <f t="shared" si="114"/>
        <v>0.12954545454545455</v>
      </c>
      <c r="E66" s="260">
        <f t="shared" si="114"/>
        <v>0.12954545454545455</v>
      </c>
      <c r="F66" s="260">
        <f t="shared" si="114"/>
        <v>0.12954545454545455</v>
      </c>
      <c r="G66" s="260">
        <f t="shared" si="114"/>
        <v>0.12954545454545455</v>
      </c>
      <c r="H66" s="260">
        <f t="shared" si="114"/>
        <v>0.12954545454545455</v>
      </c>
      <c r="I66" s="260">
        <f t="shared" si="114"/>
        <v>0.12954545454545455</v>
      </c>
      <c r="J66" s="260">
        <f t="shared" ref="J66:K66" si="115">J65+J$54</f>
        <v>0.12954545454545455</v>
      </c>
      <c r="K66" s="260">
        <f t="shared" si="115"/>
        <v>0.12954545454545455</v>
      </c>
    </row>
    <row r="67" spans="1:11" ht="14.25" hidden="1" outlineLevel="1">
      <c r="A67">
        <v>11</v>
      </c>
      <c r="B67" s="260">
        <f t="shared" si="101"/>
        <v>0.14318181818181819</v>
      </c>
      <c r="C67" s="260">
        <f t="shared" ref="C67:I67" si="116">C66+C$54</f>
        <v>0.14318181818181819</v>
      </c>
      <c r="D67" s="260">
        <f t="shared" si="116"/>
        <v>0.14318181818181819</v>
      </c>
      <c r="E67" s="260">
        <f t="shared" si="116"/>
        <v>0.14318181818181819</v>
      </c>
      <c r="F67" s="260">
        <f t="shared" si="116"/>
        <v>0.14318181818181819</v>
      </c>
      <c r="G67" s="260">
        <f t="shared" si="116"/>
        <v>0.14318181818181819</v>
      </c>
      <c r="H67" s="260">
        <f t="shared" si="116"/>
        <v>0.14318181818181819</v>
      </c>
      <c r="I67" s="260">
        <f t="shared" si="116"/>
        <v>0.14318181818181819</v>
      </c>
      <c r="J67" s="260">
        <f t="shared" ref="J67:K67" si="117">J66+J$54</f>
        <v>0.14318181818181819</v>
      </c>
      <c r="K67" s="260">
        <f t="shared" si="117"/>
        <v>0.14318181818181819</v>
      </c>
    </row>
    <row r="68" spans="1:11" ht="14.25" collapsed="1">
      <c r="A68" t="s">
        <v>369</v>
      </c>
      <c r="B68" s="260"/>
      <c r="C68" s="260"/>
      <c r="D68" s="260"/>
      <c r="E68" s="260"/>
      <c r="F68" s="260"/>
      <c r="G68" s="260"/>
      <c r="H68" s="260"/>
      <c r="I68" s="260"/>
      <c r="J68" s="260"/>
      <c r="K68" s="260"/>
    </row>
    <row r="69" spans="1:11" ht="14.25" hidden="1" outlineLevel="1">
      <c r="A69">
        <v>1</v>
      </c>
      <c r="B69" s="260">
        <f t="shared" ref="B69" si="118">(B57*B$55)+B$38</f>
        <v>0.14772727272727273</v>
      </c>
      <c r="C69" s="260">
        <f t="shared" ref="C69:I69" si="119">(C57*C$55)+C$38</f>
        <v>0.14772727272727273</v>
      </c>
      <c r="D69" s="260">
        <f t="shared" si="119"/>
        <v>0.14772727272727273</v>
      </c>
      <c r="E69" s="260">
        <f t="shared" si="119"/>
        <v>0.14772727272727273</v>
      </c>
      <c r="F69" s="260">
        <f t="shared" si="119"/>
        <v>0.14772727272727273</v>
      </c>
      <c r="G69" s="260">
        <f t="shared" si="119"/>
        <v>0.14772727272727273</v>
      </c>
      <c r="H69" s="260">
        <f t="shared" si="119"/>
        <v>0.14772727272727273</v>
      </c>
      <c r="I69" s="260">
        <f t="shared" si="119"/>
        <v>0.14772727272727273</v>
      </c>
      <c r="J69" s="260">
        <f t="shared" ref="J69:K69" si="120">(J57*J$55)+J$38</f>
        <v>0.14772727272727273</v>
      </c>
      <c r="K69" s="260">
        <f t="shared" si="120"/>
        <v>0.14772727272727273</v>
      </c>
    </row>
    <row r="70" spans="1:11" ht="14.25" hidden="1" outlineLevel="1">
      <c r="A70">
        <v>2</v>
      </c>
      <c r="B70" s="260">
        <f t="shared" ref="B70" si="121">(B58*B$55)+B$38</f>
        <v>0.14318181818181819</v>
      </c>
      <c r="C70" s="260">
        <f t="shared" ref="C70:I70" si="122">(C58*C$55)+C$38</f>
        <v>0.14318181818181819</v>
      </c>
      <c r="D70" s="260">
        <f t="shared" si="122"/>
        <v>0.14318181818181819</v>
      </c>
      <c r="E70" s="260">
        <f t="shared" si="122"/>
        <v>0.14318181818181819</v>
      </c>
      <c r="F70" s="260">
        <f t="shared" si="122"/>
        <v>0.14318181818181819</v>
      </c>
      <c r="G70" s="260">
        <f t="shared" si="122"/>
        <v>0.14318181818181819</v>
      </c>
      <c r="H70" s="260">
        <f t="shared" si="122"/>
        <v>0.14318181818181819</v>
      </c>
      <c r="I70" s="260">
        <f t="shared" si="122"/>
        <v>0.14318181818181819</v>
      </c>
      <c r="J70" s="260">
        <f t="shared" ref="J70:K70" si="123">(J58*J$55)+J$38</f>
        <v>0.14318181818181819</v>
      </c>
      <c r="K70" s="260">
        <f t="shared" si="123"/>
        <v>0.14318181818181819</v>
      </c>
    </row>
    <row r="71" spans="1:11" ht="14.25" hidden="1" outlineLevel="1">
      <c r="A71">
        <v>3</v>
      </c>
      <c r="B71" s="260">
        <f t="shared" ref="B71" si="124">(B59*B$55)+B$38</f>
        <v>0.13863636363636364</v>
      </c>
      <c r="C71" s="260">
        <f t="shared" ref="C71:I71" si="125">(C59*C$55)+C$38</f>
        <v>0.13863636363636364</v>
      </c>
      <c r="D71" s="260">
        <f t="shared" si="125"/>
        <v>0.13863636363636364</v>
      </c>
      <c r="E71" s="260">
        <f t="shared" si="125"/>
        <v>0.13863636363636364</v>
      </c>
      <c r="F71" s="260">
        <f t="shared" si="125"/>
        <v>0.13863636363636364</v>
      </c>
      <c r="G71" s="260">
        <f t="shared" si="125"/>
        <v>0.13863636363636364</v>
      </c>
      <c r="H71" s="260">
        <f t="shared" si="125"/>
        <v>0.13863636363636364</v>
      </c>
      <c r="I71" s="260">
        <f t="shared" si="125"/>
        <v>0.13863636363636364</v>
      </c>
      <c r="J71" s="260">
        <f t="shared" ref="J71:K71" si="126">(J59*J$55)+J$38</f>
        <v>0.13863636363636364</v>
      </c>
      <c r="K71" s="260">
        <f t="shared" si="126"/>
        <v>0.13863636363636364</v>
      </c>
    </row>
    <row r="72" spans="1:11" ht="14.25" hidden="1" outlineLevel="1">
      <c r="A72">
        <v>4</v>
      </c>
      <c r="B72" s="260">
        <f t="shared" ref="B72" si="127">(B60*B$55)+B$38</f>
        <v>0.13409090909090909</v>
      </c>
      <c r="C72" s="260">
        <f t="shared" ref="C72:I72" si="128">(C60*C$55)+C$38</f>
        <v>0.13409090909090909</v>
      </c>
      <c r="D72" s="260">
        <f t="shared" si="128"/>
        <v>0.13409090909090909</v>
      </c>
      <c r="E72" s="260">
        <f t="shared" si="128"/>
        <v>0.13409090909090909</v>
      </c>
      <c r="F72" s="260">
        <f t="shared" si="128"/>
        <v>0.13409090909090909</v>
      </c>
      <c r="G72" s="260">
        <f t="shared" si="128"/>
        <v>0.13409090909090909</v>
      </c>
      <c r="H72" s="260">
        <f t="shared" si="128"/>
        <v>0.13409090909090909</v>
      </c>
      <c r="I72" s="260">
        <f t="shared" si="128"/>
        <v>0.13409090909090909</v>
      </c>
      <c r="J72" s="260">
        <f t="shared" ref="J72:K72" si="129">(J60*J$55)+J$38</f>
        <v>0.13409090909090909</v>
      </c>
      <c r="K72" s="260">
        <f t="shared" si="129"/>
        <v>0.13409090909090909</v>
      </c>
    </row>
    <row r="73" spans="1:11" ht="14.25" hidden="1" outlineLevel="1">
      <c r="A73">
        <v>5</v>
      </c>
      <c r="B73" s="260">
        <f t="shared" ref="B73" si="130">(B61*B$55)+B$38</f>
        <v>0.12954545454545455</v>
      </c>
      <c r="C73" s="260">
        <f t="shared" ref="C73:I73" si="131">(C61*C$55)+C$38</f>
        <v>0.12954545454545455</v>
      </c>
      <c r="D73" s="260">
        <f t="shared" si="131"/>
        <v>0.12954545454545455</v>
      </c>
      <c r="E73" s="260">
        <f t="shared" si="131"/>
        <v>0.12954545454545455</v>
      </c>
      <c r="F73" s="260">
        <f t="shared" si="131"/>
        <v>0.12954545454545455</v>
      </c>
      <c r="G73" s="260">
        <f t="shared" si="131"/>
        <v>0.12954545454545455</v>
      </c>
      <c r="H73" s="260">
        <f t="shared" si="131"/>
        <v>0.12954545454545455</v>
      </c>
      <c r="I73" s="260">
        <f t="shared" si="131"/>
        <v>0.12954545454545455</v>
      </c>
      <c r="J73" s="260">
        <f t="shared" ref="J73:K73" si="132">(J61*J$55)+J$38</f>
        <v>0.12954545454545455</v>
      </c>
      <c r="K73" s="260">
        <f t="shared" si="132"/>
        <v>0.12954545454545455</v>
      </c>
    </row>
    <row r="74" spans="1:11" ht="14.25" hidden="1" outlineLevel="1">
      <c r="A74">
        <v>6</v>
      </c>
      <c r="B74" s="260">
        <f t="shared" ref="B74" si="133">(B62*B$55)+B$38</f>
        <v>0.125</v>
      </c>
      <c r="C74" s="260">
        <f t="shared" ref="C74:I74" si="134">(C62*C$55)+C$38</f>
        <v>0.125</v>
      </c>
      <c r="D74" s="260">
        <f t="shared" si="134"/>
        <v>0.125</v>
      </c>
      <c r="E74" s="260">
        <f t="shared" si="134"/>
        <v>0.125</v>
      </c>
      <c r="F74" s="260">
        <f t="shared" si="134"/>
        <v>0.125</v>
      </c>
      <c r="G74" s="260">
        <f t="shared" si="134"/>
        <v>0.125</v>
      </c>
      <c r="H74" s="260">
        <f t="shared" si="134"/>
        <v>0.125</v>
      </c>
      <c r="I74" s="260">
        <f t="shared" si="134"/>
        <v>0.125</v>
      </c>
      <c r="J74" s="260">
        <f t="shared" ref="J74:K74" si="135">(J62*J$55)+J$38</f>
        <v>0.125</v>
      </c>
      <c r="K74" s="260">
        <f t="shared" si="135"/>
        <v>0.125</v>
      </c>
    </row>
    <row r="75" spans="1:11" ht="14.25" hidden="1" outlineLevel="1">
      <c r="A75">
        <v>7</v>
      </c>
      <c r="B75" s="260">
        <f t="shared" ref="B75" si="136">(B63*B$55)+B$38</f>
        <v>0.12045454545454545</v>
      </c>
      <c r="C75" s="260">
        <f t="shared" ref="C75:I75" si="137">(C63*C$55)+C$38</f>
        <v>0.12045454545454545</v>
      </c>
      <c r="D75" s="260">
        <f t="shared" si="137"/>
        <v>0.12045454545454545</v>
      </c>
      <c r="E75" s="260">
        <f t="shared" si="137"/>
        <v>0.12045454545454545</v>
      </c>
      <c r="F75" s="260">
        <f t="shared" si="137"/>
        <v>0.12045454545454545</v>
      </c>
      <c r="G75" s="260">
        <f t="shared" si="137"/>
        <v>0.12045454545454545</v>
      </c>
      <c r="H75" s="260">
        <f t="shared" si="137"/>
        <v>0.12045454545454545</v>
      </c>
      <c r="I75" s="260">
        <f t="shared" si="137"/>
        <v>0.12045454545454545</v>
      </c>
      <c r="J75" s="260">
        <f t="shared" ref="J75:K75" si="138">(J63*J$55)+J$38</f>
        <v>0.12045454545454545</v>
      </c>
      <c r="K75" s="260">
        <f t="shared" si="138"/>
        <v>0.12045454545454545</v>
      </c>
    </row>
    <row r="76" spans="1:11" ht="14.25" hidden="1" outlineLevel="1">
      <c r="A76">
        <v>8</v>
      </c>
      <c r="B76" s="260">
        <f t="shared" ref="B76" si="139">(B64*B$55)+B$38</f>
        <v>0.11590909090909091</v>
      </c>
      <c r="C76" s="260">
        <f t="shared" ref="C76:I76" si="140">(C64*C$55)+C$38</f>
        <v>0.11590909090909091</v>
      </c>
      <c r="D76" s="260">
        <f t="shared" si="140"/>
        <v>0.11590909090909091</v>
      </c>
      <c r="E76" s="260">
        <f t="shared" si="140"/>
        <v>0.11590909090909091</v>
      </c>
      <c r="F76" s="260">
        <f t="shared" si="140"/>
        <v>0.11590909090909091</v>
      </c>
      <c r="G76" s="260">
        <f t="shared" si="140"/>
        <v>0.11590909090909091</v>
      </c>
      <c r="H76" s="260">
        <f t="shared" si="140"/>
        <v>0.11590909090909091</v>
      </c>
      <c r="I76" s="260">
        <f t="shared" si="140"/>
        <v>0.11590909090909091</v>
      </c>
      <c r="J76" s="260">
        <f t="shared" ref="J76:K76" si="141">(J64*J$55)+J$38</f>
        <v>0.11590909090909091</v>
      </c>
      <c r="K76" s="260">
        <f t="shared" si="141"/>
        <v>0.11590909090909091</v>
      </c>
    </row>
    <row r="77" spans="1:11" ht="14.25" hidden="1" outlineLevel="1">
      <c r="A77">
        <v>9</v>
      </c>
      <c r="B77" s="260">
        <f t="shared" ref="B77" si="142">(B65*B$55)+B$38</f>
        <v>0.11136363636363636</v>
      </c>
      <c r="C77" s="260">
        <f t="shared" ref="C77:I77" si="143">(C65*C$55)+C$38</f>
        <v>0.11136363636363636</v>
      </c>
      <c r="D77" s="260">
        <f t="shared" si="143"/>
        <v>0.11136363636363636</v>
      </c>
      <c r="E77" s="260">
        <f t="shared" si="143"/>
        <v>0.11136363636363636</v>
      </c>
      <c r="F77" s="260">
        <f t="shared" si="143"/>
        <v>0.11136363636363636</v>
      </c>
      <c r="G77" s="260">
        <f t="shared" si="143"/>
        <v>0.11136363636363636</v>
      </c>
      <c r="H77" s="260">
        <f t="shared" si="143"/>
        <v>0.11136363636363636</v>
      </c>
      <c r="I77" s="260">
        <f t="shared" si="143"/>
        <v>0.11136363636363636</v>
      </c>
      <c r="J77" s="260">
        <f t="shared" ref="J77:K77" si="144">(J65*J$55)+J$38</f>
        <v>0.11136363636363636</v>
      </c>
      <c r="K77" s="260">
        <f t="shared" si="144"/>
        <v>0.11136363636363636</v>
      </c>
    </row>
    <row r="78" spans="1:11" ht="14.25" hidden="1" outlineLevel="1">
      <c r="A78">
        <v>10</v>
      </c>
      <c r="B78" s="260">
        <f t="shared" ref="B78" si="145">(B66*B$55)+B$38</f>
        <v>0.10681818181818181</v>
      </c>
      <c r="C78" s="260">
        <f t="shared" ref="C78:I78" si="146">(C66*C$55)+C$38</f>
        <v>0.10681818181818181</v>
      </c>
      <c r="D78" s="260">
        <f t="shared" si="146"/>
        <v>0.10681818181818181</v>
      </c>
      <c r="E78" s="260">
        <f t="shared" si="146"/>
        <v>0.10681818181818181</v>
      </c>
      <c r="F78" s="260">
        <f t="shared" si="146"/>
        <v>0.10681818181818181</v>
      </c>
      <c r="G78" s="260">
        <f t="shared" si="146"/>
        <v>0.10681818181818181</v>
      </c>
      <c r="H78" s="260">
        <f t="shared" si="146"/>
        <v>0.10681818181818181</v>
      </c>
      <c r="I78" s="260">
        <f t="shared" si="146"/>
        <v>0.10681818181818181</v>
      </c>
      <c r="J78" s="260">
        <f t="shared" ref="J78:K78" si="147">(J66*J$55)+J$38</f>
        <v>0.10681818181818181</v>
      </c>
      <c r="K78" s="260">
        <f t="shared" si="147"/>
        <v>0.10681818181818181</v>
      </c>
    </row>
    <row r="79" spans="1:11" ht="14.25" hidden="1" outlineLevel="1">
      <c r="A79">
        <v>11</v>
      </c>
      <c r="B79" s="260">
        <f t="shared" ref="B79" si="148">(B67*B$55)+B$38</f>
        <v>0.10227272727272727</v>
      </c>
      <c r="C79" s="260">
        <f t="shared" ref="C79:I79" si="149">(C67*C$55)+C$38</f>
        <v>0.10227272727272727</v>
      </c>
      <c r="D79" s="260">
        <f t="shared" si="149"/>
        <v>0.10227272727272727</v>
      </c>
      <c r="E79" s="260">
        <f t="shared" si="149"/>
        <v>0.10227272727272727</v>
      </c>
      <c r="F79" s="260">
        <f t="shared" si="149"/>
        <v>0.10227272727272727</v>
      </c>
      <c r="G79" s="260">
        <f t="shared" si="149"/>
        <v>0.10227272727272727</v>
      </c>
      <c r="H79" s="260">
        <f t="shared" si="149"/>
        <v>0.10227272727272727</v>
      </c>
      <c r="I79" s="260">
        <f t="shared" si="149"/>
        <v>0.10227272727272727</v>
      </c>
      <c r="J79" s="260">
        <f t="shared" ref="J79:K79" si="150">(J67*J$55)+J$38</f>
        <v>0.10227272727272727</v>
      </c>
      <c r="K79" s="260">
        <f t="shared" si="150"/>
        <v>0.10227272727272727</v>
      </c>
    </row>
    <row r="80" spans="1:11" ht="14.25" collapsed="1">
      <c r="A80" t="s">
        <v>370</v>
      </c>
      <c r="B80" s="260"/>
      <c r="C80" s="260"/>
      <c r="D80" s="260"/>
      <c r="E80" s="260"/>
      <c r="F80" s="260"/>
      <c r="G80" s="260"/>
      <c r="H80" s="260"/>
      <c r="I80" s="260"/>
      <c r="J80" s="260"/>
      <c r="K80" s="260"/>
    </row>
    <row r="81" spans="1:11" ht="14.25" hidden="1" outlineLevel="1">
      <c r="A81">
        <v>1</v>
      </c>
      <c r="B81" s="261">
        <f t="shared" ref="B81" si="151">(B69+B70)*B$54/2</f>
        <v>1.9834710743801649E-3</v>
      </c>
      <c r="C81" s="261">
        <f t="shared" ref="C81:I81" si="152">(C69+C70)*C$54/2</f>
        <v>1.9834710743801649E-3</v>
      </c>
      <c r="D81" s="261">
        <f t="shared" si="152"/>
        <v>1.9834710743801649E-3</v>
      </c>
      <c r="E81" s="261">
        <f t="shared" si="152"/>
        <v>1.9834710743801649E-3</v>
      </c>
      <c r="F81" s="261">
        <f t="shared" si="152"/>
        <v>1.9834710743801649E-3</v>
      </c>
      <c r="G81" s="261">
        <f t="shared" si="152"/>
        <v>1.9834710743801649E-3</v>
      </c>
      <c r="H81" s="261">
        <f t="shared" si="152"/>
        <v>1.9834710743801649E-3</v>
      </c>
      <c r="I81" s="261">
        <f t="shared" si="152"/>
        <v>1.9834710743801649E-3</v>
      </c>
      <c r="J81" s="261">
        <f t="shared" ref="J81:K81" si="153">(J69+J70)*J$54/2</f>
        <v>1.9834710743801649E-3</v>
      </c>
      <c r="K81" s="261">
        <f t="shared" si="153"/>
        <v>1.9834710743801649E-3</v>
      </c>
    </row>
    <row r="82" spans="1:11" ht="14.25" hidden="1" outlineLevel="1">
      <c r="A82">
        <v>2</v>
      </c>
      <c r="B82" s="261">
        <f t="shared" ref="B82:B89" si="154">(B70+B71)*B$54/2</f>
        <v>1.9214876033057853E-3</v>
      </c>
      <c r="C82" s="261">
        <f t="shared" ref="C82:I82" si="155">(C70+C71)*C$54/2</f>
        <v>1.9214876033057853E-3</v>
      </c>
      <c r="D82" s="261">
        <f t="shared" si="155"/>
        <v>1.9214876033057853E-3</v>
      </c>
      <c r="E82" s="261">
        <f t="shared" si="155"/>
        <v>1.9214876033057853E-3</v>
      </c>
      <c r="F82" s="261">
        <f t="shared" si="155"/>
        <v>1.9214876033057853E-3</v>
      </c>
      <c r="G82" s="261">
        <f t="shared" si="155"/>
        <v>1.9214876033057853E-3</v>
      </c>
      <c r="H82" s="261">
        <f t="shared" si="155"/>
        <v>1.9214876033057853E-3</v>
      </c>
      <c r="I82" s="261">
        <f t="shared" si="155"/>
        <v>1.9214876033057853E-3</v>
      </c>
      <c r="J82" s="261">
        <f t="shared" ref="J82:K82" si="156">(J70+J71)*J$54/2</f>
        <v>1.9214876033057853E-3</v>
      </c>
      <c r="K82" s="261">
        <f t="shared" si="156"/>
        <v>1.9214876033057853E-3</v>
      </c>
    </row>
    <row r="83" spans="1:11" ht="14.25" hidden="1" outlineLevel="1">
      <c r="A83">
        <v>3</v>
      </c>
      <c r="B83" s="261">
        <f t="shared" si="154"/>
        <v>1.8595041322314048E-3</v>
      </c>
      <c r="C83" s="261">
        <f t="shared" ref="C83:I83" si="157">(C71+C72)*C$54/2</f>
        <v>1.8595041322314048E-3</v>
      </c>
      <c r="D83" s="261">
        <f t="shared" si="157"/>
        <v>1.8595041322314048E-3</v>
      </c>
      <c r="E83" s="261">
        <f t="shared" si="157"/>
        <v>1.8595041322314048E-3</v>
      </c>
      <c r="F83" s="261">
        <f t="shared" si="157"/>
        <v>1.8595041322314048E-3</v>
      </c>
      <c r="G83" s="261">
        <f t="shared" si="157"/>
        <v>1.8595041322314048E-3</v>
      </c>
      <c r="H83" s="261">
        <f t="shared" si="157"/>
        <v>1.8595041322314048E-3</v>
      </c>
      <c r="I83" s="261">
        <f t="shared" si="157"/>
        <v>1.8595041322314048E-3</v>
      </c>
      <c r="J83" s="261">
        <f t="shared" ref="J83:K83" si="158">(J71+J72)*J$54/2</f>
        <v>1.8595041322314048E-3</v>
      </c>
      <c r="K83" s="261">
        <f t="shared" si="158"/>
        <v>1.8595041322314048E-3</v>
      </c>
    </row>
    <row r="84" spans="1:11" ht="14.25" hidden="1" outlineLevel="1">
      <c r="A84">
        <v>4</v>
      </c>
      <c r="B84" s="261">
        <f t="shared" si="154"/>
        <v>1.7975206611570249E-3</v>
      </c>
      <c r="C84" s="261">
        <f t="shared" ref="C84:I84" si="159">(C72+C73)*C$54/2</f>
        <v>1.7975206611570249E-3</v>
      </c>
      <c r="D84" s="261">
        <f t="shared" si="159"/>
        <v>1.7975206611570249E-3</v>
      </c>
      <c r="E84" s="261">
        <f t="shared" si="159"/>
        <v>1.7975206611570249E-3</v>
      </c>
      <c r="F84" s="261">
        <f t="shared" si="159"/>
        <v>1.7975206611570249E-3</v>
      </c>
      <c r="G84" s="261">
        <f t="shared" si="159"/>
        <v>1.7975206611570249E-3</v>
      </c>
      <c r="H84" s="261">
        <f t="shared" si="159"/>
        <v>1.7975206611570249E-3</v>
      </c>
      <c r="I84" s="261">
        <f t="shared" si="159"/>
        <v>1.7975206611570249E-3</v>
      </c>
      <c r="J84" s="261">
        <f t="shared" ref="J84:K84" si="160">(J72+J73)*J$54/2</f>
        <v>1.7975206611570249E-3</v>
      </c>
      <c r="K84" s="261">
        <f t="shared" si="160"/>
        <v>1.7975206611570249E-3</v>
      </c>
    </row>
    <row r="85" spans="1:11" ht="14.25" hidden="1" outlineLevel="1">
      <c r="A85">
        <v>5</v>
      </c>
      <c r="B85" s="261">
        <f t="shared" si="154"/>
        <v>1.7355371900826444E-3</v>
      </c>
      <c r="C85" s="261">
        <f t="shared" ref="C85:I85" si="161">(C73+C74)*C$54/2</f>
        <v>1.7355371900826444E-3</v>
      </c>
      <c r="D85" s="261">
        <f t="shared" si="161"/>
        <v>1.7355371900826444E-3</v>
      </c>
      <c r="E85" s="261">
        <f t="shared" si="161"/>
        <v>1.7355371900826444E-3</v>
      </c>
      <c r="F85" s="261">
        <f t="shared" si="161"/>
        <v>1.7355371900826444E-3</v>
      </c>
      <c r="G85" s="261">
        <f t="shared" si="161"/>
        <v>1.7355371900826444E-3</v>
      </c>
      <c r="H85" s="261">
        <f t="shared" si="161"/>
        <v>1.7355371900826444E-3</v>
      </c>
      <c r="I85" s="261">
        <f t="shared" si="161"/>
        <v>1.7355371900826444E-3</v>
      </c>
      <c r="J85" s="261">
        <f t="shared" ref="J85:K85" si="162">(J73+J74)*J$54/2</f>
        <v>1.7355371900826444E-3</v>
      </c>
      <c r="K85" s="261">
        <f t="shared" si="162"/>
        <v>1.7355371900826444E-3</v>
      </c>
    </row>
    <row r="86" spans="1:11" ht="14.25" hidden="1" outlineLevel="1">
      <c r="A86">
        <v>6</v>
      </c>
      <c r="B86" s="261">
        <f t="shared" si="154"/>
        <v>1.6735537190082643E-3</v>
      </c>
      <c r="C86" s="261">
        <f t="shared" ref="C86:I86" si="163">(C74+C75)*C$54/2</f>
        <v>1.6735537190082643E-3</v>
      </c>
      <c r="D86" s="261">
        <f t="shared" si="163"/>
        <v>1.6735537190082643E-3</v>
      </c>
      <c r="E86" s="261">
        <f t="shared" si="163"/>
        <v>1.6735537190082643E-3</v>
      </c>
      <c r="F86" s="261">
        <f t="shared" si="163"/>
        <v>1.6735537190082643E-3</v>
      </c>
      <c r="G86" s="261">
        <f t="shared" si="163"/>
        <v>1.6735537190082643E-3</v>
      </c>
      <c r="H86" s="261">
        <f t="shared" si="163"/>
        <v>1.6735537190082643E-3</v>
      </c>
      <c r="I86" s="261">
        <f t="shared" si="163"/>
        <v>1.6735537190082643E-3</v>
      </c>
      <c r="J86" s="261">
        <f t="shared" ref="J86:K86" si="164">(J74+J75)*J$54/2</f>
        <v>1.6735537190082643E-3</v>
      </c>
      <c r="K86" s="261">
        <f t="shared" si="164"/>
        <v>1.6735537190082643E-3</v>
      </c>
    </row>
    <row r="87" spans="1:11" ht="14.25" hidden="1" outlineLevel="1">
      <c r="A87">
        <v>7</v>
      </c>
      <c r="B87" s="261">
        <f t="shared" si="154"/>
        <v>1.6115702479338842E-3</v>
      </c>
      <c r="C87" s="261">
        <f t="shared" ref="C87:I87" si="165">(C75+C76)*C$54/2</f>
        <v>1.6115702479338842E-3</v>
      </c>
      <c r="D87" s="261">
        <f t="shared" si="165"/>
        <v>1.6115702479338842E-3</v>
      </c>
      <c r="E87" s="261">
        <f t="shared" si="165"/>
        <v>1.6115702479338842E-3</v>
      </c>
      <c r="F87" s="261">
        <f t="shared" si="165"/>
        <v>1.6115702479338842E-3</v>
      </c>
      <c r="G87" s="261">
        <f t="shared" si="165"/>
        <v>1.6115702479338842E-3</v>
      </c>
      <c r="H87" s="261">
        <f t="shared" si="165"/>
        <v>1.6115702479338842E-3</v>
      </c>
      <c r="I87" s="261">
        <f t="shared" si="165"/>
        <v>1.6115702479338842E-3</v>
      </c>
      <c r="J87" s="261">
        <f t="shared" ref="J87:K87" si="166">(J75+J76)*J$54/2</f>
        <v>1.6115702479338842E-3</v>
      </c>
      <c r="K87" s="261">
        <f t="shared" si="166"/>
        <v>1.6115702479338842E-3</v>
      </c>
    </row>
    <row r="88" spans="1:11" ht="14.25" hidden="1" outlineLevel="1">
      <c r="A88">
        <v>8</v>
      </c>
      <c r="B88" s="261">
        <f t="shared" si="154"/>
        <v>1.549586776859504E-3</v>
      </c>
      <c r="C88" s="261">
        <f t="shared" ref="C88:I88" si="167">(C76+C77)*C$54/2</f>
        <v>1.549586776859504E-3</v>
      </c>
      <c r="D88" s="261">
        <f t="shared" si="167"/>
        <v>1.549586776859504E-3</v>
      </c>
      <c r="E88" s="261">
        <f t="shared" si="167"/>
        <v>1.549586776859504E-3</v>
      </c>
      <c r="F88" s="261">
        <f t="shared" si="167"/>
        <v>1.549586776859504E-3</v>
      </c>
      <c r="G88" s="261">
        <f t="shared" si="167"/>
        <v>1.549586776859504E-3</v>
      </c>
      <c r="H88" s="261">
        <f t="shared" si="167"/>
        <v>1.549586776859504E-3</v>
      </c>
      <c r="I88" s="261">
        <f t="shared" si="167"/>
        <v>1.549586776859504E-3</v>
      </c>
      <c r="J88" s="261">
        <f t="shared" ref="J88:K88" si="168">(J76+J77)*J$54/2</f>
        <v>1.549586776859504E-3</v>
      </c>
      <c r="K88" s="261">
        <f t="shared" si="168"/>
        <v>1.549586776859504E-3</v>
      </c>
    </row>
    <row r="89" spans="1:11" ht="14.25" hidden="1" outlineLevel="1">
      <c r="A89">
        <v>9</v>
      </c>
      <c r="B89" s="261">
        <f t="shared" si="154"/>
        <v>1.4876033057851239E-3</v>
      </c>
      <c r="C89" s="261">
        <f t="shared" ref="C89:I89" si="169">(C77+C78)*C$54/2</f>
        <v>1.4876033057851239E-3</v>
      </c>
      <c r="D89" s="261">
        <f t="shared" si="169"/>
        <v>1.4876033057851239E-3</v>
      </c>
      <c r="E89" s="261">
        <f t="shared" si="169"/>
        <v>1.4876033057851239E-3</v>
      </c>
      <c r="F89" s="261">
        <f t="shared" si="169"/>
        <v>1.4876033057851239E-3</v>
      </c>
      <c r="G89" s="261">
        <f t="shared" si="169"/>
        <v>1.4876033057851239E-3</v>
      </c>
      <c r="H89" s="261">
        <f t="shared" si="169"/>
        <v>1.4876033057851239E-3</v>
      </c>
      <c r="I89" s="261">
        <f t="shared" si="169"/>
        <v>1.4876033057851239E-3</v>
      </c>
      <c r="J89" s="261">
        <f t="shared" ref="J89:K89" si="170">(J77+J78)*J$54/2</f>
        <v>1.4876033057851239E-3</v>
      </c>
      <c r="K89" s="261">
        <f t="shared" si="170"/>
        <v>1.4876033057851239E-3</v>
      </c>
    </row>
    <row r="90" spans="1:11" ht="14.25" hidden="1" outlineLevel="1">
      <c r="A90">
        <v>10</v>
      </c>
      <c r="B90" s="261">
        <f>(B78+B79)*B$54/2</f>
        <v>1.4256198347107436E-3</v>
      </c>
      <c r="C90" s="261">
        <f t="shared" ref="C90:I90" si="171">(C78+C79)*C$54/2</f>
        <v>1.4256198347107436E-3</v>
      </c>
      <c r="D90" s="261">
        <f t="shared" si="171"/>
        <v>1.4256198347107436E-3</v>
      </c>
      <c r="E90" s="261">
        <f t="shared" si="171"/>
        <v>1.4256198347107436E-3</v>
      </c>
      <c r="F90" s="261">
        <f t="shared" si="171"/>
        <v>1.4256198347107436E-3</v>
      </c>
      <c r="G90" s="261">
        <f t="shared" si="171"/>
        <v>1.4256198347107436E-3</v>
      </c>
      <c r="H90" s="261">
        <f t="shared" si="171"/>
        <v>1.4256198347107436E-3</v>
      </c>
      <c r="I90" s="261">
        <f t="shared" si="171"/>
        <v>1.4256198347107436E-3</v>
      </c>
      <c r="J90" s="261">
        <f t="shared" ref="J90:K90" si="172">(J78+J79)*J$54/2</f>
        <v>1.4256198347107436E-3</v>
      </c>
      <c r="K90" s="261">
        <f t="shared" si="172"/>
        <v>1.4256198347107436E-3</v>
      </c>
    </row>
    <row r="91" spans="1:11" ht="14.25" collapsed="1">
      <c r="A91" t="s">
        <v>490</v>
      </c>
      <c r="B91" s="260">
        <f>SUM(B81:B90)</f>
        <v>1.7045454545454544E-2</v>
      </c>
      <c r="C91" s="260">
        <f t="shared" ref="C91:I91" si="173">SUM(C81:C90)</f>
        <v>1.7045454545454544E-2</v>
      </c>
      <c r="D91" s="260">
        <f t="shared" si="173"/>
        <v>1.7045454545454544E-2</v>
      </c>
      <c r="E91" s="260">
        <f t="shared" si="173"/>
        <v>1.7045454545454544E-2</v>
      </c>
      <c r="F91" s="260">
        <f t="shared" si="173"/>
        <v>1.7045454545454544E-2</v>
      </c>
      <c r="G91" s="260">
        <f t="shared" si="173"/>
        <v>1.7045454545454544E-2</v>
      </c>
      <c r="H91" s="260">
        <f t="shared" si="173"/>
        <v>1.7045454545454544E-2</v>
      </c>
      <c r="I91" s="260">
        <f t="shared" si="173"/>
        <v>1.7045454545454544E-2</v>
      </c>
      <c r="J91" s="260">
        <f t="shared" ref="J91" si="174">SUM(J81:J90)</f>
        <v>1.7045454545454544E-2</v>
      </c>
      <c r="K91" s="260">
        <f t="shared" ref="K91" si="175">SUM(K81:K90)</f>
        <v>1.7045454545454544E-2</v>
      </c>
    </row>
    <row r="92" spans="1:11">
      <c r="A92" s="264" t="s">
        <v>371</v>
      </c>
    </row>
    <row r="93" spans="1:11" s="166" customFormat="1" ht="14.25">
      <c r="A93" s="166" t="s">
        <v>372</v>
      </c>
      <c r="B93" s="287">
        <f>IF(B7&lt;1,(B95/(B96+B97))/SQRT(1-B7^2),(B95/(B96+B97))/SQRT(1-0.99^2))</f>
        <v>1.7460228002045515</v>
      </c>
      <c r="C93" s="287">
        <f t="shared" ref="C93:I93" si="176">IF(C7&lt;1,(C95/(C96+C97))/SQRT(1-C7^2),(C95/(C96+C97))/SQRT(1-0.99^2))</f>
        <v>1.7516574184821574</v>
      </c>
      <c r="D93" s="287">
        <f t="shared" si="176"/>
        <v>1.8270316629357042</v>
      </c>
      <c r="E93" s="287">
        <f t="shared" si="176"/>
        <v>2.0125011551487666</v>
      </c>
      <c r="F93" s="287">
        <f t="shared" si="176"/>
        <v>2.4405161277517413</v>
      </c>
      <c r="G93" s="287">
        <f t="shared" si="176"/>
        <v>12.354928369089945</v>
      </c>
      <c r="H93" s="287">
        <f t="shared" si="176"/>
        <v>12.354928369089945</v>
      </c>
      <c r="I93" s="287">
        <f t="shared" si="176"/>
        <v>12.354928369089945</v>
      </c>
      <c r="J93" s="287">
        <f t="shared" ref="J93:K93" si="177">IF(J7&lt;1,(J95/(J96+J97))/SQRT(1-J7^2),(J95/(J96+J97))/SQRT(1-0.99^2))</f>
        <v>12.354928369089945</v>
      </c>
      <c r="K93" s="287">
        <f t="shared" si="177"/>
        <v>12.354928369089945</v>
      </c>
    </row>
    <row r="94" spans="1:11" s="166" customFormat="1" ht="14.25">
      <c r="A94" s="166" t="s">
        <v>509</v>
      </c>
      <c r="B94" s="287">
        <f>IF(B6&lt;1,B93,IF(B6&gt;1,(4)/SQRT(B6^2-1),(4)/SQRT((1.01)^2-1)))</f>
        <v>1.7460228002045515</v>
      </c>
      <c r="C94" s="287">
        <f t="shared" ref="C94:I94" si="178">IF(C6&lt;1,C93,IF(C6&gt;1,(4)/SQRT(C6^2-1),(4)/SQRT((1.01)^2-1)))</f>
        <v>1.7516574184821574</v>
      </c>
      <c r="D94" s="287">
        <f t="shared" si="178"/>
        <v>1.8270316629357042</v>
      </c>
      <c r="E94" s="287">
        <f t="shared" si="178"/>
        <v>2.0125011551487666</v>
      </c>
      <c r="F94" s="287">
        <f t="shared" si="178"/>
        <v>2.4405161277517413</v>
      </c>
      <c r="G94" s="287">
        <f t="shared" si="178"/>
        <v>28.213824634343929</v>
      </c>
      <c r="H94" s="287">
        <f t="shared" si="178"/>
        <v>3.5777087639996634</v>
      </c>
      <c r="I94" s="287">
        <f t="shared" si="178"/>
        <v>2.3094010767585034</v>
      </c>
      <c r="J94" s="287">
        <f t="shared" ref="J94" si="179">IF(J6&lt;1,J93,IF(J6&gt;1,(4)/SQRT(J6^2-1),(4)/SQRT((1.01)^2-1)))</f>
        <v>1.4142135623730949</v>
      </c>
      <c r="K94" s="287">
        <f t="shared" ref="K94" si="180">IF(K6&lt;1,K93,IF(K6&gt;1,(4)/SQRT(K6^2-1),(4)/SQRT((1.01)^2-1)))</f>
        <v>0.81649658092772615</v>
      </c>
    </row>
    <row r="95" spans="1:11" ht="14.25" hidden="1" outlineLevel="1">
      <c r="A95" t="s">
        <v>373</v>
      </c>
      <c r="B95" s="190">
        <f>PI()*COS(RADIANS(B43))</f>
        <v>2.2214414690791831</v>
      </c>
      <c r="C95" s="190">
        <f t="shared" ref="C95:I95" si="181">PI()*COS(RADIANS(C43))</f>
        <v>2.2214414690791831</v>
      </c>
      <c r="D95" s="190">
        <f t="shared" si="181"/>
        <v>2.2214414690791831</v>
      </c>
      <c r="E95" s="190">
        <f t="shared" si="181"/>
        <v>2.2214414690791831</v>
      </c>
      <c r="F95" s="190">
        <f t="shared" si="181"/>
        <v>2.2214414690791831</v>
      </c>
      <c r="G95" s="190">
        <f t="shared" si="181"/>
        <v>2.2214414690791831</v>
      </c>
      <c r="H95" s="190">
        <f t="shared" si="181"/>
        <v>2.2214414690791831</v>
      </c>
      <c r="I95" s="190">
        <f t="shared" si="181"/>
        <v>2.2214414690791831</v>
      </c>
      <c r="J95" s="190">
        <f t="shared" ref="J95:K95" si="182">PI()*COS(RADIANS(J43))</f>
        <v>2.2214414690791831</v>
      </c>
      <c r="K95" s="190">
        <f t="shared" si="182"/>
        <v>2.2214414690791831</v>
      </c>
    </row>
    <row r="96" spans="1:11" ht="14.25" hidden="1" outlineLevel="1">
      <c r="A96" t="s">
        <v>374</v>
      </c>
      <c r="B96" s="190">
        <f>SQRT(1+((B95/(PI()*B51))^2))</f>
        <v>1.0295766535643616</v>
      </c>
      <c r="C96" s="190">
        <f t="shared" ref="C96:I96" si="183">SQRT(1+((C95/(PI()*C51))^2))</f>
        <v>1.0295766535643616</v>
      </c>
      <c r="D96" s="190">
        <f t="shared" si="183"/>
        <v>1.0295766535643616</v>
      </c>
      <c r="E96" s="190">
        <f t="shared" si="183"/>
        <v>1.0295766535643616</v>
      </c>
      <c r="F96" s="190">
        <f t="shared" si="183"/>
        <v>1.0295766535643616</v>
      </c>
      <c r="G96" s="190">
        <f t="shared" si="183"/>
        <v>1.0295766535643616</v>
      </c>
      <c r="H96" s="190">
        <f t="shared" si="183"/>
        <v>1.0295766535643616</v>
      </c>
      <c r="I96" s="190">
        <f t="shared" si="183"/>
        <v>1.0295766535643616</v>
      </c>
      <c r="J96" s="190">
        <f t="shared" ref="J96" si="184">SQRT(1+((J95/(PI()*J51))^2))</f>
        <v>1.0295766535643616</v>
      </c>
      <c r="K96" s="190">
        <f t="shared" ref="K96" si="185">SQRT(1+((K95/(PI()*K51))^2))</f>
        <v>1.0295766535643616</v>
      </c>
    </row>
    <row r="97" spans="1:11" ht="14.25" hidden="1" outlineLevel="1">
      <c r="A97" t="s">
        <v>375</v>
      </c>
      <c r="B97" s="190">
        <f>B95/(PI()*B51)</f>
        <v>0.24500629699007567</v>
      </c>
      <c r="C97" s="190">
        <f t="shared" ref="C97:I97" si="186">C95/(PI()*C51)</f>
        <v>0.24500629699007567</v>
      </c>
      <c r="D97" s="190">
        <f t="shared" si="186"/>
        <v>0.24500629699007567</v>
      </c>
      <c r="E97" s="190">
        <f t="shared" si="186"/>
        <v>0.24500629699007567</v>
      </c>
      <c r="F97" s="190">
        <f t="shared" si="186"/>
        <v>0.24500629699007567</v>
      </c>
      <c r="G97" s="190">
        <f t="shared" si="186"/>
        <v>0.24500629699007567</v>
      </c>
      <c r="H97" s="190">
        <f t="shared" si="186"/>
        <v>0.24500629699007567</v>
      </c>
      <c r="I97" s="190">
        <f t="shared" si="186"/>
        <v>0.24500629699007567</v>
      </c>
      <c r="J97" s="190">
        <f t="shared" ref="J97:K97" si="187">J95/(PI()*J51)</f>
        <v>0.24500629699007567</v>
      </c>
      <c r="K97" s="190">
        <f t="shared" si="187"/>
        <v>0.24500629699007567</v>
      </c>
    </row>
    <row r="98" spans="1:11" ht="14.25" hidden="1" outlineLevel="1"/>
    <row r="99" spans="1:11" ht="14.25" collapsed="1">
      <c r="A99" t="s">
        <v>376</v>
      </c>
      <c r="B99" s="185">
        <f>(B16*B3*B38)/B19</f>
        <v>197252.54389944818</v>
      </c>
      <c r="C99" s="185">
        <f t="shared" ref="C99:I99" si="188">(C16*C3*C38)/C19</f>
        <v>341245.90030331042</v>
      </c>
      <c r="D99" s="185">
        <f t="shared" si="188"/>
        <v>1023737.7009099312</v>
      </c>
      <c r="E99" s="185">
        <f t="shared" si="188"/>
        <v>1706229.5015165519</v>
      </c>
      <c r="F99" s="185">
        <f t="shared" si="188"/>
        <v>2388721.3021231727</v>
      </c>
      <c r="G99" s="185">
        <f t="shared" si="188"/>
        <v>3412459.0030331039</v>
      </c>
      <c r="H99" s="185">
        <f t="shared" si="188"/>
        <v>5118688.5045496561</v>
      </c>
      <c r="I99" s="185">
        <f t="shared" si="188"/>
        <v>6824918.0060662078</v>
      </c>
      <c r="J99" s="185">
        <f t="shared" ref="J99:K99" si="189">(J16*J3*J38)/J19</f>
        <v>10237377.009099312</v>
      </c>
      <c r="K99" s="185">
        <f t="shared" si="189"/>
        <v>17062295.015165523</v>
      </c>
    </row>
    <row r="100" spans="1:11" ht="14.25">
      <c r="A100" t="s">
        <v>377</v>
      </c>
      <c r="B100" s="185">
        <f>(B16*B3*B39)/B19</f>
        <v>13150169.593296546</v>
      </c>
      <c r="C100" s="185">
        <f t="shared" ref="C100:I100" si="190">(C16*C3*C39)/C19</f>
        <v>22749726.686887365</v>
      </c>
      <c r="D100" s="185">
        <f t="shared" si="190"/>
        <v>68249180.060662091</v>
      </c>
      <c r="E100" s="185">
        <f t="shared" si="190"/>
        <v>113748633.4344368</v>
      </c>
      <c r="F100" s="185">
        <f t="shared" si="190"/>
        <v>159248086.80821151</v>
      </c>
      <c r="G100" s="185">
        <f t="shared" si="190"/>
        <v>227497266.8688736</v>
      </c>
      <c r="H100" s="185">
        <f t="shared" si="190"/>
        <v>341245900.30331039</v>
      </c>
      <c r="I100" s="185">
        <f t="shared" si="190"/>
        <v>454994533.73774719</v>
      </c>
      <c r="J100" s="185">
        <f t="shared" ref="J100:K100" si="191">(J16*J3*J39)/J19</f>
        <v>682491800.60662079</v>
      </c>
      <c r="K100" s="185">
        <f t="shared" si="191"/>
        <v>1137486334.3443682</v>
      </c>
    </row>
    <row r="101" spans="1:11" s="273" customFormat="1">
      <c r="A101" s="274" t="s">
        <v>486</v>
      </c>
      <c r="B101" s="276">
        <v>1.8564485158890635E-2</v>
      </c>
      <c r="C101" s="276">
        <v>1.0835747058992552E-3</v>
      </c>
      <c r="D101" s="276">
        <v>1.0835747058992552E-3</v>
      </c>
      <c r="E101" s="276">
        <v>1.0835747058992552E-3</v>
      </c>
      <c r="F101" s="276">
        <v>1.0835747058992552E-3</v>
      </c>
      <c r="G101" s="276">
        <v>1.0835747058992552E-3</v>
      </c>
      <c r="H101" s="276">
        <v>1.0835747058992552E-3</v>
      </c>
      <c r="I101" s="276">
        <v>1.0835747058992552E-3</v>
      </c>
      <c r="J101" s="276">
        <v>1.0835747058992552E-3</v>
      </c>
      <c r="K101" s="276">
        <v>1.0835747058992552E-3</v>
      </c>
    </row>
    <row r="102" spans="1:11">
      <c r="A102" s="274" t="s">
        <v>487</v>
      </c>
      <c r="B102" s="185">
        <f>B101/1000</f>
        <v>1.8564485158890635E-5</v>
      </c>
      <c r="C102" s="185">
        <f t="shared" ref="C102:I102" si="192">C101/1000</f>
        <v>1.0835747058992552E-6</v>
      </c>
      <c r="D102" s="185">
        <f t="shared" si="192"/>
        <v>1.0835747058992552E-6</v>
      </c>
      <c r="E102" s="185">
        <f t="shared" si="192"/>
        <v>1.0835747058992552E-6</v>
      </c>
      <c r="F102" s="185">
        <f t="shared" si="192"/>
        <v>1.0835747058992552E-6</v>
      </c>
      <c r="G102" s="185">
        <f t="shared" si="192"/>
        <v>1.0835747058992552E-6</v>
      </c>
      <c r="H102" s="185">
        <f t="shared" si="192"/>
        <v>1.0835747058992552E-6</v>
      </c>
      <c r="I102" s="185">
        <f t="shared" si="192"/>
        <v>1.0835747058992552E-6</v>
      </c>
      <c r="J102" s="185">
        <f t="shared" ref="J102" si="193">J101/1000</f>
        <v>1.0835747058992552E-6</v>
      </c>
      <c r="K102" s="185">
        <f t="shared" ref="K102" si="194">K101/1000</f>
        <v>1.0835747058992552E-6</v>
      </c>
    </row>
    <row r="103" spans="1:11" ht="14.25">
      <c r="A103" t="s">
        <v>488</v>
      </c>
      <c r="B103" s="190">
        <f>(B102*B3)/B19</f>
        <v>19.94371307260672</v>
      </c>
      <c r="C103" s="190">
        <f t="shared" ref="C103:I103" si="195">(C102*C3)/C19</f>
        <v>2.0082038518447769</v>
      </c>
      <c r="D103" s="190">
        <f t="shared" si="195"/>
        <v>6.0246115555343307</v>
      </c>
      <c r="E103" s="190">
        <f t="shared" si="195"/>
        <v>10.041019259223885</v>
      </c>
      <c r="F103" s="190">
        <f t="shared" si="195"/>
        <v>14.057426962913439</v>
      </c>
      <c r="G103" s="190">
        <f t="shared" si="195"/>
        <v>20.082038518447771</v>
      </c>
      <c r="H103" s="190">
        <f t="shared" si="195"/>
        <v>30.123057777671651</v>
      </c>
      <c r="I103" s="190">
        <f t="shared" si="195"/>
        <v>40.164077036895542</v>
      </c>
      <c r="J103" s="190">
        <f t="shared" ref="J103" si="196">(J102*J3)/J19</f>
        <v>60.246115555343302</v>
      </c>
      <c r="K103" s="190">
        <f t="shared" ref="K103" si="197">(K102*K3)/K19</f>
        <v>100.41019259223886</v>
      </c>
    </row>
    <row r="104" spans="1:11" s="186" customFormat="1">
      <c r="A104" s="271" t="s">
        <v>493</v>
      </c>
      <c r="B104" s="277">
        <f>B116</f>
        <v>0.99999999999999989</v>
      </c>
      <c r="C104" s="277">
        <f t="shared" ref="C104:I104" si="198">C116</f>
        <v>0.10069357920131253</v>
      </c>
      <c r="D104" s="277">
        <f t="shared" si="198"/>
        <v>0.30208073760393755</v>
      </c>
      <c r="E104" s="277">
        <f t="shared" si="198"/>
        <v>0.50346789600656272</v>
      </c>
      <c r="F104" s="277">
        <f t="shared" si="198"/>
        <v>0.70485505440918772</v>
      </c>
      <c r="G104" s="277">
        <f t="shared" si="198"/>
        <v>1.0069357920131254</v>
      </c>
      <c r="H104" s="277">
        <f t="shared" si="198"/>
        <v>1.5104036880196878</v>
      </c>
      <c r="I104" s="277">
        <f t="shared" si="198"/>
        <v>2.0138715840262509</v>
      </c>
      <c r="J104" s="277">
        <f t="shared" ref="J104:K104" si="199">J116</f>
        <v>3.0208073760393757</v>
      </c>
      <c r="K104" s="277">
        <f t="shared" si="199"/>
        <v>5.0346789600656265</v>
      </c>
    </row>
    <row r="105" spans="1:11" ht="14.25">
      <c r="A105" s="270" t="s">
        <v>525</v>
      </c>
      <c r="B105" s="190">
        <f>B38/$A110</f>
        <v>0.03</v>
      </c>
      <c r="C105" s="190">
        <f t="shared" ref="C105:I105" si="200">C38/$A110</f>
        <v>0.03</v>
      </c>
      <c r="D105" s="190">
        <f t="shared" si="200"/>
        <v>0.03</v>
      </c>
      <c r="E105" s="190">
        <f t="shared" si="200"/>
        <v>0.03</v>
      </c>
      <c r="F105" s="190">
        <f t="shared" si="200"/>
        <v>0.03</v>
      </c>
      <c r="G105" s="190">
        <f t="shared" si="200"/>
        <v>0.03</v>
      </c>
      <c r="H105" s="190">
        <f t="shared" si="200"/>
        <v>0.03</v>
      </c>
      <c r="I105" s="190">
        <f t="shared" si="200"/>
        <v>0.03</v>
      </c>
      <c r="J105" s="190">
        <f t="shared" ref="J105:K105" si="201">J38/$A110</f>
        <v>0.03</v>
      </c>
      <c r="K105" s="190">
        <f t="shared" si="201"/>
        <v>0.03</v>
      </c>
    </row>
    <row r="106" spans="1:11" ht="14.25" hidden="1" outlineLevel="1">
      <c r="A106">
        <v>1</v>
      </c>
      <c r="B106" s="185">
        <f>(B$16*B$3*($A106*B$105))/B$19</f>
        <v>39450.508779889642</v>
      </c>
      <c r="C106" s="185">
        <f t="shared" ref="C106:K110" si="202">(C$16*C$3*($A106*C$105))/C$19</f>
        <v>68249.180060662082</v>
      </c>
      <c r="D106" s="185">
        <f t="shared" si="202"/>
        <v>204747.54018198623</v>
      </c>
      <c r="E106" s="185">
        <f t="shared" si="202"/>
        <v>341245.90030331037</v>
      </c>
      <c r="F106" s="185">
        <f t="shared" si="202"/>
        <v>477744.26042463456</v>
      </c>
      <c r="G106" s="185">
        <f t="shared" si="202"/>
        <v>682491.80060662073</v>
      </c>
      <c r="H106" s="185">
        <f t="shared" si="202"/>
        <v>1023737.7009099312</v>
      </c>
      <c r="I106" s="185">
        <f t="shared" si="202"/>
        <v>1364983.6012132415</v>
      </c>
      <c r="J106" s="185">
        <f t="shared" si="202"/>
        <v>2047475.4018198624</v>
      </c>
      <c r="K106" s="185">
        <f t="shared" si="202"/>
        <v>3412459.0030331044</v>
      </c>
    </row>
    <row r="107" spans="1:11" ht="14.25" hidden="1" outlineLevel="1">
      <c r="A107">
        <v>2</v>
      </c>
      <c r="B107" s="185">
        <f>(B$16*B$3*($A107*B$105))/B$19</f>
        <v>78901.017559779284</v>
      </c>
      <c r="C107" s="185">
        <f t="shared" si="202"/>
        <v>136498.36012132416</v>
      </c>
      <c r="D107" s="185">
        <f t="shared" si="202"/>
        <v>409495.08036397246</v>
      </c>
      <c r="E107" s="185">
        <f t="shared" si="202"/>
        <v>682491.80060662073</v>
      </c>
      <c r="F107" s="185">
        <f t="shared" si="202"/>
        <v>955488.52084926912</v>
      </c>
      <c r="G107" s="185">
        <f t="shared" si="202"/>
        <v>1364983.6012132415</v>
      </c>
      <c r="H107" s="185">
        <f t="shared" si="202"/>
        <v>2047475.4018198624</v>
      </c>
      <c r="I107" s="185">
        <f t="shared" si="202"/>
        <v>2729967.2024264829</v>
      </c>
      <c r="J107" s="185">
        <f t="shared" si="202"/>
        <v>4094950.8036397249</v>
      </c>
      <c r="K107" s="185">
        <f t="shared" si="202"/>
        <v>6824918.0060662087</v>
      </c>
    </row>
    <row r="108" spans="1:11" ht="14.25" hidden="1" outlineLevel="1">
      <c r="A108">
        <v>3</v>
      </c>
      <c r="B108" s="185">
        <f>(B$16*B$3*($A108*B$105))/B$19</f>
        <v>118351.52633966893</v>
      </c>
      <c r="C108" s="185">
        <f t="shared" si="202"/>
        <v>204747.54018198623</v>
      </c>
      <c r="D108" s="185">
        <f t="shared" si="202"/>
        <v>614242.62054595875</v>
      </c>
      <c r="E108" s="185">
        <f t="shared" si="202"/>
        <v>1023737.7009099312</v>
      </c>
      <c r="F108" s="185">
        <f t="shared" si="202"/>
        <v>1433232.7812739036</v>
      </c>
      <c r="G108" s="185">
        <f t="shared" si="202"/>
        <v>2047475.4018198624</v>
      </c>
      <c r="H108" s="185">
        <f t="shared" si="202"/>
        <v>3071213.1027297936</v>
      </c>
      <c r="I108" s="185">
        <f t="shared" si="202"/>
        <v>4094950.8036397249</v>
      </c>
      <c r="J108" s="185">
        <f t="shared" si="202"/>
        <v>6142426.2054595873</v>
      </c>
      <c r="K108" s="185">
        <f t="shared" si="202"/>
        <v>10237377.009099314</v>
      </c>
    </row>
    <row r="109" spans="1:11" ht="14.25" hidden="1" outlineLevel="1">
      <c r="A109">
        <v>4</v>
      </c>
      <c r="B109" s="185">
        <f>(B$16*B$3*($A109*B$105))/B$19</f>
        <v>157802.03511955857</v>
      </c>
      <c r="C109" s="185">
        <f t="shared" si="202"/>
        <v>272996.72024264833</v>
      </c>
      <c r="D109" s="185">
        <f t="shared" si="202"/>
        <v>818990.16072794492</v>
      </c>
      <c r="E109" s="185">
        <f t="shared" si="202"/>
        <v>1364983.6012132415</v>
      </c>
      <c r="F109" s="185">
        <f t="shared" si="202"/>
        <v>1910977.0416985382</v>
      </c>
      <c r="G109" s="185">
        <f t="shared" si="202"/>
        <v>2729967.2024264829</v>
      </c>
      <c r="H109" s="185">
        <f t="shared" si="202"/>
        <v>4094950.8036397249</v>
      </c>
      <c r="I109" s="185">
        <f t="shared" si="202"/>
        <v>5459934.4048529658</v>
      </c>
      <c r="J109" s="185">
        <f t="shared" si="202"/>
        <v>8189901.6072794497</v>
      </c>
      <c r="K109" s="185">
        <f t="shared" si="202"/>
        <v>13649836.012132417</v>
      </c>
    </row>
    <row r="110" spans="1:11" ht="14.25" hidden="1" outlineLevel="1">
      <c r="A110">
        <v>5</v>
      </c>
      <c r="B110" s="185">
        <f>(B$16*B$3*($A110*B$105))/B$19</f>
        <v>197252.54389944818</v>
      </c>
      <c r="C110" s="185">
        <f t="shared" si="202"/>
        <v>341245.90030331042</v>
      </c>
      <c r="D110" s="185">
        <f t="shared" si="202"/>
        <v>1023737.7009099312</v>
      </c>
      <c r="E110" s="185">
        <f t="shared" si="202"/>
        <v>1706229.5015165519</v>
      </c>
      <c r="F110" s="185">
        <f t="shared" si="202"/>
        <v>2388721.3021231727</v>
      </c>
      <c r="G110" s="185">
        <f t="shared" si="202"/>
        <v>3412459.0030331039</v>
      </c>
      <c r="H110" s="185">
        <f t="shared" si="202"/>
        <v>5118688.5045496561</v>
      </c>
      <c r="I110" s="185">
        <f t="shared" si="202"/>
        <v>6824918.0060662078</v>
      </c>
      <c r="J110" s="185">
        <f t="shared" si="202"/>
        <v>10237377.009099312</v>
      </c>
      <c r="K110" s="185">
        <f t="shared" si="202"/>
        <v>17062295.015165523</v>
      </c>
    </row>
    <row r="111" spans="1:11" ht="14.25" collapsed="1">
      <c r="A111" s="270" t="s">
        <v>489</v>
      </c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</row>
    <row r="112" spans="1:11" ht="14.25" hidden="1" outlineLevel="1">
      <c r="A112">
        <v>1</v>
      </c>
      <c r="B112" s="185">
        <f>B$103*(SQRT(0.0576/(2*($B106^(1/5)))))</f>
        <v>1.1746189430880187</v>
      </c>
      <c r="C112" s="185">
        <f t="shared" ref="C112:I112" si="203">C$103*(SQRT(0.0576/(2*($B106^(1/5)))))</f>
        <v>0.11827658557719543</v>
      </c>
      <c r="D112" s="185">
        <f t="shared" si="203"/>
        <v>0.35482975673158629</v>
      </c>
      <c r="E112" s="185">
        <f t="shared" si="203"/>
        <v>0.59138292788597724</v>
      </c>
      <c r="F112" s="185">
        <f t="shared" si="203"/>
        <v>0.82793609904036813</v>
      </c>
      <c r="G112" s="185">
        <f t="shared" si="203"/>
        <v>1.1827658557719545</v>
      </c>
      <c r="H112" s="185">
        <f t="shared" si="203"/>
        <v>1.7741487836579313</v>
      </c>
      <c r="I112" s="185">
        <f t="shared" si="203"/>
        <v>2.365531711543909</v>
      </c>
      <c r="J112" s="185">
        <f t="shared" ref="J112:K112" si="204">J$103*(SQRT(0.0576/(2*($B106^(1/5)))))</f>
        <v>3.5482975673158625</v>
      </c>
      <c r="K112" s="185">
        <f t="shared" si="204"/>
        <v>5.9138292788597724</v>
      </c>
    </row>
    <row r="113" spans="1:11" ht="14.25" hidden="1" outlineLevel="1">
      <c r="A113">
        <v>2</v>
      </c>
      <c r="B113" s="185">
        <f t="shared" ref="B113:B116" si="205">B$103*(SQRT(0.0576/(2*($B107^(1/5)))))</f>
        <v>1.0959582263852172</v>
      </c>
      <c r="C113" s="185">
        <f t="shared" ref="C113:I113" si="206">C$103*(SQRT(0.0576/(2*($B107^(1/5)))))</f>
        <v>0.11035595646984987</v>
      </c>
      <c r="D113" s="185">
        <f t="shared" si="206"/>
        <v>0.33106786940954963</v>
      </c>
      <c r="E113" s="185">
        <f t="shared" si="206"/>
        <v>0.5517797823492494</v>
      </c>
      <c r="F113" s="185">
        <f t="shared" si="206"/>
        <v>0.77249169528894912</v>
      </c>
      <c r="G113" s="185">
        <f t="shared" si="206"/>
        <v>1.1035595646984988</v>
      </c>
      <c r="H113" s="185">
        <f t="shared" si="206"/>
        <v>1.655339347047748</v>
      </c>
      <c r="I113" s="185">
        <f t="shared" si="206"/>
        <v>2.2071191293969976</v>
      </c>
      <c r="J113" s="185">
        <f t="shared" ref="J113:K113" si="207">J$103*(SQRT(0.0576/(2*($B107^(1/5)))))</f>
        <v>3.310678694095496</v>
      </c>
      <c r="K113" s="185">
        <f t="shared" si="207"/>
        <v>5.5177978234924945</v>
      </c>
    </row>
    <row r="114" spans="1:11" ht="14.25" hidden="1" outlineLevel="1">
      <c r="A114">
        <v>3</v>
      </c>
      <c r="B114" s="185">
        <f t="shared" si="205"/>
        <v>1.0524097791489251</v>
      </c>
      <c r="C114" s="185">
        <f t="shared" ref="C114:I114" si="208">C$103*(SQRT(0.0576/(2*($B108^(1/5)))))</f>
        <v>0.10597090744896813</v>
      </c>
      <c r="D114" s="185">
        <f t="shared" si="208"/>
        <v>0.31791272234690438</v>
      </c>
      <c r="E114" s="185">
        <f t="shared" si="208"/>
        <v>0.52985453724484066</v>
      </c>
      <c r="F114" s="185">
        <f t="shared" si="208"/>
        <v>0.74179635214277695</v>
      </c>
      <c r="G114" s="185">
        <f t="shared" si="208"/>
        <v>1.0597090744896813</v>
      </c>
      <c r="H114" s="185">
        <f t="shared" si="208"/>
        <v>1.5895636117345218</v>
      </c>
      <c r="I114" s="185">
        <f t="shared" si="208"/>
        <v>2.1194181489793626</v>
      </c>
      <c r="J114" s="185">
        <f t="shared" ref="J114:K114" si="209">J$103*(SQRT(0.0576/(2*($B108^(1/5)))))</f>
        <v>3.1791272234690435</v>
      </c>
      <c r="K114" s="185">
        <f t="shared" si="209"/>
        <v>5.2985453724484071</v>
      </c>
    </row>
    <row r="115" spans="1:11" ht="14.25" hidden="1" outlineLevel="1">
      <c r="A115">
        <v>4</v>
      </c>
      <c r="B115" s="185">
        <f t="shared" si="205"/>
        <v>1.0225651825635729</v>
      </c>
      <c r="C115" s="185">
        <f t="shared" ref="C115:I115" si="210">C$103*(SQRT(0.0576/(2*($B109^(1/5)))))</f>
        <v>0.10296574819896973</v>
      </c>
      <c r="D115" s="185">
        <f t="shared" si="210"/>
        <v>0.3088972445969092</v>
      </c>
      <c r="E115" s="185">
        <f t="shared" si="210"/>
        <v>0.51482874099484865</v>
      </c>
      <c r="F115" s="185">
        <f t="shared" si="210"/>
        <v>0.72076023739278816</v>
      </c>
      <c r="G115" s="185">
        <f t="shared" si="210"/>
        <v>1.0296574819896973</v>
      </c>
      <c r="H115" s="185">
        <f t="shared" si="210"/>
        <v>1.5444862229845457</v>
      </c>
      <c r="I115" s="185">
        <f t="shared" si="210"/>
        <v>2.0593149639793946</v>
      </c>
      <c r="J115" s="185">
        <f t="shared" ref="J115:K115" si="211">J$103*(SQRT(0.0576/(2*($B109^(1/5)))))</f>
        <v>3.0889724459690915</v>
      </c>
      <c r="K115" s="185">
        <f t="shared" si="211"/>
        <v>5.1482874099484874</v>
      </c>
    </row>
    <row r="116" spans="1:11" ht="14.25" hidden="1" outlineLevel="1">
      <c r="A116">
        <v>5</v>
      </c>
      <c r="B116" s="185">
        <f t="shared" si="205"/>
        <v>0.99999999999999989</v>
      </c>
      <c r="C116" s="185">
        <f t="shared" ref="C116:I116" si="212">C$103*(SQRT(0.0576/(2*($B110^(1/5)))))</f>
        <v>0.10069357920131253</v>
      </c>
      <c r="D116" s="185">
        <f t="shared" si="212"/>
        <v>0.30208073760393755</v>
      </c>
      <c r="E116" s="185">
        <f t="shared" si="212"/>
        <v>0.50346789600656272</v>
      </c>
      <c r="F116" s="185">
        <f t="shared" si="212"/>
        <v>0.70485505440918772</v>
      </c>
      <c r="G116" s="185">
        <f t="shared" si="212"/>
        <v>1.0069357920131254</v>
      </c>
      <c r="H116" s="185">
        <f t="shared" si="212"/>
        <v>1.5104036880196878</v>
      </c>
      <c r="I116" s="185">
        <f t="shared" si="212"/>
        <v>2.0138715840262509</v>
      </c>
      <c r="J116" s="185">
        <f t="shared" ref="J116:K116" si="213">J$103*(SQRT(0.0576/(2*($B110^(1/5)))))</f>
        <v>3.0208073760393757</v>
      </c>
      <c r="K116" s="185">
        <f t="shared" si="213"/>
        <v>5.0346789600656265</v>
      </c>
    </row>
    <row r="117" spans="1:11" s="186" customFormat="1" collapsed="1">
      <c r="A117" s="271" t="s">
        <v>492</v>
      </c>
      <c r="B117" s="277">
        <f>B123</f>
        <v>0.99983195461537211</v>
      </c>
      <c r="C117" s="277">
        <f t="shared" ref="C117:I117" si="214">C123</f>
        <v>0.10064661321757948</v>
      </c>
      <c r="D117" s="277">
        <f t="shared" si="214"/>
        <v>0.30082500105207111</v>
      </c>
      <c r="E117" s="277">
        <f t="shared" si="214"/>
        <v>0.49776468493298481</v>
      </c>
      <c r="F117" s="277">
        <f t="shared" si="214"/>
        <v>0.68963480542566613</v>
      </c>
      <c r="G117" s="277">
        <f t="shared" si="214"/>
        <v>0.96496810166095393</v>
      </c>
      <c r="H117" s="277">
        <f t="shared" si="214"/>
        <v>1.3848846732066717</v>
      </c>
      <c r="I117" s="277">
        <f t="shared" si="214"/>
        <v>1.7556002905898076</v>
      </c>
      <c r="J117" s="277">
        <f t="shared" ref="J117:K117" si="215">J123</f>
        <v>2.3752626118980853</v>
      </c>
      <c r="K117" s="277">
        <f t="shared" si="215"/>
        <v>3.3133969314461948</v>
      </c>
    </row>
    <row r="118" spans="1:11" ht="14.25">
      <c r="A118" s="270" t="s">
        <v>526</v>
      </c>
    </row>
    <row r="119" spans="1:11" ht="14.25" hidden="1" outlineLevel="1">
      <c r="A119">
        <v>1</v>
      </c>
      <c r="B119" s="185">
        <f>B112*SQRT((1+0.2*B$7^2)^(-0.467))</f>
        <v>1.1744215537959364</v>
      </c>
      <c r="C119" s="185">
        <f t="shared" ref="C119:I119" si="216">C112*SQRT((1+0.2*C$7^2)^(-0.467))</f>
        <v>0.11822141844302184</v>
      </c>
      <c r="D119" s="185">
        <f t="shared" si="216"/>
        <v>0.35335474479023593</v>
      </c>
      <c r="E119" s="185">
        <f t="shared" si="216"/>
        <v>0.58468382812252329</v>
      </c>
      <c r="F119" s="185">
        <f t="shared" si="216"/>
        <v>0.81005810626580743</v>
      </c>
      <c r="G119" s="185">
        <f t="shared" si="216"/>
        <v>1.1334698116866415</v>
      </c>
      <c r="H119" s="185">
        <f t="shared" si="216"/>
        <v>1.626711771140817</v>
      </c>
      <c r="I119" s="185">
        <f t="shared" si="216"/>
        <v>2.0621613578176183</v>
      </c>
      <c r="J119" s="185">
        <f t="shared" ref="J119:K119" si="217">J112*SQRT((1+0.2*J$7^2)^(-0.467))</f>
        <v>2.7900284587442155</v>
      </c>
      <c r="K119" s="185">
        <f t="shared" si="217"/>
        <v>3.8919788016464145</v>
      </c>
    </row>
    <row r="120" spans="1:11" ht="14.25" hidden="1" outlineLevel="1">
      <c r="A120">
        <v>2</v>
      </c>
      <c r="B120" s="185">
        <f t="shared" ref="B120:B122" si="218">B113*SQRT((1+0.2*B$7^2)^(-0.467))</f>
        <v>1.0957740556635283</v>
      </c>
      <c r="C120" s="185">
        <f t="shared" ref="C120:I120" si="219">C113*SQRT((1+0.2*C$7^2)^(-0.467))</f>
        <v>0.11030448371361737</v>
      </c>
      <c r="D120" s="185">
        <f t="shared" si="219"/>
        <v>0.329691634605359</v>
      </c>
      <c r="E120" s="185">
        <f t="shared" si="219"/>
        <v>0.54552930125635035</v>
      </c>
      <c r="F120" s="185">
        <f t="shared" si="219"/>
        <v>0.7558109382078273</v>
      </c>
      <c r="G120" s="185">
        <f t="shared" si="219"/>
        <v>1.0575647292146491</v>
      </c>
      <c r="H120" s="185">
        <f t="shared" si="219"/>
        <v>1.517775750195655</v>
      </c>
      <c r="I120" s="185">
        <f t="shared" si="219"/>
        <v>1.9240645807161774</v>
      </c>
      <c r="J120" s="185">
        <f t="shared" ref="J120:K120" si="220">J113*SQRT((1+0.2*J$7^2)^(-0.467))</f>
        <v>2.6031885993349437</v>
      </c>
      <c r="K120" s="185">
        <f t="shared" si="220"/>
        <v>3.6313446242979937</v>
      </c>
    </row>
    <row r="121" spans="1:11" ht="14.25" hidden="1" outlineLevel="1">
      <c r="A121">
        <v>3</v>
      </c>
      <c r="B121" s="185">
        <f t="shared" si="218"/>
        <v>1.0522329265428019</v>
      </c>
      <c r="C121" s="185">
        <f t="shared" ref="C121:I121" si="221">C114*SQRT((1+0.2*C$7^2)^(-0.467))</f>
        <v>0.10592147998840012</v>
      </c>
      <c r="D121" s="185">
        <f t="shared" si="221"/>
        <v>0.31659117291968536</v>
      </c>
      <c r="E121" s="185">
        <f t="shared" si="221"/>
        <v>0.52385242213845684</v>
      </c>
      <c r="F121" s="185">
        <f t="shared" si="221"/>
        <v>0.72577841327143733</v>
      </c>
      <c r="G121" s="185">
        <f t="shared" si="221"/>
        <v>1.015541866754762</v>
      </c>
      <c r="H121" s="185">
        <f t="shared" si="221"/>
        <v>1.4574661730761649</v>
      </c>
      <c r="I121" s="185">
        <f t="shared" si="221"/>
        <v>1.8476109140934081</v>
      </c>
      <c r="J121" s="185">
        <f t="shared" ref="J121:K121" si="222">J114*SQRT((1+0.2*J$7^2)^(-0.467))</f>
        <v>2.4997496008083631</v>
      </c>
      <c r="K121" s="185">
        <f t="shared" si="222"/>
        <v>3.4870513328560171</v>
      </c>
    </row>
    <row r="122" spans="1:11" ht="14.25" hidden="1" outlineLevel="1">
      <c r="A122">
        <v>4</v>
      </c>
      <c r="B122" s="185">
        <f t="shared" si="218"/>
        <v>1.022393345204162</v>
      </c>
      <c r="C122" s="185">
        <f t="shared" ref="C122:I122" si="223">C115*SQRT((1+0.2*C$7^2)^(-0.467))</f>
        <v>0.10291772241923947</v>
      </c>
      <c r="D122" s="185">
        <f t="shared" si="223"/>
        <v>0.30761317212049816</v>
      </c>
      <c r="E122" s="185">
        <f t="shared" si="223"/>
        <v>0.5089968359221968</v>
      </c>
      <c r="F122" s="185">
        <f t="shared" si="223"/>
        <v>0.70519654071229032</v>
      </c>
      <c r="G122" s="185">
        <f t="shared" si="223"/>
        <v>0.98674278304295759</v>
      </c>
      <c r="H122" s="185">
        <f t="shared" si="223"/>
        <v>1.4161348486870742</v>
      </c>
      <c r="I122" s="185">
        <f t="shared" si="223"/>
        <v>1.7952157316556279</v>
      </c>
      <c r="J122" s="185">
        <f t="shared" ref="J122:K122" si="224">J115*SQRT((1+0.2*J$7^2)^(-0.467))</f>
        <v>2.4288608463719941</v>
      </c>
      <c r="K122" s="185">
        <f t="shared" si="224"/>
        <v>3.3881643381098612</v>
      </c>
    </row>
    <row r="123" spans="1:11" ht="14.25" hidden="1" outlineLevel="1">
      <c r="A123">
        <v>5</v>
      </c>
      <c r="B123" s="185">
        <f>B116*SQRT((1+0.2*B$7^2)^(-0.467))</f>
        <v>0.99983195461537211</v>
      </c>
      <c r="C123" s="185">
        <f t="shared" ref="C123:I123" si="225">C116*SQRT((1+0.2*C$7^2)^(-0.467))</f>
        <v>0.10064661321757948</v>
      </c>
      <c r="D123" s="185">
        <f t="shared" si="225"/>
        <v>0.30082500105207111</v>
      </c>
      <c r="E123" s="185">
        <f t="shared" si="225"/>
        <v>0.49776468493298481</v>
      </c>
      <c r="F123" s="185">
        <f t="shared" si="225"/>
        <v>0.68963480542566613</v>
      </c>
      <c r="G123" s="185">
        <f t="shared" si="225"/>
        <v>0.96496810166095393</v>
      </c>
      <c r="H123" s="185">
        <f t="shared" si="225"/>
        <v>1.3848846732066717</v>
      </c>
      <c r="I123" s="185">
        <f t="shared" si="225"/>
        <v>1.7556002905898076</v>
      </c>
      <c r="J123" s="185">
        <f t="shared" ref="J123:K123" si="226">J116*SQRT((1+0.2*J$7^2)^(-0.467))</f>
        <v>2.3752626118980853</v>
      </c>
      <c r="K123" s="185">
        <f t="shared" si="226"/>
        <v>3.3133969314461948</v>
      </c>
    </row>
    <row r="124" spans="1:11" ht="14.25" collapsed="1"/>
    <row r="125" spans="1:11" s="186" customFormat="1">
      <c r="A125" s="291" t="s">
        <v>527</v>
      </c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</row>
    <row r="126" spans="1:11" ht="14.25"/>
    <row r="127" spans="1:11" ht="15" customHeight="1">
      <c r="A127" s="264" t="s">
        <v>516</v>
      </c>
    </row>
    <row r="128" spans="1:11" s="265" customFormat="1" ht="15" customHeight="1">
      <c r="A128" s="269" t="s">
        <v>378</v>
      </c>
      <c r="B128" s="275">
        <f>IF(B6&lt;1,B93*RADIANS(B9),B94*RADIANS(B9))</f>
        <v>0.45710770017690816</v>
      </c>
      <c r="C128" s="275">
        <f t="shared" ref="C128:I128" si="227">IF(C6&lt;1,C93*RADIANS(C9),C94*RADIANS(C9))</f>
        <v>0</v>
      </c>
      <c r="D128" s="275">
        <f t="shared" si="227"/>
        <v>0</v>
      </c>
      <c r="E128" s="275">
        <f t="shared" si="227"/>
        <v>0</v>
      </c>
      <c r="F128" s="275">
        <f t="shared" si="227"/>
        <v>0</v>
      </c>
      <c r="G128" s="275">
        <f t="shared" si="227"/>
        <v>0</v>
      </c>
      <c r="H128" s="275">
        <f t="shared" si="227"/>
        <v>0</v>
      </c>
      <c r="I128" s="275">
        <f t="shared" si="227"/>
        <v>0</v>
      </c>
      <c r="J128" s="275">
        <f t="shared" ref="J128:K128" si="228">IF(J6&lt;1,J93*RADIANS(J9),J94*RADIANS(J9))</f>
        <v>0</v>
      </c>
      <c r="K128" s="275">
        <f t="shared" si="228"/>
        <v>0</v>
      </c>
    </row>
    <row r="129" spans="1:11" ht="15" customHeight="1">
      <c r="A129" t="s">
        <v>379</v>
      </c>
    </row>
    <row r="130" spans="1:11" ht="15" hidden="1" customHeight="1" outlineLevel="1">
      <c r="A130">
        <v>1</v>
      </c>
      <c r="B130" s="190">
        <f>B$29*(B81)*B$128</f>
        <v>0.23116792776896303</v>
      </c>
      <c r="C130" s="190">
        <f t="shared" ref="C130:I130" si="229">C$29*(C81)*C$128</f>
        <v>0</v>
      </c>
      <c r="D130" s="190">
        <f t="shared" si="229"/>
        <v>0</v>
      </c>
      <c r="E130" s="190">
        <f t="shared" si="229"/>
        <v>0</v>
      </c>
      <c r="F130" s="190">
        <f t="shared" si="229"/>
        <v>0</v>
      </c>
      <c r="G130" s="190">
        <f t="shared" si="229"/>
        <v>0</v>
      </c>
      <c r="H130" s="190">
        <f t="shared" si="229"/>
        <v>0</v>
      </c>
      <c r="I130" s="190">
        <f t="shared" si="229"/>
        <v>0</v>
      </c>
      <c r="J130" s="190">
        <f t="shared" ref="J130:K130" si="230">J$29*(J81)*J$128</f>
        <v>0</v>
      </c>
      <c r="K130" s="190">
        <f t="shared" si="230"/>
        <v>0</v>
      </c>
    </row>
    <row r="131" spans="1:11" ht="15" hidden="1" customHeight="1" outlineLevel="1">
      <c r="A131">
        <v>2</v>
      </c>
      <c r="B131" s="190">
        <f t="shared" ref="B131" si="231">B$29*(B82)*B$128</f>
        <v>0.22394393002618301</v>
      </c>
      <c r="C131" s="190">
        <f t="shared" ref="C131:I131" si="232">C$29*(C82)*C$128</f>
        <v>0</v>
      </c>
      <c r="D131" s="190">
        <f t="shared" si="232"/>
        <v>0</v>
      </c>
      <c r="E131" s="190">
        <f t="shared" si="232"/>
        <v>0</v>
      </c>
      <c r="F131" s="190">
        <f t="shared" si="232"/>
        <v>0</v>
      </c>
      <c r="G131" s="190">
        <f t="shared" si="232"/>
        <v>0</v>
      </c>
      <c r="H131" s="190">
        <f t="shared" si="232"/>
        <v>0</v>
      </c>
      <c r="I131" s="190">
        <f t="shared" si="232"/>
        <v>0</v>
      </c>
      <c r="J131" s="190">
        <f t="shared" ref="J131:K131" si="233">J$29*(J82)*J$128</f>
        <v>0</v>
      </c>
      <c r="K131" s="190">
        <f t="shared" si="233"/>
        <v>0</v>
      </c>
    </row>
    <row r="132" spans="1:11" ht="15" hidden="1" customHeight="1" outlineLevel="1">
      <c r="A132">
        <v>3</v>
      </c>
      <c r="B132" s="190">
        <f t="shared" ref="B132" si="234">B$29*(B83)*B$128</f>
        <v>0.21671993228340286</v>
      </c>
      <c r="C132" s="190">
        <f t="shared" ref="C132:I132" si="235">C$29*(C83)*C$128</f>
        <v>0</v>
      </c>
      <c r="D132" s="190">
        <f t="shared" si="235"/>
        <v>0</v>
      </c>
      <c r="E132" s="190">
        <f t="shared" si="235"/>
        <v>0</v>
      </c>
      <c r="F132" s="190">
        <f t="shared" si="235"/>
        <v>0</v>
      </c>
      <c r="G132" s="190">
        <f t="shared" si="235"/>
        <v>0</v>
      </c>
      <c r="H132" s="190">
        <f t="shared" si="235"/>
        <v>0</v>
      </c>
      <c r="I132" s="190">
        <f t="shared" si="235"/>
        <v>0</v>
      </c>
      <c r="J132" s="190">
        <f t="shared" ref="J132:K132" si="236">J$29*(J83)*J$128</f>
        <v>0</v>
      </c>
      <c r="K132" s="190">
        <f t="shared" si="236"/>
        <v>0</v>
      </c>
    </row>
    <row r="133" spans="1:11" ht="15" hidden="1" customHeight="1" outlineLevel="1">
      <c r="A133">
        <v>4</v>
      </c>
      <c r="B133" s="190">
        <f t="shared" ref="B133" si="237">B$29*(B84)*B$128</f>
        <v>0.20949593454062282</v>
      </c>
      <c r="C133" s="190">
        <f t="shared" ref="C133:I133" si="238">C$29*(C84)*C$128</f>
        <v>0</v>
      </c>
      <c r="D133" s="190">
        <f t="shared" si="238"/>
        <v>0</v>
      </c>
      <c r="E133" s="190">
        <f t="shared" si="238"/>
        <v>0</v>
      </c>
      <c r="F133" s="190">
        <f t="shared" si="238"/>
        <v>0</v>
      </c>
      <c r="G133" s="190">
        <f t="shared" si="238"/>
        <v>0</v>
      </c>
      <c r="H133" s="190">
        <f t="shared" si="238"/>
        <v>0</v>
      </c>
      <c r="I133" s="190">
        <f t="shared" si="238"/>
        <v>0</v>
      </c>
      <c r="J133" s="190">
        <f t="shared" ref="J133:K133" si="239">J$29*(J84)*J$128</f>
        <v>0</v>
      </c>
      <c r="K133" s="190">
        <f t="shared" si="239"/>
        <v>0</v>
      </c>
    </row>
    <row r="134" spans="1:11" ht="15" hidden="1" customHeight="1" outlineLevel="1">
      <c r="A134">
        <v>5</v>
      </c>
      <c r="B134" s="190">
        <f t="shared" ref="B134" si="240">B$29*(B85)*B$128</f>
        <v>0.20227193679784269</v>
      </c>
      <c r="C134" s="190">
        <f t="shared" ref="C134:I134" si="241">C$29*(C85)*C$128</f>
        <v>0</v>
      </c>
      <c r="D134" s="190">
        <f t="shared" si="241"/>
        <v>0</v>
      </c>
      <c r="E134" s="190">
        <f t="shared" si="241"/>
        <v>0</v>
      </c>
      <c r="F134" s="190">
        <f t="shared" si="241"/>
        <v>0</v>
      </c>
      <c r="G134" s="190">
        <f t="shared" si="241"/>
        <v>0</v>
      </c>
      <c r="H134" s="190">
        <f t="shared" si="241"/>
        <v>0</v>
      </c>
      <c r="I134" s="190">
        <f t="shared" si="241"/>
        <v>0</v>
      </c>
      <c r="J134" s="190">
        <f t="shared" ref="J134:K134" si="242">J$29*(J85)*J$128</f>
        <v>0</v>
      </c>
      <c r="K134" s="190">
        <f t="shared" si="242"/>
        <v>0</v>
      </c>
    </row>
    <row r="135" spans="1:11" ht="15" hidden="1" customHeight="1" outlineLevel="1">
      <c r="A135">
        <v>6</v>
      </c>
      <c r="B135" s="190">
        <f t="shared" ref="B135" si="243">B$29*(B86)*B$128</f>
        <v>0.1950479390550626</v>
      </c>
      <c r="C135" s="190">
        <f t="shared" ref="C135:I135" si="244">C$29*(C86)*C$128</f>
        <v>0</v>
      </c>
      <c r="D135" s="190">
        <f t="shared" si="244"/>
        <v>0</v>
      </c>
      <c r="E135" s="190">
        <f t="shared" si="244"/>
        <v>0</v>
      </c>
      <c r="F135" s="190">
        <f t="shared" si="244"/>
        <v>0</v>
      </c>
      <c r="G135" s="190">
        <f t="shared" si="244"/>
        <v>0</v>
      </c>
      <c r="H135" s="190">
        <f t="shared" si="244"/>
        <v>0</v>
      </c>
      <c r="I135" s="190">
        <f t="shared" si="244"/>
        <v>0</v>
      </c>
      <c r="J135" s="190">
        <f t="shared" ref="J135:K135" si="245">J$29*(J86)*J$128</f>
        <v>0</v>
      </c>
      <c r="K135" s="190">
        <f t="shared" si="245"/>
        <v>0</v>
      </c>
    </row>
    <row r="136" spans="1:11" ht="15" hidden="1" customHeight="1" outlineLevel="1">
      <c r="A136">
        <v>7</v>
      </c>
      <c r="B136" s="190">
        <f t="shared" ref="B136" si="246">B$29*(B87)*B$128</f>
        <v>0.18782394131228253</v>
      </c>
      <c r="C136" s="190">
        <f t="shared" ref="C136:I136" si="247">C$29*(C87)*C$128</f>
        <v>0</v>
      </c>
      <c r="D136" s="190">
        <f t="shared" si="247"/>
        <v>0</v>
      </c>
      <c r="E136" s="190">
        <f t="shared" si="247"/>
        <v>0</v>
      </c>
      <c r="F136" s="190">
        <f t="shared" si="247"/>
        <v>0</v>
      </c>
      <c r="G136" s="190">
        <f t="shared" si="247"/>
        <v>0</v>
      </c>
      <c r="H136" s="190">
        <f t="shared" si="247"/>
        <v>0</v>
      </c>
      <c r="I136" s="190">
        <f t="shared" si="247"/>
        <v>0</v>
      </c>
      <c r="J136" s="190">
        <f t="shared" ref="J136:K136" si="248">J$29*(J87)*J$128</f>
        <v>0</v>
      </c>
      <c r="K136" s="190">
        <f t="shared" si="248"/>
        <v>0</v>
      </c>
    </row>
    <row r="137" spans="1:11" ht="15" hidden="1" customHeight="1" outlineLevel="1">
      <c r="A137">
        <v>8</v>
      </c>
      <c r="B137" s="190">
        <f t="shared" ref="B137" si="249">B$29*(B88)*B$128</f>
        <v>0.18059994356950237</v>
      </c>
      <c r="C137" s="190">
        <f t="shared" ref="C137:I137" si="250">C$29*(C88)*C$128</f>
        <v>0</v>
      </c>
      <c r="D137" s="190">
        <f t="shared" si="250"/>
        <v>0</v>
      </c>
      <c r="E137" s="190">
        <f t="shared" si="250"/>
        <v>0</v>
      </c>
      <c r="F137" s="190">
        <f t="shared" si="250"/>
        <v>0</v>
      </c>
      <c r="G137" s="190">
        <f t="shared" si="250"/>
        <v>0</v>
      </c>
      <c r="H137" s="190">
        <f t="shared" si="250"/>
        <v>0</v>
      </c>
      <c r="I137" s="190">
        <f t="shared" si="250"/>
        <v>0</v>
      </c>
      <c r="J137" s="190">
        <f t="shared" ref="J137:K137" si="251">J$29*(J88)*J$128</f>
        <v>0</v>
      </c>
      <c r="K137" s="190">
        <f t="shared" si="251"/>
        <v>0</v>
      </c>
    </row>
    <row r="138" spans="1:11" ht="15" hidden="1" customHeight="1" outlineLevel="1">
      <c r="A138">
        <v>9</v>
      </c>
      <c r="B138" s="190">
        <f t="shared" ref="B138" si="252">B$29*(B89)*B$128</f>
        <v>0.17337594582672231</v>
      </c>
      <c r="C138" s="190">
        <f t="shared" ref="C138:I138" si="253">C$29*(C89)*C$128</f>
        <v>0</v>
      </c>
      <c r="D138" s="190">
        <f t="shared" si="253"/>
        <v>0</v>
      </c>
      <c r="E138" s="190">
        <f t="shared" si="253"/>
        <v>0</v>
      </c>
      <c r="F138" s="190">
        <f t="shared" si="253"/>
        <v>0</v>
      </c>
      <c r="G138" s="190">
        <f t="shared" si="253"/>
        <v>0</v>
      </c>
      <c r="H138" s="190">
        <f t="shared" si="253"/>
        <v>0</v>
      </c>
      <c r="I138" s="190">
        <f t="shared" si="253"/>
        <v>0</v>
      </c>
      <c r="J138" s="190">
        <f t="shared" ref="J138:K138" si="254">J$29*(J89)*J$128</f>
        <v>0</v>
      </c>
      <c r="K138" s="190">
        <f t="shared" si="254"/>
        <v>0</v>
      </c>
    </row>
    <row r="139" spans="1:11" ht="15" hidden="1" customHeight="1" outlineLevel="1">
      <c r="A139">
        <v>10</v>
      </c>
      <c r="B139" s="190">
        <f t="shared" ref="B139" si="255">B$29*(B90)*B$128</f>
        <v>0.16615194808394221</v>
      </c>
      <c r="C139" s="190">
        <f t="shared" ref="C139:I139" si="256">C$29*(C90)*C$128</f>
        <v>0</v>
      </c>
      <c r="D139" s="190">
        <f t="shared" si="256"/>
        <v>0</v>
      </c>
      <c r="E139" s="190">
        <f t="shared" si="256"/>
        <v>0</v>
      </c>
      <c r="F139" s="190">
        <f t="shared" si="256"/>
        <v>0</v>
      </c>
      <c r="G139" s="190">
        <f t="shared" si="256"/>
        <v>0</v>
      </c>
      <c r="H139" s="190">
        <f t="shared" si="256"/>
        <v>0</v>
      </c>
      <c r="I139" s="190">
        <f t="shared" si="256"/>
        <v>0</v>
      </c>
      <c r="J139" s="190">
        <f t="shared" ref="J139:K139" si="257">J$29*(J90)*J$128</f>
        <v>0</v>
      </c>
      <c r="K139" s="190">
        <f t="shared" si="257"/>
        <v>0</v>
      </c>
    </row>
    <row r="140" spans="1:11" ht="15" customHeight="1" collapsed="1">
      <c r="A140" t="s">
        <v>495</v>
      </c>
    </row>
    <row r="141" spans="1:11" ht="15" hidden="1" customHeight="1" outlineLevel="1">
      <c r="A141">
        <v>1</v>
      </c>
      <c r="B141" s="190">
        <f>B130*$A141*(B$48/11)</f>
        <v>3.1522899241222231E-3</v>
      </c>
      <c r="C141" s="190">
        <f t="shared" ref="C141:I141" si="258">C130*$A141*(C$48/11)</f>
        <v>0</v>
      </c>
      <c r="D141" s="190">
        <f t="shared" si="258"/>
        <v>0</v>
      </c>
      <c r="E141" s="190">
        <f t="shared" si="258"/>
        <v>0</v>
      </c>
      <c r="F141" s="190">
        <f t="shared" si="258"/>
        <v>0</v>
      </c>
      <c r="G141" s="190">
        <f t="shared" si="258"/>
        <v>0</v>
      </c>
      <c r="H141" s="190">
        <f t="shared" si="258"/>
        <v>0</v>
      </c>
      <c r="I141" s="190">
        <f t="shared" si="258"/>
        <v>0</v>
      </c>
      <c r="J141" s="190">
        <f t="shared" ref="J141:K141" si="259">J130*$A141*(J$48/11)</f>
        <v>0</v>
      </c>
      <c r="K141" s="190">
        <f t="shared" si="259"/>
        <v>0</v>
      </c>
    </row>
    <row r="142" spans="1:11" ht="15" hidden="1" customHeight="1" outlineLevel="1">
      <c r="A142">
        <v>2</v>
      </c>
      <c r="B142" s="190">
        <f t="shared" ref="B142:B150" si="260">B131*$A142*(B$48/11)</f>
        <v>6.1075617279868089E-3</v>
      </c>
      <c r="C142" s="190">
        <f t="shared" ref="C142:I142" si="261">C131*$A142*(C$48/11)</f>
        <v>0</v>
      </c>
      <c r="D142" s="190">
        <f t="shared" si="261"/>
        <v>0</v>
      </c>
      <c r="E142" s="190">
        <f t="shared" si="261"/>
        <v>0</v>
      </c>
      <c r="F142" s="190">
        <f t="shared" si="261"/>
        <v>0</v>
      </c>
      <c r="G142" s="190">
        <f t="shared" si="261"/>
        <v>0</v>
      </c>
      <c r="H142" s="190">
        <f t="shared" si="261"/>
        <v>0</v>
      </c>
      <c r="I142" s="190">
        <f t="shared" si="261"/>
        <v>0</v>
      </c>
      <c r="J142" s="190">
        <f t="shared" ref="J142:K142" si="262">J131*$A142*(J$48/11)</f>
        <v>0</v>
      </c>
      <c r="K142" s="190">
        <f t="shared" si="262"/>
        <v>0</v>
      </c>
    </row>
    <row r="143" spans="1:11" ht="15" hidden="1" customHeight="1" outlineLevel="1">
      <c r="A143">
        <v>3</v>
      </c>
      <c r="B143" s="190">
        <f t="shared" si="260"/>
        <v>8.865815411593753E-3</v>
      </c>
      <c r="C143" s="190">
        <f t="shared" ref="C143:I143" si="263">C132*$A143*(C$48/11)</f>
        <v>0</v>
      </c>
      <c r="D143" s="190">
        <f t="shared" si="263"/>
        <v>0</v>
      </c>
      <c r="E143" s="190">
        <f t="shared" si="263"/>
        <v>0</v>
      </c>
      <c r="F143" s="190">
        <f t="shared" si="263"/>
        <v>0</v>
      </c>
      <c r="G143" s="190">
        <f t="shared" si="263"/>
        <v>0</v>
      </c>
      <c r="H143" s="190">
        <f t="shared" si="263"/>
        <v>0</v>
      </c>
      <c r="I143" s="190">
        <f t="shared" si="263"/>
        <v>0</v>
      </c>
      <c r="J143" s="190">
        <f t="shared" ref="J143:K143" si="264">J132*$A143*(J$48/11)</f>
        <v>0</v>
      </c>
      <c r="K143" s="190">
        <f t="shared" si="264"/>
        <v>0</v>
      </c>
    </row>
    <row r="144" spans="1:11" ht="15" hidden="1" customHeight="1" outlineLevel="1">
      <c r="A144">
        <v>4</v>
      </c>
      <c r="B144" s="190">
        <f t="shared" si="260"/>
        <v>1.1427050974943063E-2</v>
      </c>
      <c r="C144" s="190">
        <f t="shared" ref="C144:I144" si="265">C133*$A144*(C$48/11)</f>
        <v>0</v>
      </c>
      <c r="D144" s="190">
        <f t="shared" si="265"/>
        <v>0</v>
      </c>
      <c r="E144" s="190">
        <f t="shared" si="265"/>
        <v>0</v>
      </c>
      <c r="F144" s="190">
        <f t="shared" si="265"/>
        <v>0</v>
      </c>
      <c r="G144" s="190">
        <f t="shared" si="265"/>
        <v>0</v>
      </c>
      <c r="H144" s="190">
        <f t="shared" si="265"/>
        <v>0</v>
      </c>
      <c r="I144" s="190">
        <f t="shared" si="265"/>
        <v>0</v>
      </c>
      <c r="J144" s="190">
        <f t="shared" ref="J144:K144" si="266">J133*$A144*(J$48/11)</f>
        <v>0</v>
      </c>
      <c r="K144" s="190">
        <f t="shared" si="266"/>
        <v>0</v>
      </c>
    </row>
    <row r="145" spans="1:11" ht="15" hidden="1" customHeight="1" outlineLevel="1">
      <c r="A145">
        <v>5</v>
      </c>
      <c r="B145" s="190">
        <f t="shared" si="260"/>
        <v>1.3791268418034727E-2</v>
      </c>
      <c r="C145" s="190">
        <f t="shared" ref="C145:I145" si="267">C134*$A145*(C$48/11)</f>
        <v>0</v>
      </c>
      <c r="D145" s="190">
        <f t="shared" si="267"/>
        <v>0</v>
      </c>
      <c r="E145" s="190">
        <f t="shared" si="267"/>
        <v>0</v>
      </c>
      <c r="F145" s="190">
        <f t="shared" si="267"/>
        <v>0</v>
      </c>
      <c r="G145" s="190">
        <f t="shared" si="267"/>
        <v>0</v>
      </c>
      <c r="H145" s="190">
        <f t="shared" si="267"/>
        <v>0</v>
      </c>
      <c r="I145" s="190">
        <f t="shared" si="267"/>
        <v>0</v>
      </c>
      <c r="J145" s="190">
        <f t="shared" ref="J145:K145" si="268">J134*$A145*(J$48/11)</f>
        <v>0</v>
      </c>
      <c r="K145" s="190">
        <f t="shared" si="268"/>
        <v>0</v>
      </c>
    </row>
    <row r="146" spans="1:11" ht="15" hidden="1" customHeight="1" outlineLevel="1">
      <c r="A146">
        <v>6</v>
      </c>
      <c r="B146" s="190">
        <f t="shared" si="260"/>
        <v>1.5958467740868759E-2</v>
      </c>
      <c r="C146" s="190">
        <f t="shared" ref="C146:I146" si="269">C135*$A146*(C$48/11)</f>
        <v>0</v>
      </c>
      <c r="D146" s="190">
        <f t="shared" si="269"/>
        <v>0</v>
      </c>
      <c r="E146" s="190">
        <f t="shared" si="269"/>
        <v>0</v>
      </c>
      <c r="F146" s="190">
        <f t="shared" si="269"/>
        <v>0</v>
      </c>
      <c r="G146" s="190">
        <f t="shared" si="269"/>
        <v>0</v>
      </c>
      <c r="H146" s="190">
        <f t="shared" si="269"/>
        <v>0</v>
      </c>
      <c r="I146" s="190">
        <f t="shared" si="269"/>
        <v>0</v>
      </c>
      <c r="J146" s="190">
        <f t="shared" ref="J146:K146" si="270">J135*$A146*(J$48/11)</f>
        <v>0</v>
      </c>
      <c r="K146" s="190">
        <f t="shared" si="270"/>
        <v>0</v>
      </c>
    </row>
    <row r="147" spans="1:11" ht="15" hidden="1" customHeight="1" outlineLevel="1">
      <c r="A147">
        <v>7</v>
      </c>
      <c r="B147" s="190">
        <f t="shared" si="260"/>
        <v>1.7928648943445147E-2</v>
      </c>
      <c r="C147" s="190">
        <f t="shared" ref="C147:I147" si="271">C136*$A147*(C$48/11)</f>
        <v>0</v>
      </c>
      <c r="D147" s="190">
        <f t="shared" si="271"/>
        <v>0</v>
      </c>
      <c r="E147" s="190">
        <f t="shared" si="271"/>
        <v>0</v>
      </c>
      <c r="F147" s="190">
        <f t="shared" si="271"/>
        <v>0</v>
      </c>
      <c r="G147" s="190">
        <f t="shared" si="271"/>
        <v>0</v>
      </c>
      <c r="H147" s="190">
        <f t="shared" si="271"/>
        <v>0</v>
      </c>
      <c r="I147" s="190">
        <f t="shared" si="271"/>
        <v>0</v>
      </c>
      <c r="J147" s="190">
        <f t="shared" ref="J147:K147" si="272">J136*$A147*(J$48/11)</f>
        <v>0</v>
      </c>
      <c r="K147" s="190">
        <f t="shared" si="272"/>
        <v>0</v>
      </c>
    </row>
    <row r="148" spans="1:11" ht="15" hidden="1" customHeight="1" outlineLevel="1">
      <c r="A148">
        <v>8</v>
      </c>
      <c r="B148" s="190">
        <f t="shared" si="260"/>
        <v>1.9701812025763894E-2</v>
      </c>
      <c r="C148" s="190">
        <f t="shared" ref="C148:I148" si="273">C137*$A148*(C$48/11)</f>
        <v>0</v>
      </c>
      <c r="D148" s="190">
        <f t="shared" si="273"/>
        <v>0</v>
      </c>
      <c r="E148" s="190">
        <f t="shared" si="273"/>
        <v>0</v>
      </c>
      <c r="F148" s="190">
        <f t="shared" si="273"/>
        <v>0</v>
      </c>
      <c r="G148" s="190">
        <f t="shared" si="273"/>
        <v>0</v>
      </c>
      <c r="H148" s="190">
        <f t="shared" si="273"/>
        <v>0</v>
      </c>
      <c r="I148" s="190">
        <f t="shared" si="273"/>
        <v>0</v>
      </c>
      <c r="J148" s="190">
        <f t="shared" ref="J148:K148" si="274">J137*$A148*(J$48/11)</f>
        <v>0</v>
      </c>
      <c r="K148" s="190">
        <f t="shared" si="274"/>
        <v>0</v>
      </c>
    </row>
    <row r="149" spans="1:11" ht="15" hidden="1" customHeight="1" outlineLevel="1">
      <c r="A149">
        <v>9</v>
      </c>
      <c r="B149" s="190">
        <f t="shared" si="260"/>
        <v>2.127795698782501E-2</v>
      </c>
      <c r="C149" s="190">
        <f t="shared" ref="C149:I149" si="275">C138*$A149*(C$48/11)</f>
        <v>0</v>
      </c>
      <c r="D149" s="190">
        <f t="shared" si="275"/>
        <v>0</v>
      </c>
      <c r="E149" s="190">
        <f t="shared" si="275"/>
        <v>0</v>
      </c>
      <c r="F149" s="190">
        <f t="shared" si="275"/>
        <v>0</v>
      </c>
      <c r="G149" s="190">
        <f t="shared" si="275"/>
        <v>0</v>
      </c>
      <c r="H149" s="190">
        <f t="shared" si="275"/>
        <v>0</v>
      </c>
      <c r="I149" s="190">
        <f t="shared" si="275"/>
        <v>0</v>
      </c>
      <c r="J149" s="190">
        <f t="shared" ref="J149:K149" si="276">J138*$A149*(J$48/11)</f>
        <v>0</v>
      </c>
      <c r="K149" s="190">
        <f t="shared" si="276"/>
        <v>0</v>
      </c>
    </row>
    <row r="150" spans="1:11" ht="15" hidden="1" customHeight="1" outlineLevel="1">
      <c r="A150">
        <v>10</v>
      </c>
      <c r="B150" s="190">
        <f t="shared" si="260"/>
        <v>2.2657083829628482E-2</v>
      </c>
      <c r="C150" s="190">
        <f t="shared" ref="C150:I150" si="277">C139*$A150*(C$48/11)</f>
        <v>0</v>
      </c>
      <c r="D150" s="190">
        <f t="shared" si="277"/>
        <v>0</v>
      </c>
      <c r="E150" s="190">
        <f t="shared" si="277"/>
        <v>0</v>
      </c>
      <c r="F150" s="190">
        <f t="shared" si="277"/>
        <v>0</v>
      </c>
      <c r="G150" s="190">
        <f t="shared" si="277"/>
        <v>0</v>
      </c>
      <c r="H150" s="190">
        <f t="shared" si="277"/>
        <v>0</v>
      </c>
      <c r="I150" s="190">
        <f t="shared" si="277"/>
        <v>0</v>
      </c>
      <c r="J150" s="190">
        <f t="shared" ref="J150:K150" si="278">J139*$A150*(J$48/11)</f>
        <v>0</v>
      </c>
      <c r="K150" s="190">
        <f t="shared" si="278"/>
        <v>0</v>
      </c>
    </row>
    <row r="151" spans="1:11" ht="15" customHeight="1" collapsed="1">
      <c r="A151" t="s">
        <v>497</v>
      </c>
      <c r="B151" s="190">
        <f>SUM(B130:B139)</f>
        <v>1.9865993792645265</v>
      </c>
      <c r="C151" s="190">
        <f t="shared" ref="C151:I151" si="279">SUM(C130:C139)</f>
        <v>0</v>
      </c>
      <c r="D151" s="190">
        <f t="shared" si="279"/>
        <v>0</v>
      </c>
      <c r="E151" s="190">
        <f t="shared" si="279"/>
        <v>0</v>
      </c>
      <c r="F151" s="190">
        <f t="shared" si="279"/>
        <v>0</v>
      </c>
      <c r="G151" s="190">
        <f t="shared" si="279"/>
        <v>0</v>
      </c>
      <c r="H151" s="190">
        <f t="shared" si="279"/>
        <v>0</v>
      </c>
      <c r="I151" s="190">
        <f t="shared" si="279"/>
        <v>0</v>
      </c>
      <c r="J151" s="190">
        <f t="shared" ref="J151:K151" si="280">SUM(J130:J139)</f>
        <v>0</v>
      </c>
      <c r="K151" s="190">
        <f t="shared" si="280"/>
        <v>0</v>
      </c>
    </row>
    <row r="152" spans="1:11" ht="15" customHeight="1">
      <c r="A152" t="s">
        <v>496</v>
      </c>
      <c r="B152" s="190">
        <f>SUM(B141:B150)</f>
        <v>0.14086795598421187</v>
      </c>
      <c r="C152" s="190">
        <f t="shared" ref="C152:I152" si="281">SUM(C141:C150)</f>
        <v>0</v>
      </c>
      <c r="D152" s="190">
        <f t="shared" si="281"/>
        <v>0</v>
      </c>
      <c r="E152" s="190">
        <f t="shared" si="281"/>
        <v>0</v>
      </c>
      <c r="F152" s="190">
        <f t="shared" si="281"/>
        <v>0</v>
      </c>
      <c r="G152" s="190">
        <f t="shared" si="281"/>
        <v>0</v>
      </c>
      <c r="H152" s="190">
        <f t="shared" si="281"/>
        <v>0</v>
      </c>
      <c r="I152" s="190">
        <f t="shared" si="281"/>
        <v>0</v>
      </c>
      <c r="J152" s="190">
        <f t="shared" ref="J152:K152" si="282">SUM(J141:J150)</f>
        <v>0</v>
      </c>
      <c r="K152" s="190">
        <f t="shared" si="282"/>
        <v>0</v>
      </c>
    </row>
    <row r="153" spans="1:11" ht="15" customHeight="1">
      <c r="A153" s="274" t="s">
        <v>380</v>
      </c>
      <c r="B153" s="190">
        <f t="shared" ref="B153" si="283">(2*B151)/(B29*B91)</f>
        <v>0.91421540035381643</v>
      </c>
      <c r="C153" s="190">
        <f t="shared" ref="C153:I153" si="284">(2*C151)/(C29*C91)</f>
        <v>0</v>
      </c>
      <c r="D153" s="190">
        <f t="shared" si="284"/>
        <v>0</v>
      </c>
      <c r="E153" s="190">
        <f t="shared" si="284"/>
        <v>0</v>
      </c>
      <c r="F153" s="190">
        <f t="shared" si="284"/>
        <v>0</v>
      </c>
      <c r="G153" s="190">
        <f t="shared" si="284"/>
        <v>0</v>
      </c>
      <c r="H153" s="190">
        <f t="shared" si="284"/>
        <v>0</v>
      </c>
      <c r="I153" s="190">
        <f t="shared" si="284"/>
        <v>0</v>
      </c>
      <c r="J153" s="190">
        <f t="shared" ref="J153:K153" si="285">(2*J151)/(J29*J91)</f>
        <v>0</v>
      </c>
      <c r="K153" s="190">
        <f t="shared" si="285"/>
        <v>0</v>
      </c>
    </row>
    <row r="154" spans="1:11" ht="15" customHeight="1">
      <c r="A154" s="274" t="s">
        <v>498</v>
      </c>
      <c r="B154" s="190">
        <f>(B152/B151)*100</f>
        <v>7.0909090909090908</v>
      </c>
      <c r="C154" s="190" t="e">
        <f t="shared" ref="C154:I154" si="286">(C152/C151)*100</f>
        <v>#DIV/0!</v>
      </c>
      <c r="D154" s="190" t="e">
        <f t="shared" si="286"/>
        <v>#DIV/0!</v>
      </c>
      <c r="E154" s="190" t="e">
        <f t="shared" si="286"/>
        <v>#DIV/0!</v>
      </c>
      <c r="F154" s="190" t="e">
        <f t="shared" si="286"/>
        <v>#DIV/0!</v>
      </c>
      <c r="G154" s="190" t="e">
        <f t="shared" si="286"/>
        <v>#DIV/0!</v>
      </c>
      <c r="H154" s="190" t="e">
        <f t="shared" si="286"/>
        <v>#DIV/0!</v>
      </c>
      <c r="I154" s="190" t="e">
        <f t="shared" si="286"/>
        <v>#DIV/0!</v>
      </c>
      <c r="J154" s="190" t="e">
        <f t="shared" ref="J154:K154" si="287">(J152/J151)*100</f>
        <v>#DIV/0!</v>
      </c>
      <c r="K154" s="190" t="e">
        <f t="shared" si="287"/>
        <v>#DIV/0!</v>
      </c>
    </row>
    <row r="155" spans="1:11" ht="15" customHeight="1">
      <c r="A155" t="s">
        <v>381</v>
      </c>
    </row>
    <row r="156" spans="1:11" ht="15" hidden="1" customHeight="1" outlineLevel="1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ht="15" hidden="1" customHeight="1" outlineLevel="1">
      <c r="A157">
        <v>5</v>
      </c>
      <c r="B157">
        <v>0.355956543071071</v>
      </c>
      <c r="C157">
        <v>0.355956543071071</v>
      </c>
      <c r="D157">
        <v>0.355956543071071</v>
      </c>
      <c r="E157">
        <v>0.355956543071071</v>
      </c>
      <c r="F157">
        <v>0.355956543071071</v>
      </c>
      <c r="G157">
        <v>0.355956543071071</v>
      </c>
      <c r="H157">
        <v>0.355956543071071</v>
      </c>
      <c r="I157">
        <v>0.355956543071071</v>
      </c>
      <c r="J157">
        <v>0.355956543071071</v>
      </c>
      <c r="K157">
        <v>0.355956543071071</v>
      </c>
    </row>
    <row r="158" spans="1:11" ht="15" hidden="1" customHeight="1" outlineLevel="1">
      <c r="A158">
        <v>10</v>
      </c>
      <c r="B158">
        <v>0.71191308614214277</v>
      </c>
      <c r="C158">
        <v>0.71191308614214277</v>
      </c>
      <c r="D158">
        <v>0.71191308614214277</v>
      </c>
      <c r="E158">
        <v>0.71191308614214277</v>
      </c>
      <c r="F158">
        <v>0.71191308614214277</v>
      </c>
      <c r="G158">
        <v>0.71191308614214277</v>
      </c>
      <c r="H158">
        <v>0.71191308614214277</v>
      </c>
      <c r="I158">
        <v>0.71191308614214277</v>
      </c>
      <c r="J158">
        <v>0.71191308614214277</v>
      </c>
      <c r="K158">
        <v>0.71191308614214277</v>
      </c>
    </row>
    <row r="159" spans="1:11" ht="15" hidden="1" customHeight="1" outlineLevel="1">
      <c r="A159" s="186">
        <v>15</v>
      </c>
      <c r="B159">
        <v>1.0678696292132142</v>
      </c>
      <c r="C159">
        <v>1.0678696292132142</v>
      </c>
      <c r="D159">
        <v>1.0678696292132142</v>
      </c>
      <c r="E159">
        <v>1.0678696292132142</v>
      </c>
      <c r="F159">
        <v>1.0678696292132142</v>
      </c>
      <c r="G159">
        <v>1.0678696292132142</v>
      </c>
      <c r="H159">
        <v>1.0678696292132142</v>
      </c>
      <c r="I159">
        <v>1.0678696292132142</v>
      </c>
      <c r="J159">
        <v>1.0678696292132142</v>
      </c>
      <c r="K159">
        <v>1.0678696292132142</v>
      </c>
    </row>
    <row r="160" spans="1:11" ht="15" hidden="1" customHeight="1" outlineLevel="1">
      <c r="A160" s="263">
        <v>20</v>
      </c>
      <c r="B160">
        <v>1.4238261722842855</v>
      </c>
      <c r="C160">
        <v>1.4238261722842855</v>
      </c>
      <c r="D160">
        <v>1.4238261722842855</v>
      </c>
      <c r="E160">
        <v>1.4238261722842855</v>
      </c>
      <c r="F160">
        <v>1.4238261722842855</v>
      </c>
      <c r="G160">
        <v>1.4238261722842855</v>
      </c>
      <c r="H160">
        <v>1.4238261722842855</v>
      </c>
      <c r="I160">
        <v>1.4238261722842855</v>
      </c>
      <c r="J160">
        <v>1.4238261722842855</v>
      </c>
      <c r="K160">
        <v>1.4238261722842855</v>
      </c>
    </row>
    <row r="161" spans="1:11" ht="15" hidden="1" customHeight="1" outlineLevel="1">
      <c r="A161" s="263">
        <v>25</v>
      </c>
      <c r="B161">
        <v>1.7797827153553569</v>
      </c>
      <c r="C161">
        <v>1.7797827153553569</v>
      </c>
      <c r="D161">
        <v>1.7797827153553569</v>
      </c>
      <c r="E161">
        <v>1.7797827153553569</v>
      </c>
      <c r="F161">
        <v>1.7797827153553569</v>
      </c>
      <c r="G161">
        <v>1.7797827153553569</v>
      </c>
      <c r="H161">
        <v>1.7797827153553569</v>
      </c>
      <c r="I161">
        <v>1.7797827153553569</v>
      </c>
      <c r="J161">
        <v>1.7797827153553569</v>
      </c>
      <c r="K161">
        <v>1.7797827153553569</v>
      </c>
    </row>
    <row r="162" spans="1:11" ht="15" hidden="1" customHeight="1" outlineLevel="1">
      <c r="A162" s="263">
        <v>30</v>
      </c>
      <c r="B162">
        <v>2.1357392584264283</v>
      </c>
      <c r="C162">
        <v>2.1357392584264283</v>
      </c>
      <c r="D162">
        <v>2.1357392584264283</v>
      </c>
      <c r="E162">
        <v>2.1357392584264283</v>
      </c>
      <c r="F162">
        <v>2.1357392584264283</v>
      </c>
      <c r="G162">
        <v>2.1357392584264283</v>
      </c>
      <c r="H162">
        <v>2.1357392584264283</v>
      </c>
      <c r="I162">
        <v>2.1357392584264283</v>
      </c>
      <c r="J162">
        <v>2.1357392584264283</v>
      </c>
      <c r="K162">
        <v>2.1357392584264283</v>
      </c>
    </row>
    <row r="163" spans="1:11" ht="15" customHeight="1" collapsed="1">
      <c r="A163" s="265" t="s">
        <v>485</v>
      </c>
      <c r="B163" s="262">
        <f>AVERAGE(B164:B168)</f>
        <v>7.1191308614214271E-2</v>
      </c>
      <c r="C163" s="262">
        <f t="shared" ref="C163:I163" si="288">AVERAGE(C164:C168)</f>
        <v>7.1191308614214271E-2</v>
      </c>
      <c r="D163" s="262">
        <f t="shared" si="288"/>
        <v>7.1191308614214271E-2</v>
      </c>
      <c r="E163" s="262">
        <f t="shared" si="288"/>
        <v>7.1191308614214271E-2</v>
      </c>
      <c r="F163" s="262">
        <f t="shared" si="288"/>
        <v>7.1191308614214271E-2</v>
      </c>
      <c r="G163" s="262">
        <f t="shared" si="288"/>
        <v>7.1191308614214271E-2</v>
      </c>
      <c r="H163" s="262">
        <f t="shared" si="288"/>
        <v>7.1191308614214271E-2</v>
      </c>
      <c r="I163" s="262">
        <f t="shared" si="288"/>
        <v>7.1191308614214271E-2</v>
      </c>
      <c r="J163" s="262">
        <f t="shared" ref="J163" si="289">AVERAGE(J164:J168)</f>
        <v>7.1191308614214271E-2</v>
      </c>
      <c r="K163" s="262">
        <f t="shared" ref="K163" si="290">AVERAGE(K164:K168)</f>
        <v>7.1191308614214271E-2</v>
      </c>
    </row>
    <row r="164" spans="1:11" ht="15" hidden="1" customHeight="1" outlineLevel="1">
      <c r="A164">
        <v>0</v>
      </c>
      <c r="B164" s="262">
        <f t="shared" ref="B164:B168" si="291">(B157-B156)/($A157-$A156)</f>
        <v>7.1191308614214202E-2</v>
      </c>
      <c r="C164" s="262">
        <f t="shared" ref="C164:I164" si="292">(C157-C156)/($A157-$A156)</f>
        <v>7.1191308614214202E-2</v>
      </c>
      <c r="D164" s="262">
        <f t="shared" si="292"/>
        <v>7.1191308614214202E-2</v>
      </c>
      <c r="E164" s="262">
        <f t="shared" si="292"/>
        <v>7.1191308614214202E-2</v>
      </c>
      <c r="F164" s="262">
        <f t="shared" si="292"/>
        <v>7.1191308614214202E-2</v>
      </c>
      <c r="G164" s="262">
        <f t="shared" si="292"/>
        <v>7.1191308614214202E-2</v>
      </c>
      <c r="H164" s="262">
        <f t="shared" si="292"/>
        <v>7.1191308614214202E-2</v>
      </c>
      <c r="I164" s="262">
        <f t="shared" si="292"/>
        <v>7.1191308614214202E-2</v>
      </c>
      <c r="J164" s="262">
        <f t="shared" ref="J164:K164" si="293">(J157-J156)/($A157-$A156)</f>
        <v>7.1191308614214202E-2</v>
      </c>
      <c r="K164" s="262">
        <f t="shared" si="293"/>
        <v>7.1191308614214202E-2</v>
      </c>
    </row>
    <row r="165" spans="1:11" ht="15" hidden="1" customHeight="1" outlineLevel="1">
      <c r="A165">
        <v>5</v>
      </c>
      <c r="B165" s="262">
        <f t="shared" si="291"/>
        <v>7.1191308614214355E-2</v>
      </c>
      <c r="C165" s="262">
        <f t="shared" ref="C165:I165" si="294">(C158-C157)/($A158-$A157)</f>
        <v>7.1191308614214355E-2</v>
      </c>
      <c r="D165" s="262">
        <f t="shared" si="294"/>
        <v>7.1191308614214355E-2</v>
      </c>
      <c r="E165" s="262">
        <f t="shared" si="294"/>
        <v>7.1191308614214355E-2</v>
      </c>
      <c r="F165" s="262">
        <f t="shared" si="294"/>
        <v>7.1191308614214355E-2</v>
      </c>
      <c r="G165" s="262">
        <f t="shared" si="294"/>
        <v>7.1191308614214355E-2</v>
      </c>
      <c r="H165" s="262">
        <f t="shared" si="294"/>
        <v>7.1191308614214355E-2</v>
      </c>
      <c r="I165" s="262">
        <f t="shared" si="294"/>
        <v>7.1191308614214355E-2</v>
      </c>
      <c r="J165" s="262">
        <f t="shared" ref="J165:K165" si="295">(J158-J157)/($A158-$A157)</f>
        <v>7.1191308614214355E-2</v>
      </c>
      <c r="K165" s="262">
        <f t="shared" si="295"/>
        <v>7.1191308614214355E-2</v>
      </c>
    </row>
    <row r="166" spans="1:11" ht="15" hidden="1" customHeight="1" outlineLevel="1">
      <c r="A166">
        <v>10</v>
      </c>
      <c r="B166" s="262">
        <f t="shared" si="291"/>
        <v>7.1191308614214271E-2</v>
      </c>
      <c r="C166" s="262">
        <f t="shared" ref="C166:I166" si="296">(C159-C158)/($A159-$A158)</f>
        <v>7.1191308614214271E-2</v>
      </c>
      <c r="D166" s="262">
        <f t="shared" si="296"/>
        <v>7.1191308614214271E-2</v>
      </c>
      <c r="E166" s="262">
        <f t="shared" si="296"/>
        <v>7.1191308614214271E-2</v>
      </c>
      <c r="F166" s="262">
        <f t="shared" si="296"/>
        <v>7.1191308614214271E-2</v>
      </c>
      <c r="G166" s="262">
        <f t="shared" si="296"/>
        <v>7.1191308614214271E-2</v>
      </c>
      <c r="H166" s="262">
        <f t="shared" si="296"/>
        <v>7.1191308614214271E-2</v>
      </c>
      <c r="I166" s="262">
        <f t="shared" si="296"/>
        <v>7.1191308614214271E-2</v>
      </c>
      <c r="J166" s="262">
        <f t="shared" ref="J166:K166" si="297">(J159-J158)/($A159-$A158)</f>
        <v>7.1191308614214271E-2</v>
      </c>
      <c r="K166" s="262">
        <f t="shared" si="297"/>
        <v>7.1191308614214271E-2</v>
      </c>
    </row>
    <row r="167" spans="1:11" ht="15" hidden="1" customHeight="1" outlineLevel="1">
      <c r="A167">
        <v>15</v>
      </c>
      <c r="B167" s="262">
        <f t="shared" si="291"/>
        <v>7.1191308614214271E-2</v>
      </c>
      <c r="C167" s="262">
        <f t="shared" ref="C167:I167" si="298">(C160-C159)/($A160-$A159)</f>
        <v>7.1191308614214271E-2</v>
      </c>
      <c r="D167" s="262">
        <f t="shared" si="298"/>
        <v>7.1191308614214271E-2</v>
      </c>
      <c r="E167" s="262">
        <f t="shared" si="298"/>
        <v>7.1191308614214271E-2</v>
      </c>
      <c r="F167" s="262">
        <f t="shared" si="298"/>
        <v>7.1191308614214271E-2</v>
      </c>
      <c r="G167" s="262">
        <f t="shared" si="298"/>
        <v>7.1191308614214271E-2</v>
      </c>
      <c r="H167" s="262">
        <f t="shared" si="298"/>
        <v>7.1191308614214271E-2</v>
      </c>
      <c r="I167" s="262">
        <f t="shared" si="298"/>
        <v>7.1191308614214271E-2</v>
      </c>
      <c r="J167" s="262">
        <f t="shared" ref="J167:K167" si="299">(J160-J159)/($A160-$A159)</f>
        <v>7.1191308614214271E-2</v>
      </c>
      <c r="K167" s="262">
        <f t="shared" si="299"/>
        <v>7.1191308614214271E-2</v>
      </c>
    </row>
    <row r="168" spans="1:11" ht="15" hidden="1" customHeight="1" outlineLevel="1">
      <c r="A168">
        <v>20</v>
      </c>
      <c r="B168" s="262">
        <f t="shared" si="291"/>
        <v>7.1191308614214271E-2</v>
      </c>
      <c r="C168" s="262">
        <f t="shared" ref="C168:I168" si="300">(C161-C160)/($A161-$A160)</f>
        <v>7.1191308614214271E-2</v>
      </c>
      <c r="D168" s="262">
        <f t="shared" si="300"/>
        <v>7.1191308614214271E-2</v>
      </c>
      <c r="E168" s="262">
        <f t="shared" si="300"/>
        <v>7.1191308614214271E-2</v>
      </c>
      <c r="F168" s="262">
        <f t="shared" si="300"/>
        <v>7.1191308614214271E-2</v>
      </c>
      <c r="G168" s="262">
        <f t="shared" si="300"/>
        <v>7.1191308614214271E-2</v>
      </c>
      <c r="H168" s="262">
        <f t="shared" si="300"/>
        <v>7.1191308614214271E-2</v>
      </c>
      <c r="I168" s="262">
        <f t="shared" si="300"/>
        <v>7.1191308614214271E-2</v>
      </c>
      <c r="J168" s="262">
        <f t="shared" ref="J168:K168" si="301">(J161-J160)/($A161-$A160)</f>
        <v>7.1191308614214271E-2</v>
      </c>
      <c r="K168" s="262">
        <f t="shared" si="301"/>
        <v>7.1191308614214271E-2</v>
      </c>
    </row>
    <row r="169" spans="1:11" ht="15" customHeight="1" collapsed="1">
      <c r="A169" s="190"/>
    </row>
    <row r="170" spans="1:11" ht="15" customHeight="1">
      <c r="A170" s="272" t="s">
        <v>491</v>
      </c>
    </row>
    <row r="171" spans="1:11" ht="15" customHeight="1">
      <c r="A171" t="s">
        <v>521</v>
      </c>
    </row>
    <row r="172" spans="1:11" ht="15" customHeight="1" outlineLevel="1">
      <c r="A172">
        <v>0.06</v>
      </c>
      <c r="B172" s="262">
        <v>1.7811871342984904</v>
      </c>
      <c r="C172" s="262"/>
      <c r="D172" s="262"/>
      <c r="E172" s="262"/>
      <c r="F172" s="262"/>
      <c r="G172" s="262"/>
      <c r="H172" s="262"/>
      <c r="I172" s="262"/>
      <c r="J172" s="262"/>
      <c r="K172" s="262"/>
    </row>
    <row r="173" spans="1:11" ht="15" customHeight="1" outlineLevel="1">
      <c r="A173">
        <v>0.1</v>
      </c>
      <c r="B173" s="262">
        <v>1.7868999999999999</v>
      </c>
      <c r="C173" s="262"/>
      <c r="D173" s="262"/>
      <c r="E173" s="262"/>
      <c r="F173" s="262"/>
      <c r="G173" s="262"/>
      <c r="H173" s="262"/>
      <c r="I173" s="262"/>
      <c r="J173" s="262"/>
      <c r="K173" s="262"/>
    </row>
    <row r="174" spans="1:11" ht="15" customHeight="1" outlineLevel="1">
      <c r="A174">
        <v>0.3</v>
      </c>
      <c r="B174" s="262">
        <v>1.8637999999999999</v>
      </c>
      <c r="C174" s="262"/>
      <c r="D174" s="262"/>
      <c r="E174" s="262"/>
      <c r="F174" s="262"/>
      <c r="G174" s="262"/>
      <c r="H174" s="262"/>
      <c r="I174" s="262"/>
      <c r="J174" s="262"/>
      <c r="K174" s="262"/>
    </row>
    <row r="175" spans="1:11" ht="15" customHeight="1" outlineLevel="1">
      <c r="A175">
        <v>0.5</v>
      </c>
      <c r="B175" s="262">
        <v>2.0529999999999999</v>
      </c>
      <c r="C175" s="262"/>
      <c r="D175" s="262"/>
      <c r="E175" s="262"/>
      <c r="F175" s="262"/>
      <c r="G175" s="262"/>
      <c r="H175" s="262"/>
      <c r="I175" s="262"/>
      <c r="J175" s="262"/>
      <c r="K175" s="262"/>
    </row>
    <row r="176" spans="1:11" ht="15" customHeight="1" outlineLevel="1">
      <c r="A176">
        <v>0.7</v>
      </c>
      <c r="B176" s="262">
        <v>2.4897</v>
      </c>
      <c r="C176" s="262"/>
      <c r="D176" s="262"/>
      <c r="E176" s="262"/>
      <c r="F176" s="262"/>
      <c r="G176" s="262"/>
      <c r="H176" s="262"/>
      <c r="I176" s="262"/>
      <c r="J176" s="262"/>
      <c r="K176" s="262"/>
    </row>
    <row r="177" spans="1:11" ht="15" customHeight="1" outlineLevel="1">
      <c r="A177">
        <v>1</v>
      </c>
      <c r="B177" s="262">
        <v>28.213824634343929</v>
      </c>
      <c r="C177" s="262"/>
      <c r="D177" s="262"/>
      <c r="E177" s="262"/>
      <c r="F177" s="262"/>
      <c r="G177" s="262"/>
      <c r="H177" s="262"/>
      <c r="I177" s="262"/>
      <c r="J177" s="262"/>
      <c r="K177" s="262"/>
    </row>
    <row r="178" spans="1:11" ht="15" customHeight="1" outlineLevel="1">
      <c r="A178">
        <v>1.5</v>
      </c>
      <c r="B178" s="262">
        <v>3.5777000000000001</v>
      </c>
      <c r="C178" s="262"/>
      <c r="D178" s="262"/>
      <c r="E178" s="262"/>
      <c r="F178" s="262"/>
      <c r="G178" s="262"/>
      <c r="H178" s="262"/>
      <c r="I178" s="262"/>
      <c r="J178" s="262"/>
      <c r="K178" s="262"/>
    </row>
    <row r="179" spans="1:11" ht="15" customHeight="1" outlineLevel="1">
      <c r="A179">
        <v>2</v>
      </c>
      <c r="B179" s="262">
        <v>2.3094000000000001</v>
      </c>
      <c r="C179" s="262"/>
      <c r="D179" s="262"/>
      <c r="E179" s="262"/>
      <c r="F179" s="262"/>
      <c r="G179" s="262"/>
      <c r="H179" s="262"/>
      <c r="I179" s="262"/>
      <c r="J179" s="262"/>
      <c r="K179" s="262"/>
    </row>
    <row r="180" spans="1:11" ht="15" customHeight="1" outlineLevel="1">
      <c r="A180">
        <v>3</v>
      </c>
      <c r="B180" s="262">
        <v>1.4141999999999999</v>
      </c>
      <c r="C180" s="262"/>
      <c r="D180" s="262"/>
      <c r="E180" s="262"/>
      <c r="F180" s="262"/>
      <c r="G180" s="262"/>
      <c r="H180" s="262"/>
      <c r="I180" s="262"/>
      <c r="J180" s="262"/>
      <c r="K180" s="262"/>
    </row>
    <row r="181" spans="1:11" ht="15" customHeight="1" outlineLevel="1">
      <c r="A181">
        <v>5</v>
      </c>
      <c r="B181" s="262">
        <v>0.8165</v>
      </c>
      <c r="C181" s="262"/>
      <c r="D181" s="262"/>
      <c r="E181" s="262"/>
      <c r="F181" s="262"/>
      <c r="G181" s="262"/>
      <c r="H181" s="262"/>
      <c r="I181" s="262"/>
      <c r="J181" s="262"/>
      <c r="K181" s="262"/>
    </row>
    <row r="183" spans="1:11" ht="15" customHeight="1">
      <c r="A183" s="282" t="s">
        <v>505</v>
      </c>
    </row>
    <row r="184" spans="1:11" ht="15" customHeight="1">
      <c r="A184" s="289" t="s">
        <v>506</v>
      </c>
    </row>
    <row r="185" spans="1:11" ht="15" customHeight="1">
      <c r="A185" t="s">
        <v>511</v>
      </c>
      <c r="B185" s="190">
        <f>IF(B6&lt;1,B93,B94)</f>
        <v>1.7460228002045515</v>
      </c>
      <c r="C185" s="190">
        <f t="shared" ref="C185:I185" si="302">IF(C6&lt;1,C93,C94)</f>
        <v>1.7516574184821574</v>
      </c>
      <c r="D185" s="190">
        <f t="shared" si="302"/>
        <v>1.8270316629357042</v>
      </c>
      <c r="E185" s="190">
        <f t="shared" si="302"/>
        <v>2.0125011551487666</v>
      </c>
      <c r="F185" s="190">
        <f t="shared" si="302"/>
        <v>2.4405161277517413</v>
      </c>
      <c r="G185" s="190">
        <f t="shared" si="302"/>
        <v>28.213824634343929</v>
      </c>
      <c r="H185" s="190">
        <f t="shared" si="302"/>
        <v>3.5777087639996634</v>
      </c>
      <c r="I185" s="190">
        <f t="shared" si="302"/>
        <v>2.3094010767585034</v>
      </c>
      <c r="J185" s="190">
        <f t="shared" ref="J185:K185" si="303">IF(J6&lt;1,J93,J94)</f>
        <v>1.4142135623730949</v>
      </c>
      <c r="K185" s="190">
        <f t="shared" si="303"/>
        <v>0.81649658092772615</v>
      </c>
    </row>
    <row r="186" spans="1:11" ht="15" customHeight="1">
      <c r="A186" t="s">
        <v>507</v>
      </c>
      <c r="B186" s="190">
        <v>1.5</v>
      </c>
      <c r="C186" s="190">
        <v>1.5</v>
      </c>
      <c r="D186" s="190">
        <v>1.5</v>
      </c>
      <c r="E186" s="190">
        <v>1.5</v>
      </c>
      <c r="F186" s="190">
        <v>1.5</v>
      </c>
      <c r="G186" s="190">
        <v>1.5</v>
      </c>
      <c r="H186" s="190">
        <v>1.5</v>
      </c>
      <c r="I186" s="190">
        <v>1.5</v>
      </c>
      <c r="J186" s="190">
        <v>1.5</v>
      </c>
      <c r="K186" s="190">
        <v>1.5</v>
      </c>
    </row>
    <row r="187" spans="1:11" ht="15" customHeight="1">
      <c r="A187" t="s">
        <v>508</v>
      </c>
      <c r="B187" s="190">
        <f>B34*B186</f>
        <v>0.12</v>
      </c>
      <c r="C187" s="190">
        <f t="shared" ref="C187:I187" si="304">C34*C186</f>
        <v>0.12</v>
      </c>
      <c r="D187" s="190">
        <f t="shared" si="304"/>
        <v>0.12</v>
      </c>
      <c r="E187" s="190">
        <f t="shared" si="304"/>
        <v>0.12</v>
      </c>
      <c r="F187" s="190">
        <f t="shared" si="304"/>
        <v>0.12</v>
      </c>
      <c r="G187" s="190">
        <f t="shared" si="304"/>
        <v>0.12</v>
      </c>
      <c r="H187" s="190">
        <f t="shared" si="304"/>
        <v>0.12</v>
      </c>
      <c r="I187" s="190">
        <f t="shared" si="304"/>
        <v>0.12</v>
      </c>
      <c r="J187" s="190">
        <f t="shared" ref="J187" si="305">J34*J186</f>
        <v>0.12</v>
      </c>
      <c r="K187" s="190">
        <f t="shared" ref="K187" si="306">K34*K186</f>
        <v>0.12</v>
      </c>
    </row>
    <row r="188" spans="1:11" ht="15" customHeight="1">
      <c r="A188" t="s">
        <v>512</v>
      </c>
      <c r="B188" s="286">
        <v>2</v>
      </c>
      <c r="C188" s="286">
        <v>2</v>
      </c>
      <c r="D188" s="286">
        <v>2</v>
      </c>
      <c r="E188" s="286">
        <v>2</v>
      </c>
      <c r="F188" s="286">
        <v>2</v>
      </c>
      <c r="G188" s="286">
        <v>2</v>
      </c>
      <c r="H188" s="286">
        <v>2</v>
      </c>
      <c r="I188" s="286">
        <v>2</v>
      </c>
      <c r="J188" s="286">
        <v>2</v>
      </c>
      <c r="K188" s="286">
        <v>2</v>
      </c>
    </row>
    <row r="189" spans="1:11" ht="15" hidden="1" customHeight="1" outlineLevel="1">
      <c r="A189">
        <v>0.1</v>
      </c>
      <c r="B189" s="190">
        <f t="shared" ref="B189:B197" si="307">ATAN((-B$187*$A189)/B$3)</f>
        <v>-6.0867428441365628E-4</v>
      </c>
      <c r="C189" s="190">
        <f t="shared" ref="C189:K189" si="308">ATAN((-C$187*$A189)/C$3)</f>
        <v>-3.5264425116361204E-4</v>
      </c>
      <c r="D189" s="190">
        <f t="shared" si="308"/>
        <v>-1.1754808805247553E-4</v>
      </c>
      <c r="E189" s="190">
        <f t="shared" si="308"/>
        <v>-7.0528853039386374E-5</v>
      </c>
      <c r="F189" s="190">
        <f t="shared" si="308"/>
        <v>-5.0377752211903743E-5</v>
      </c>
      <c r="G189" s="190">
        <f t="shared" si="308"/>
        <v>-3.5264426563547315E-5</v>
      </c>
      <c r="H189" s="190">
        <f t="shared" si="308"/>
        <v>-2.3509617714445632E-5</v>
      </c>
      <c r="I189" s="190">
        <f t="shared" si="308"/>
        <v>-1.7632213287255421E-5</v>
      </c>
      <c r="J189" s="190">
        <f t="shared" si="308"/>
        <v>-1.1754808858847044E-5</v>
      </c>
      <c r="K189" s="190">
        <f t="shared" si="308"/>
        <v>-7.052885315516126E-6</v>
      </c>
    </row>
    <row r="190" spans="1:11" ht="15" hidden="1" customHeight="1" outlineLevel="1">
      <c r="A190">
        <v>0.5</v>
      </c>
      <c r="B190" s="190">
        <f t="shared" si="307"/>
        <v>-3.0433624019443671E-3</v>
      </c>
      <c r="C190" s="190">
        <f t="shared" ref="C190:K197" si="309">ATAN((-C$187*$A190)/C$3)</f>
        <v>-1.7632195016563466E-3</v>
      </c>
      <c r="D190" s="190">
        <f t="shared" si="309"/>
        <v>-5.8774037529331325E-4</v>
      </c>
      <c r="E190" s="190">
        <f t="shared" si="309"/>
        <v>-3.5264425116361198E-4</v>
      </c>
      <c r="F190" s="190">
        <f t="shared" si="309"/>
        <v>-2.5188875594533489E-4</v>
      </c>
      <c r="G190" s="190">
        <f t="shared" si="309"/>
        <v>-1.7632213106357145E-4</v>
      </c>
      <c r="H190" s="190">
        <f t="shared" si="309"/>
        <v>-1.1754808805247553E-4</v>
      </c>
      <c r="I190" s="190">
        <f t="shared" si="309"/>
        <v>-8.8161066217006459E-5</v>
      </c>
      <c r="J190" s="190">
        <f t="shared" si="309"/>
        <v>-5.8774044229266134E-5</v>
      </c>
      <c r="K190" s="190">
        <f t="shared" si="309"/>
        <v>-3.5264426563547315E-5</v>
      </c>
    </row>
    <row r="191" spans="1:11" ht="15" hidden="1" customHeight="1" outlineLevel="1">
      <c r="A191">
        <v>0.8</v>
      </c>
      <c r="B191" s="190">
        <f t="shared" si="307"/>
        <v>-4.8693563911172367E-3</v>
      </c>
      <c r="C191" s="190">
        <f t="shared" si="309"/>
        <v>-2.8211466418511387E-3</v>
      </c>
      <c r="D191" s="190">
        <f t="shared" si="309"/>
        <v>-9.4038443154982208E-4</v>
      </c>
      <c r="E191" s="190">
        <f t="shared" si="309"/>
        <v>-5.6423076537515451E-4</v>
      </c>
      <c r="F191" s="190">
        <f t="shared" si="309"/>
        <v>-4.0302199621565922E-4</v>
      </c>
      <c r="G191" s="190">
        <f t="shared" si="309"/>
        <v>-2.8211540514088535E-4</v>
      </c>
      <c r="H191" s="190">
        <f t="shared" si="309"/>
        <v>-1.8807693953260408E-4</v>
      </c>
      <c r="I191" s="190">
        <f t="shared" si="309"/>
        <v>-1.410577053771067E-4</v>
      </c>
      <c r="J191" s="190">
        <f t="shared" si="309"/>
        <v>-9.4038470597906221E-5</v>
      </c>
      <c r="K191" s="190">
        <f t="shared" si="309"/>
        <v>-5.6423082465189061E-5</v>
      </c>
    </row>
    <row r="192" spans="1:11" ht="15" hidden="1" customHeight="1" outlineLevel="1">
      <c r="A192">
        <v>1</v>
      </c>
      <c r="B192" s="190">
        <f t="shared" si="307"/>
        <v>-6.0866684293548823E-3</v>
      </c>
      <c r="C192" s="190">
        <f t="shared" si="309"/>
        <v>-3.5264280398829692E-3</v>
      </c>
      <c r="D192" s="190">
        <f t="shared" si="309"/>
        <v>-1.1754803445303073E-3</v>
      </c>
      <c r="E192" s="190">
        <f t="shared" si="309"/>
        <v>-7.0528841461900079E-4</v>
      </c>
      <c r="F192" s="190">
        <f t="shared" si="309"/>
        <v>-5.0377747992702581E-4</v>
      </c>
      <c r="G192" s="190">
        <f t="shared" si="309"/>
        <v>-3.5264425116361198E-4</v>
      </c>
      <c r="H192" s="190">
        <f t="shared" si="309"/>
        <v>-2.3509617285649728E-4</v>
      </c>
      <c r="I192" s="190">
        <f t="shared" si="309"/>
        <v>-1.7632213106357145E-4</v>
      </c>
      <c r="J192" s="190">
        <f t="shared" si="309"/>
        <v>-1.1754808805247553E-4</v>
      </c>
      <c r="K192" s="190">
        <f t="shared" si="309"/>
        <v>-7.0528853039386374E-5</v>
      </c>
    </row>
    <row r="193" spans="1:11" ht="15" hidden="1" customHeight="1" outlineLevel="1">
      <c r="A193">
        <v>5</v>
      </c>
      <c r="B193" s="190">
        <f t="shared" si="307"/>
        <v>-3.0424327180538641E-2</v>
      </c>
      <c r="C193" s="190">
        <f t="shared" si="309"/>
        <v>-1.7630386374527986E-2</v>
      </c>
      <c r="D193" s="190">
        <f t="shared" si="309"/>
        <v>-5.8773367549735467E-3</v>
      </c>
      <c r="E193" s="190">
        <f t="shared" si="309"/>
        <v>-3.5264280398829692E-3</v>
      </c>
      <c r="F193" s="190">
        <f t="shared" si="309"/>
        <v>-2.5188822854713636E-3</v>
      </c>
      <c r="G193" s="190">
        <f t="shared" si="309"/>
        <v>-1.7632195016563466E-3</v>
      </c>
      <c r="H193" s="190">
        <f t="shared" si="309"/>
        <v>-1.1754803445303075E-3</v>
      </c>
      <c r="I193" s="190">
        <f t="shared" si="309"/>
        <v>-8.8161043604732413E-4</v>
      </c>
      <c r="J193" s="190">
        <f t="shared" si="309"/>
        <v>-5.8774037529331336E-4</v>
      </c>
      <c r="K193" s="190">
        <f t="shared" si="309"/>
        <v>-3.5264425116361198E-4</v>
      </c>
    </row>
    <row r="194" spans="1:11" ht="15" hidden="1" customHeight="1" outlineLevel="1">
      <c r="A194">
        <v>10</v>
      </c>
      <c r="B194" s="190">
        <f t="shared" si="307"/>
        <v>-6.0792434475305641E-2</v>
      </c>
      <c r="C194" s="190">
        <f t="shared" si="309"/>
        <v>-3.5249819433070033E-2</v>
      </c>
      <c r="D194" s="190">
        <f t="shared" si="309"/>
        <v>-1.1754267495283133E-2</v>
      </c>
      <c r="E194" s="190">
        <f t="shared" si="309"/>
        <v>-7.0527683747821576E-3</v>
      </c>
      <c r="F194" s="190">
        <f t="shared" si="309"/>
        <v>-5.0377326079010416E-3</v>
      </c>
      <c r="G194" s="190">
        <f t="shared" si="309"/>
        <v>-3.5264280398829692E-3</v>
      </c>
      <c r="H194" s="190">
        <f t="shared" si="309"/>
        <v>-2.3509574406201613E-3</v>
      </c>
      <c r="I194" s="190">
        <f t="shared" si="309"/>
        <v>-1.7632195016563466E-3</v>
      </c>
      <c r="J194" s="190">
        <f t="shared" si="309"/>
        <v>-1.1754803445303075E-3</v>
      </c>
      <c r="K194" s="190">
        <f t="shared" si="309"/>
        <v>-7.0528841461900079E-4</v>
      </c>
    </row>
    <row r="195" spans="1:11" ht="15" hidden="1" customHeight="1" outlineLevel="1">
      <c r="A195">
        <v>20</v>
      </c>
      <c r="B195" s="190">
        <f t="shared" si="307"/>
        <v>-0.12113881782866458</v>
      </c>
      <c r="C195" s="190">
        <f t="shared" si="309"/>
        <v>-7.0412256610955959E-2</v>
      </c>
      <c r="D195" s="190">
        <f t="shared" si="309"/>
        <v>-2.3505287882659417E-2</v>
      </c>
      <c r="E195" s="190">
        <f t="shared" si="309"/>
        <v>-1.4104835188211418E-2</v>
      </c>
      <c r="F195" s="190">
        <f t="shared" si="309"/>
        <v>-1.0075209526069015E-2</v>
      </c>
      <c r="G195" s="190">
        <f t="shared" si="309"/>
        <v>-7.0527683747821576E-3</v>
      </c>
      <c r="H195" s="190">
        <f t="shared" si="309"/>
        <v>-4.7018888940398625E-3</v>
      </c>
      <c r="I195" s="190">
        <f t="shared" si="309"/>
        <v>-3.5264280398829692E-3</v>
      </c>
      <c r="J195" s="190">
        <f t="shared" si="309"/>
        <v>-2.3509574406201613E-3</v>
      </c>
      <c r="K195" s="190">
        <f t="shared" si="309"/>
        <v>-1.4105761275730023E-3</v>
      </c>
    </row>
    <row r="196" spans="1:11" ht="15" hidden="1" customHeight="1" outlineLevel="1">
      <c r="A196">
        <v>50</v>
      </c>
      <c r="B196" s="190">
        <f t="shared" si="307"/>
        <v>-0.29543109335942563</v>
      </c>
      <c r="C196" s="190">
        <f t="shared" si="309"/>
        <v>-0.17452822355748537</v>
      </c>
      <c r="D196" s="190">
        <f t="shared" si="309"/>
        <v>-5.8706508096212806E-2</v>
      </c>
      <c r="E196" s="190">
        <f t="shared" si="309"/>
        <v>-3.5249819433070033E-2</v>
      </c>
      <c r="F196" s="190">
        <f t="shared" si="309"/>
        <v>-2.5183550879356673E-2</v>
      </c>
      <c r="G196" s="190">
        <f t="shared" si="309"/>
        <v>-1.7630386374527986E-2</v>
      </c>
      <c r="H196" s="190">
        <f t="shared" si="309"/>
        <v>-1.1754267495283134E-2</v>
      </c>
      <c r="I196" s="190">
        <f t="shared" si="309"/>
        <v>-8.8158782482761211E-3</v>
      </c>
      <c r="J196" s="190">
        <f t="shared" si="309"/>
        <v>-5.8773367549735476E-3</v>
      </c>
      <c r="K196" s="190">
        <f t="shared" si="309"/>
        <v>-3.5264280398829692E-3</v>
      </c>
    </row>
    <row r="197" spans="1:11" ht="15" hidden="1" customHeight="1" outlineLevel="1">
      <c r="A197">
        <v>100</v>
      </c>
      <c r="B197" s="190">
        <f t="shared" si="307"/>
        <v>-0.54677330449233441</v>
      </c>
      <c r="C197" s="190">
        <f t="shared" si="309"/>
        <v>-0.33902856773486362</v>
      </c>
      <c r="D197" s="190">
        <f t="shared" si="309"/>
        <v>-0.11701112434581525</v>
      </c>
      <c r="E197" s="190">
        <f t="shared" si="309"/>
        <v>-7.0412256610955959E-2</v>
      </c>
      <c r="F197" s="190">
        <f t="shared" si="309"/>
        <v>-5.0335198833895742E-2</v>
      </c>
      <c r="G197" s="190">
        <f t="shared" si="309"/>
        <v>-3.5249819433070033E-2</v>
      </c>
      <c r="H197" s="190">
        <f t="shared" si="309"/>
        <v>-2.3505287882659421E-2</v>
      </c>
      <c r="I197" s="190">
        <f t="shared" si="309"/>
        <v>-1.7630386374527986E-2</v>
      </c>
      <c r="J197" s="190">
        <f t="shared" si="309"/>
        <v>-1.1754267495283134E-2</v>
      </c>
      <c r="K197" s="190">
        <f t="shared" si="309"/>
        <v>-7.0527683747821576E-3</v>
      </c>
    </row>
    <row r="198" spans="1:11" ht="15" customHeight="1" collapsed="1">
      <c r="A198" t="s">
        <v>513</v>
      </c>
    </row>
    <row r="199" spans="1:11" ht="15" hidden="1" customHeight="1" outlineLevel="1">
      <c r="A199">
        <v>0.1</v>
      </c>
      <c r="B199" s="190">
        <f>DEGREES(B189)</f>
        <v>-3.487446759504801E-2</v>
      </c>
      <c r="C199" s="190">
        <f t="shared" ref="C199:I199" si="310">DEGREES(C189)</f>
        <v>-2.020502726122634E-2</v>
      </c>
      <c r="D199" s="190">
        <f t="shared" si="310"/>
        <v>-6.7350093352390242E-3</v>
      </c>
      <c r="E199" s="190">
        <f t="shared" si="310"/>
        <v>-4.0410056130552674E-3</v>
      </c>
      <c r="F199" s="190">
        <f t="shared" si="310"/>
        <v>-2.8864325830979323E-3</v>
      </c>
      <c r="G199" s="190">
        <f t="shared" si="310"/>
        <v>-2.0205028090402905E-3</v>
      </c>
      <c r="H199" s="190">
        <f t="shared" si="310"/>
        <v>-1.3470018730037314E-3</v>
      </c>
      <c r="I199" s="190">
        <f t="shared" si="310"/>
        <v>-1.0102514048342271E-3</v>
      </c>
      <c r="J199" s="190">
        <f t="shared" ref="J199:K199" si="311">DEGREES(J189)</f>
        <v>-6.735009365949271E-4</v>
      </c>
      <c r="K199" s="190">
        <f t="shared" si="311"/>
        <v>-4.0410056196886799E-4</v>
      </c>
    </row>
    <row r="200" spans="1:11" ht="15" hidden="1" customHeight="1" outlineLevel="1">
      <c r="A200">
        <v>0.5</v>
      </c>
      <c r="B200" s="190">
        <f t="shared" ref="B200" si="312">DEGREES(B190)</f>
        <v>-0.17437182116020908</v>
      </c>
      <c r="C200" s="190">
        <f t="shared" ref="C200:I200" si="313">DEGREES(C190)</f>
        <v>-0.10102503580006893</v>
      </c>
      <c r="D200" s="190">
        <f t="shared" si="313"/>
        <v>-3.3675042953741935E-2</v>
      </c>
      <c r="E200" s="190">
        <f t="shared" si="313"/>
        <v>-2.0205027261226336E-2</v>
      </c>
      <c r="F200" s="190">
        <f t="shared" si="313"/>
        <v>-1.4432162622468513E-2</v>
      </c>
      <c r="G200" s="190">
        <f t="shared" si="313"/>
        <v>-1.0102513944695194E-2</v>
      </c>
      <c r="H200" s="190">
        <f t="shared" si="313"/>
        <v>-6.7350093352390242E-3</v>
      </c>
      <c r="I200" s="190">
        <f t="shared" si="313"/>
        <v>-5.0512570116078527E-3</v>
      </c>
      <c r="J200" s="190">
        <f t="shared" ref="J200:K200" si="314">DEGREES(J190)</f>
        <v>-3.3675046792521809E-3</v>
      </c>
      <c r="K200" s="190">
        <f t="shared" si="314"/>
        <v>-2.0205028090402905E-3</v>
      </c>
    </row>
    <row r="201" spans="1:11" ht="15" hidden="1" customHeight="1" outlineLevel="1">
      <c r="A201">
        <v>0.8</v>
      </c>
      <c r="B201" s="190">
        <f t="shared" ref="B201" si="315">DEGREES(B191)</f>
        <v>-0.27899357015607146</v>
      </c>
      <c r="C201" s="190">
        <f t="shared" ref="C201:I201" si="316">DEGREES(C191)</f>
        <v>-0.16163979596557546</v>
      </c>
      <c r="D201" s="190">
        <f t="shared" si="316"/>
        <v>-5.3880059047613865E-2</v>
      </c>
      <c r="E201" s="190">
        <f t="shared" si="316"/>
        <v>-3.2328041527432537E-2</v>
      </c>
      <c r="F201" s="190">
        <f t="shared" si="316"/>
        <v>-2.309145943409471E-2</v>
      </c>
      <c r="G201" s="190">
        <f t="shared" si="316"/>
        <v>-1.6164022050196059E-2</v>
      </c>
      <c r="H201" s="190">
        <f t="shared" si="316"/>
        <v>-1.07760148589554E-2</v>
      </c>
      <c r="I201" s="190">
        <f t="shared" si="316"/>
        <v>-8.0820111859080321E-3</v>
      </c>
      <c r="J201" s="190">
        <f t="shared" ref="J201:K201" si="317">DEGREES(J191)</f>
        <v>-5.3880074771251096E-3</v>
      </c>
      <c r="K201" s="190">
        <f t="shared" si="317"/>
        <v>-3.2328044923739339E-3</v>
      </c>
    </row>
    <row r="202" spans="1:11" ht="15" hidden="1" customHeight="1" outlineLevel="1">
      <c r="A202">
        <v>1</v>
      </c>
      <c r="B202" s="190">
        <f t="shared" ref="B202" si="318">DEGREES(B192)</f>
        <v>-0.34874041229755642</v>
      </c>
      <c r="C202" s="190">
        <f t="shared" ref="C202:I202" si="319">DEGREES(C192)</f>
        <v>-0.20204944344188569</v>
      </c>
      <c r="D202" s="190">
        <f t="shared" si="319"/>
        <v>-6.7350062642170527E-2</v>
      </c>
      <c r="E202" s="190">
        <f t="shared" si="319"/>
        <v>-4.0410049497141658E-2</v>
      </c>
      <c r="F202" s="190">
        <f t="shared" si="319"/>
        <v>-2.8864323413555128E-2</v>
      </c>
      <c r="G202" s="190">
        <f t="shared" si="319"/>
        <v>-2.0205027261226336E-2</v>
      </c>
      <c r="H202" s="190">
        <f t="shared" si="319"/>
        <v>-1.3470018484355356E-2</v>
      </c>
      <c r="I202" s="190">
        <f t="shared" si="319"/>
        <v>-1.0102513944695194E-2</v>
      </c>
      <c r="J202" s="190">
        <f t="shared" ref="J202:K202" si="320">DEGREES(J192)</f>
        <v>-6.7350093352390242E-3</v>
      </c>
      <c r="K202" s="190">
        <f t="shared" si="320"/>
        <v>-4.0410056130552674E-3</v>
      </c>
    </row>
    <row r="203" spans="1:11" ht="15" hidden="1" customHeight="1" outlineLevel="1">
      <c r="A203">
        <v>5</v>
      </c>
      <c r="B203" s="190">
        <f t="shared" ref="B203" si="321">DEGREES(B193)</f>
        <v>-1.7431855419700195</v>
      </c>
      <c r="C203" s="190">
        <f t="shared" ref="C203:I203" si="322">DEGREES(C193)</f>
        <v>-1.0101467304454064</v>
      </c>
      <c r="D203" s="190">
        <f t="shared" si="322"/>
        <v>-0.33674659083709907</v>
      </c>
      <c r="E203" s="190">
        <f t="shared" si="322"/>
        <v>-0.20204944344188569</v>
      </c>
      <c r="F203" s="190">
        <f t="shared" si="322"/>
        <v>-0.14432132404777614</v>
      </c>
      <c r="G203" s="190">
        <f t="shared" si="322"/>
        <v>-0.10102503580006893</v>
      </c>
      <c r="H203" s="190">
        <f t="shared" si="322"/>
        <v>-6.7350062642170541E-2</v>
      </c>
      <c r="I203" s="190">
        <f t="shared" si="322"/>
        <v>-5.0512557160199846E-2</v>
      </c>
      <c r="J203" s="190">
        <f t="shared" ref="J203:K203" si="323">DEGREES(J193)</f>
        <v>-3.3675042953741942E-2</v>
      </c>
      <c r="K203" s="190">
        <f t="shared" si="323"/>
        <v>-2.0205027261226336E-2</v>
      </c>
    </row>
    <row r="204" spans="1:11" ht="15" hidden="1" customHeight="1" outlineLevel="1">
      <c r="A204">
        <v>10</v>
      </c>
      <c r="B204" s="190">
        <f t="shared" ref="B204" si="324">DEGREES(B194)</f>
        <v>-3.4831499217606163</v>
      </c>
      <c r="C204" s="190">
        <f t="shared" ref="C204:I204" si="325">DEGREES(C194)</f>
        <v>-2.019665882113145</v>
      </c>
      <c r="D204" s="190">
        <f t="shared" si="325"/>
        <v>-0.67346991874753281</v>
      </c>
      <c r="E204" s="190">
        <f t="shared" si="325"/>
        <v>-0.40409386175835843</v>
      </c>
      <c r="F204" s="190">
        <f t="shared" si="325"/>
        <v>-0.28864081674816328</v>
      </c>
      <c r="G204" s="190">
        <f t="shared" si="325"/>
        <v>-0.20204944344188569</v>
      </c>
      <c r="H204" s="190">
        <f t="shared" si="325"/>
        <v>-0.1346999391624131</v>
      </c>
      <c r="I204" s="190">
        <f t="shared" si="325"/>
        <v>-0.10102503580006893</v>
      </c>
      <c r="J204" s="190">
        <f t="shared" ref="J204:K204" si="326">DEGREES(J194)</f>
        <v>-6.7350062642170541E-2</v>
      </c>
      <c r="K204" s="190">
        <f t="shared" si="326"/>
        <v>-4.0410049497141658E-2</v>
      </c>
    </row>
    <row r="205" spans="1:11" ht="15" hidden="1" customHeight="1" outlineLevel="1">
      <c r="A205">
        <v>20</v>
      </c>
      <c r="B205" s="190">
        <f t="shared" ref="B205" si="327">DEGREES(B195)</f>
        <v>-6.9407429967866117</v>
      </c>
      <c r="C205" s="190">
        <f t="shared" ref="C205:I205" si="328">DEGREES(C195)</f>
        <v>-4.0343251297999059</v>
      </c>
      <c r="D205" s="190">
        <f t="shared" si="328"/>
        <v>-1.3467537919163797</v>
      </c>
      <c r="E205" s="190">
        <f t="shared" si="328"/>
        <v>-0.80814752701212644</v>
      </c>
      <c r="F205" s="190">
        <f t="shared" si="328"/>
        <v>-0.57726698355375694</v>
      </c>
      <c r="G205" s="190">
        <f t="shared" si="328"/>
        <v>-0.40409386175835843</v>
      </c>
      <c r="H205" s="190">
        <f t="shared" si="328"/>
        <v>-0.26939838936791843</v>
      </c>
      <c r="I205" s="190">
        <f t="shared" si="328"/>
        <v>-0.20204944344188569</v>
      </c>
      <c r="J205" s="190">
        <f t="shared" ref="J205:K205" si="329">DEGREES(J195)</f>
        <v>-0.1346999391624131</v>
      </c>
      <c r="K205" s="190">
        <f t="shared" si="329"/>
        <v>-8.0820058791840219E-2</v>
      </c>
    </row>
    <row r="206" spans="1:11" ht="15" hidden="1" customHeight="1" outlineLevel="1">
      <c r="A206">
        <v>50</v>
      </c>
      <c r="B206" s="190">
        <f t="shared" ref="B206" si="330">DEGREES(B196)</f>
        <v>-16.926954786430489</v>
      </c>
      <c r="C206" s="190">
        <f t="shared" ref="C206:I206" si="331">DEGREES(C196)</f>
        <v>-9.9997306157596224</v>
      </c>
      <c r="D206" s="190">
        <f t="shared" si="331"/>
        <v>-3.3636351438635912</v>
      </c>
      <c r="E206" s="190">
        <f t="shared" si="331"/>
        <v>-2.019665882113145</v>
      </c>
      <c r="F206" s="190">
        <f t="shared" si="331"/>
        <v>-1.4429111785401103</v>
      </c>
      <c r="G206" s="190">
        <f t="shared" si="331"/>
        <v>-1.0101467304454064</v>
      </c>
      <c r="H206" s="190">
        <f t="shared" si="331"/>
        <v>-0.67346991874753293</v>
      </c>
      <c r="I206" s="190">
        <f t="shared" si="331"/>
        <v>-0.505112616327407</v>
      </c>
      <c r="J206" s="190">
        <f t="shared" ref="J206:K206" si="332">DEGREES(J196)</f>
        <v>-0.33674659083709912</v>
      </c>
      <c r="K206" s="190">
        <f t="shared" si="332"/>
        <v>-0.20204944344188569</v>
      </c>
    </row>
    <row r="207" spans="1:11" ht="15" hidden="1" customHeight="1" outlineLevel="1">
      <c r="A207">
        <v>100</v>
      </c>
      <c r="B207" s="190">
        <f t="shared" ref="B207" si="333">DEGREES(B197)</f>
        <v>-31.327802697832215</v>
      </c>
      <c r="C207" s="190">
        <f t="shared" ref="C207:I207" si="334">DEGREES(C197)</f>
        <v>-19.424906065572841</v>
      </c>
      <c r="D207" s="190">
        <f t="shared" si="334"/>
        <v>-6.7042435810956897</v>
      </c>
      <c r="E207" s="190">
        <f t="shared" si="334"/>
        <v>-4.0343251297999059</v>
      </c>
      <c r="F207" s="190">
        <f t="shared" si="334"/>
        <v>-2.883994454134049</v>
      </c>
      <c r="G207" s="190">
        <f t="shared" si="334"/>
        <v>-2.019665882113145</v>
      </c>
      <c r="H207" s="190">
        <f t="shared" si="334"/>
        <v>-1.3467537919163799</v>
      </c>
      <c r="I207" s="190">
        <f t="shared" si="334"/>
        <v>-1.0101467304454064</v>
      </c>
      <c r="J207" s="190">
        <f t="shared" ref="J207:K207" si="335">DEGREES(J197)</f>
        <v>-0.67346991874753293</v>
      </c>
      <c r="K207" s="190">
        <f t="shared" si="335"/>
        <v>-0.40409386175835843</v>
      </c>
    </row>
    <row r="208" spans="1:11" ht="15" customHeight="1" collapsed="1"/>
    <row r="209" spans="1:11" ht="15" customHeight="1">
      <c r="A209" t="s">
        <v>510</v>
      </c>
      <c r="B209" s="190">
        <v>20</v>
      </c>
      <c r="C209" s="190">
        <v>20</v>
      </c>
      <c r="D209" s="190">
        <v>20</v>
      </c>
      <c r="E209" s="190">
        <v>20</v>
      </c>
      <c r="F209" s="190">
        <v>20</v>
      </c>
      <c r="G209" s="190">
        <v>20</v>
      </c>
      <c r="H209" s="190">
        <v>20</v>
      </c>
      <c r="I209" s="190">
        <v>20</v>
      </c>
      <c r="J209" s="190">
        <v>20</v>
      </c>
      <c r="K209" s="190">
        <v>20</v>
      </c>
    </row>
    <row r="210" spans="1:11" ht="15" customHeight="1">
      <c r="A210" t="s">
        <v>519</v>
      </c>
      <c r="B210" s="190">
        <f>B$185*VLOOKUP(B$209,$A$189:B$197,B$188,FALSE)</f>
        <v>-0.21151113791867396</v>
      </c>
      <c r="C210" s="190">
        <f>C$185*VLOOKUP(C$209,$A$189:C$197,C$188,FALSE)</f>
        <v>-0.21219370891573894</v>
      </c>
      <c r="D210" s="190">
        <f>D$185*VLOOKUP(D$209,$A$189:D$197,D$188,FALSE)</f>
        <v>-0.22132445578357038</v>
      </c>
      <c r="E210" s="190">
        <f>E$185*VLOOKUP(E$209,$A$189:E$197,E$188,FALSE)</f>
        <v>-0.24379201081354346</v>
      </c>
      <c r="F210" s="190">
        <f>F$185*VLOOKUP(F$209,$A$189:F$197,F$188,FALSE)</f>
        <v>-0.29564123860763608</v>
      </c>
      <c r="G210" s="190">
        <f>G$185*VLOOKUP(G$209,$A$189:G$197,G$188,FALSE)</f>
        <v>-3.4177893626296783</v>
      </c>
      <c r="H210" s="190">
        <f>H$185*VLOOKUP(H$209,$A$189:H$197,H$188,FALSE)</f>
        <v>-0.43339941020617195</v>
      </c>
      <c r="I210" s="190">
        <f>I$185*VLOOKUP(I$209,$A$189:I$197,I$188,FALSE)</f>
        <v>-0.27975811633077013</v>
      </c>
      <c r="J210" s="190">
        <f>J$185*VLOOKUP(J$209,$A$189:J$197,J$188,FALSE)</f>
        <v>-0.1713161591031411</v>
      </c>
      <c r="K210" s="190">
        <f>K$185*VLOOKUP(K$209,$A$189:K$197,K$188,FALSE)</f>
        <v>-9.8909430574731297E-2</v>
      </c>
    </row>
    <row r="211" spans="1:11" ht="15" customHeight="1">
      <c r="A211" t="s">
        <v>379</v>
      </c>
    </row>
    <row r="212" spans="1:11" ht="15" hidden="1" customHeight="1" outlineLevel="1">
      <c r="A212">
        <v>1</v>
      </c>
      <c r="B212" s="190">
        <f t="shared" ref="B212:B221" si="336">B$29*(B81)*B$210</f>
        <v>-0.1069651450496069</v>
      </c>
      <c r="C212" s="190">
        <f t="shared" ref="C212:I212" si="337">C$29*(C81)*C$210</f>
        <v>-0.29911932036933803</v>
      </c>
      <c r="D212" s="190">
        <f t="shared" si="337"/>
        <v>-2.8079144768257689</v>
      </c>
      <c r="E212" s="190">
        <f t="shared" si="337"/>
        <v>-8.5915483732577052</v>
      </c>
      <c r="F212" s="190">
        <f t="shared" si="337"/>
        <v>-20.420814236431884</v>
      </c>
      <c r="G212" s="190">
        <f t="shared" si="337"/>
        <v>-481.78941616092078</v>
      </c>
      <c r="H212" s="190">
        <f t="shared" si="337"/>
        <v>-137.46204343496663</v>
      </c>
      <c r="I212" s="190">
        <f t="shared" si="337"/>
        <v>-157.74465332126411</v>
      </c>
      <c r="J212" s="190">
        <f t="shared" ref="J212:K212" si="338">J$29*(J81)*J$210</f>
        <v>-217.34657453774517</v>
      </c>
      <c r="K212" s="190">
        <f t="shared" si="338"/>
        <v>-348.56973143558412</v>
      </c>
    </row>
    <row r="213" spans="1:11" ht="15" hidden="1" customHeight="1" outlineLevel="1">
      <c r="A213">
        <v>2</v>
      </c>
      <c r="B213" s="190">
        <f t="shared" si="336"/>
        <v>-0.1036224842668067</v>
      </c>
      <c r="C213" s="190">
        <f t="shared" ref="C213:I213" si="339">C$29*(C82)*C$210</f>
        <v>-0.28977184160779629</v>
      </c>
      <c r="D213" s="190">
        <f t="shared" si="339"/>
        <v>-2.7201671494249644</v>
      </c>
      <c r="E213" s="190">
        <f t="shared" si="339"/>
        <v>-8.3230624865934022</v>
      </c>
      <c r="F213" s="190">
        <f t="shared" si="339"/>
        <v>-19.782663791543388</v>
      </c>
      <c r="G213" s="190">
        <f t="shared" si="339"/>
        <v>-466.73349690589214</v>
      </c>
      <c r="H213" s="190">
        <f t="shared" si="339"/>
        <v>-133.16635457762396</v>
      </c>
      <c r="I213" s="190">
        <f t="shared" si="339"/>
        <v>-152.81513290497463</v>
      </c>
      <c r="J213" s="190">
        <f t="shared" ref="J213:K213" si="340">J$29*(J82)*J$210</f>
        <v>-210.55449408344069</v>
      </c>
      <c r="K213" s="190">
        <f t="shared" si="340"/>
        <v>-337.67692732822218</v>
      </c>
    </row>
    <row r="214" spans="1:11" ht="15" hidden="1" customHeight="1" outlineLevel="1">
      <c r="A214">
        <v>3</v>
      </c>
      <c r="B214" s="190">
        <f t="shared" si="336"/>
        <v>-0.10027982348400648</v>
      </c>
      <c r="C214" s="190">
        <f t="shared" ref="C214:I214" si="341">C$29*(C83)*C$210</f>
        <v>-0.28042436284625444</v>
      </c>
      <c r="D214" s="190">
        <f t="shared" si="341"/>
        <v>-2.6324198220241586</v>
      </c>
      <c r="E214" s="190">
        <f t="shared" si="341"/>
        <v>-8.0545765999290992</v>
      </c>
      <c r="F214" s="190">
        <f t="shared" si="341"/>
        <v>-19.14451334665489</v>
      </c>
      <c r="G214" s="190">
        <f t="shared" si="341"/>
        <v>-451.67757765086333</v>
      </c>
      <c r="H214" s="190">
        <f t="shared" si="341"/>
        <v>-128.87066572028121</v>
      </c>
      <c r="I214" s="190">
        <f t="shared" si="341"/>
        <v>-147.88561248868513</v>
      </c>
      <c r="J214" s="190">
        <f t="shared" ref="J214:K214" si="342">J$29*(J83)*J$210</f>
        <v>-203.76241362913609</v>
      </c>
      <c r="K214" s="190">
        <f t="shared" si="342"/>
        <v>-326.78412322086012</v>
      </c>
    </row>
    <row r="215" spans="1:11" ht="15" hidden="1" customHeight="1" outlineLevel="1">
      <c r="A215">
        <v>4</v>
      </c>
      <c r="B215" s="190">
        <f t="shared" si="336"/>
        <v>-9.6937162701206281E-2</v>
      </c>
      <c r="C215" s="190">
        <f t="shared" ref="C215:I215" si="343">C$29*(C84)*C$210</f>
        <v>-0.2710768840847127</v>
      </c>
      <c r="D215" s="190">
        <f t="shared" si="343"/>
        <v>-2.5446724946233537</v>
      </c>
      <c r="E215" s="190">
        <f t="shared" si="343"/>
        <v>-7.7860907132647963</v>
      </c>
      <c r="F215" s="190">
        <f t="shared" si="343"/>
        <v>-18.506362901766398</v>
      </c>
      <c r="G215" s="190">
        <f t="shared" si="343"/>
        <v>-436.62165839583457</v>
      </c>
      <c r="H215" s="190">
        <f t="shared" si="343"/>
        <v>-124.57497686293853</v>
      </c>
      <c r="I215" s="190">
        <f t="shared" si="343"/>
        <v>-142.95609207239565</v>
      </c>
      <c r="J215" s="190">
        <f t="shared" ref="J215:K215" si="344">J$29*(J84)*J$210</f>
        <v>-196.97033317483158</v>
      </c>
      <c r="K215" s="190">
        <f t="shared" si="344"/>
        <v>-315.89131911349818</v>
      </c>
    </row>
    <row r="216" spans="1:11" ht="15" hidden="1" customHeight="1" outlineLevel="1">
      <c r="A216">
        <v>5</v>
      </c>
      <c r="B216" s="190">
        <f t="shared" si="336"/>
        <v>-9.3594501918406042E-2</v>
      </c>
      <c r="C216" s="190">
        <f t="shared" ref="C216:I216" si="345">C$29*(C85)*C$210</f>
        <v>-0.26172940532317079</v>
      </c>
      <c r="D216" s="190">
        <f t="shared" si="345"/>
        <v>-2.4569251672225483</v>
      </c>
      <c r="E216" s="190">
        <f t="shared" si="345"/>
        <v>-7.5176048266004916</v>
      </c>
      <c r="F216" s="190">
        <f t="shared" si="345"/>
        <v>-17.868212456877899</v>
      </c>
      <c r="G216" s="190">
        <f t="shared" si="345"/>
        <v>-421.5657391408057</v>
      </c>
      <c r="H216" s="190">
        <f t="shared" si="345"/>
        <v>-120.27928800559579</v>
      </c>
      <c r="I216" s="190">
        <f t="shared" si="345"/>
        <v>-138.02657165610609</v>
      </c>
      <c r="J216" s="190">
        <f t="shared" ref="J216:K216" si="346">J$29*(J85)*J$210</f>
        <v>-190.17825272052701</v>
      </c>
      <c r="K216" s="190">
        <f t="shared" si="346"/>
        <v>-304.99851500613607</v>
      </c>
    </row>
    <row r="217" spans="1:11" ht="15" hidden="1" customHeight="1" outlineLevel="1">
      <c r="A217">
        <v>6</v>
      </c>
      <c r="B217" s="190">
        <f t="shared" si="336"/>
        <v>-9.0251841135605831E-2</v>
      </c>
      <c r="C217" s="190">
        <f t="shared" ref="C217:I217" si="347">C$29*(C86)*C$210</f>
        <v>-0.252381926561629</v>
      </c>
      <c r="D217" s="190">
        <f t="shared" si="347"/>
        <v>-2.3691778398217429</v>
      </c>
      <c r="E217" s="190">
        <f t="shared" si="347"/>
        <v>-7.2491189399361886</v>
      </c>
      <c r="F217" s="190">
        <f t="shared" si="347"/>
        <v>-17.2300620119894</v>
      </c>
      <c r="G217" s="190">
        <f t="shared" si="347"/>
        <v>-406.50981988577695</v>
      </c>
      <c r="H217" s="190">
        <f t="shared" si="347"/>
        <v>-115.98359914825311</v>
      </c>
      <c r="I217" s="190">
        <f t="shared" si="347"/>
        <v>-133.09705123981661</v>
      </c>
      <c r="J217" s="190">
        <f t="shared" ref="J217:K217" si="348">J$29*(J86)*J$210</f>
        <v>-183.3861722662225</v>
      </c>
      <c r="K217" s="190">
        <f t="shared" si="348"/>
        <v>-294.10571089877408</v>
      </c>
    </row>
    <row r="218" spans="1:11" ht="15" hidden="1" customHeight="1" outlineLevel="1">
      <c r="A218">
        <v>7</v>
      </c>
      <c r="B218" s="190">
        <f t="shared" si="336"/>
        <v>-8.6909180352805621E-2</v>
      </c>
      <c r="C218" s="190">
        <f t="shared" ref="C218:I218" si="349">C$29*(C87)*C$210</f>
        <v>-0.24303444780008718</v>
      </c>
      <c r="D218" s="190">
        <f t="shared" si="349"/>
        <v>-2.281430512420938</v>
      </c>
      <c r="E218" s="190">
        <f t="shared" si="349"/>
        <v>-6.9806330532718857</v>
      </c>
      <c r="F218" s="190">
        <f t="shared" si="349"/>
        <v>-16.591911567100908</v>
      </c>
      <c r="G218" s="190">
        <f t="shared" si="349"/>
        <v>-391.45390063074819</v>
      </c>
      <c r="H218" s="190">
        <f t="shared" si="349"/>
        <v>-111.68791029091038</v>
      </c>
      <c r="I218" s="190">
        <f t="shared" si="349"/>
        <v>-128.1675308235271</v>
      </c>
      <c r="J218" s="190">
        <f t="shared" ref="J218:K218" si="350">J$29*(J87)*J$210</f>
        <v>-176.59409181191793</v>
      </c>
      <c r="K218" s="190">
        <f t="shared" si="350"/>
        <v>-283.21290679141208</v>
      </c>
    </row>
    <row r="219" spans="1:11" ht="15" hidden="1" customHeight="1" outlineLevel="1">
      <c r="A219">
        <v>8</v>
      </c>
      <c r="B219" s="190">
        <f t="shared" si="336"/>
        <v>-8.3566519570005396E-2</v>
      </c>
      <c r="C219" s="190">
        <f t="shared" ref="C219:I219" si="351">C$29*(C88)*C$210</f>
        <v>-0.23368696903854533</v>
      </c>
      <c r="D219" s="190">
        <f t="shared" si="351"/>
        <v>-2.1936831850201322</v>
      </c>
      <c r="E219" s="190">
        <f t="shared" si="351"/>
        <v>-6.7121471666075818</v>
      </c>
      <c r="F219" s="190">
        <f t="shared" si="351"/>
        <v>-15.953761122212409</v>
      </c>
      <c r="G219" s="190">
        <f t="shared" si="351"/>
        <v>-376.39798137571944</v>
      </c>
      <c r="H219" s="190">
        <f t="shared" si="351"/>
        <v>-107.39222143356768</v>
      </c>
      <c r="I219" s="190">
        <f t="shared" si="351"/>
        <v>-123.2380104072376</v>
      </c>
      <c r="J219" s="190">
        <f t="shared" ref="J219:K219" si="352">J$29*(J88)*J$210</f>
        <v>-169.80201135761342</v>
      </c>
      <c r="K219" s="190">
        <f t="shared" si="352"/>
        <v>-272.32010268405008</v>
      </c>
    </row>
    <row r="220" spans="1:11" ht="15" hidden="1" customHeight="1" outlineLevel="1">
      <c r="A220">
        <v>9</v>
      </c>
      <c r="B220" s="190">
        <f t="shared" si="336"/>
        <v>-8.0223858787205185E-2</v>
      </c>
      <c r="C220" s="190">
        <f t="shared" ref="C220:I220" si="353">C$29*(C89)*C$210</f>
        <v>-0.22433949027700356</v>
      </c>
      <c r="D220" s="190">
        <f t="shared" si="353"/>
        <v>-2.1059358576193272</v>
      </c>
      <c r="E220" s="190">
        <f t="shared" si="353"/>
        <v>-6.4436612799432789</v>
      </c>
      <c r="F220" s="190">
        <f t="shared" si="353"/>
        <v>-15.315610677323914</v>
      </c>
      <c r="G220" s="190">
        <f t="shared" si="353"/>
        <v>-361.34206212069063</v>
      </c>
      <c r="H220" s="190">
        <f t="shared" si="353"/>
        <v>-103.09653257622499</v>
      </c>
      <c r="I220" s="190">
        <f t="shared" si="353"/>
        <v>-118.30848999094809</v>
      </c>
      <c r="J220" s="190">
        <f t="shared" ref="J220:K220" si="354">J$29*(J89)*J$210</f>
        <v>-163.00993090330888</v>
      </c>
      <c r="K220" s="190">
        <f t="shared" si="354"/>
        <v>-261.42729857668814</v>
      </c>
    </row>
    <row r="221" spans="1:11" ht="15" hidden="1" customHeight="1" outlineLevel="1">
      <c r="A221">
        <v>10</v>
      </c>
      <c r="B221" s="190">
        <f t="shared" si="336"/>
        <v>-7.688119800440496E-2</v>
      </c>
      <c r="C221" s="190">
        <f t="shared" ref="C221:I221" si="355">C$29*(C90)*C$210</f>
        <v>-0.21499201151546171</v>
      </c>
      <c r="D221" s="190">
        <f t="shared" si="355"/>
        <v>-2.0181885302185214</v>
      </c>
      <c r="E221" s="190">
        <f t="shared" si="355"/>
        <v>-6.175175393278975</v>
      </c>
      <c r="F221" s="190">
        <f t="shared" si="355"/>
        <v>-14.677460232435417</v>
      </c>
      <c r="G221" s="190">
        <f t="shared" si="355"/>
        <v>-346.28614286566182</v>
      </c>
      <c r="H221" s="190">
        <f t="shared" si="355"/>
        <v>-98.800843718882263</v>
      </c>
      <c r="I221" s="190">
        <f t="shared" si="355"/>
        <v>-113.37896957465858</v>
      </c>
      <c r="J221" s="190">
        <f t="shared" ref="J221:K221" si="356">J$29*(J90)*J$210</f>
        <v>-156.21785044900435</v>
      </c>
      <c r="K221" s="190">
        <f t="shared" si="356"/>
        <v>-250.53449446932609</v>
      </c>
    </row>
    <row r="222" spans="1:11" ht="15" customHeight="1" collapsed="1">
      <c r="A222" t="s">
        <v>514</v>
      </c>
      <c r="B222" s="190">
        <f>SUM(B212:B221)</f>
        <v>-0.91923171527005931</v>
      </c>
      <c r="C222" s="190">
        <f t="shared" ref="C222:I222" si="357">SUM(C212:C221)</f>
        <v>-2.5705566594239988</v>
      </c>
      <c r="D222" s="190">
        <f t="shared" si="357"/>
        <v>-24.130515035221453</v>
      </c>
      <c r="E222" s="190">
        <f t="shared" si="357"/>
        <v>-73.833618832683413</v>
      </c>
      <c r="F222" s="190">
        <f t="shared" si="357"/>
        <v>-175.4913723443365</v>
      </c>
      <c r="G222" s="190">
        <f t="shared" si="357"/>
        <v>-4140.377795132913</v>
      </c>
      <c r="H222" s="190">
        <f t="shared" si="357"/>
        <v>-1181.3144357692447</v>
      </c>
      <c r="I222" s="190">
        <f t="shared" si="357"/>
        <v>-1355.6181144796137</v>
      </c>
      <c r="J222" s="190">
        <f t="shared" ref="J222" si="358">SUM(J212:J221)</f>
        <v>-1867.8221249337475</v>
      </c>
      <c r="K222" s="190">
        <f t="shared" ref="K222" si="359">SUM(K212:K221)</f>
        <v>-2995.5211295245517</v>
      </c>
    </row>
    <row r="223" spans="1:11" ht="15" customHeight="1">
      <c r="A223" t="s">
        <v>515</v>
      </c>
      <c r="B223" s="190">
        <f>B222*B187</f>
        <v>-0.11030780583240711</v>
      </c>
      <c r="C223" s="190">
        <f t="shared" ref="C223:I223" si="360">C222*C187</f>
        <v>-0.30846679913087982</v>
      </c>
      <c r="D223" s="190">
        <f t="shared" si="360"/>
        <v>-2.8956618042265743</v>
      </c>
      <c r="E223" s="190">
        <f t="shared" si="360"/>
        <v>-8.8600342599220099</v>
      </c>
      <c r="F223" s="190">
        <f t="shared" si="360"/>
        <v>-21.058964681320379</v>
      </c>
      <c r="G223" s="190">
        <f t="shared" si="360"/>
        <v>-496.84533541594953</v>
      </c>
      <c r="H223" s="190">
        <f t="shared" si="360"/>
        <v>-141.75773229230936</v>
      </c>
      <c r="I223" s="190">
        <f t="shared" si="360"/>
        <v>-162.67417373755364</v>
      </c>
      <c r="J223" s="190">
        <f t="shared" ref="J223" si="361">J222*J187</f>
        <v>-224.13865499204971</v>
      </c>
      <c r="K223" s="190">
        <f t="shared" ref="K223" si="362">K222*K187</f>
        <v>-359.46253554294617</v>
      </c>
    </row>
    <row r="224" spans="1:11" ht="15" customHeight="1">
      <c r="A224" t="s">
        <v>518</v>
      </c>
      <c r="B224" s="190">
        <f>B38*(2/3)*((1+B44+B44^2)/(1+B44))</f>
        <v>0.12666666666666665</v>
      </c>
      <c r="C224" s="190">
        <f t="shared" ref="C224:I224" si="363">C38*(2/3)*((1+C44+C44^2)/(1+C44))</f>
        <v>0.12666666666666665</v>
      </c>
      <c r="D224" s="190">
        <f t="shared" si="363"/>
        <v>0.12666666666666665</v>
      </c>
      <c r="E224" s="190">
        <f t="shared" si="363"/>
        <v>0.12666666666666665</v>
      </c>
      <c r="F224" s="190">
        <f t="shared" si="363"/>
        <v>0.12666666666666665</v>
      </c>
      <c r="G224" s="190">
        <f t="shared" si="363"/>
        <v>0.12666666666666665</v>
      </c>
      <c r="H224" s="190">
        <f t="shared" si="363"/>
        <v>0.12666666666666665</v>
      </c>
      <c r="I224" s="190">
        <f t="shared" si="363"/>
        <v>0.12666666666666665</v>
      </c>
      <c r="J224" s="190">
        <f t="shared" ref="J224:K224" si="364">J38*(2/3)*((1+J44+J44^2)/(1+J44))</f>
        <v>0.12666666666666665</v>
      </c>
      <c r="K224" s="190">
        <f t="shared" si="364"/>
        <v>0.12666666666666665</v>
      </c>
    </row>
    <row r="225" spans="1:11" ht="15" customHeight="1">
      <c r="A225" t="s">
        <v>520</v>
      </c>
      <c r="B225" s="190">
        <v>0.8</v>
      </c>
      <c r="C225" s="190">
        <v>0.8</v>
      </c>
      <c r="D225" s="190">
        <v>0.8</v>
      </c>
      <c r="E225" s="190">
        <v>0.8</v>
      </c>
      <c r="F225" s="190">
        <v>0.8</v>
      </c>
      <c r="G225" s="190">
        <v>0.8</v>
      </c>
      <c r="H225" s="190">
        <v>0.8</v>
      </c>
      <c r="I225" s="190">
        <v>0.8</v>
      </c>
      <c r="J225" s="190">
        <v>0.8</v>
      </c>
      <c r="K225" s="190">
        <v>0.8</v>
      </c>
    </row>
    <row r="226" spans="1:11" ht="15" customHeight="1">
      <c r="A226" t="s">
        <v>517</v>
      </c>
      <c r="B226" s="190">
        <f>B223/(B29*B91*B224)</f>
        <v>-0.20037897276505956</v>
      </c>
      <c r="C226" s="190">
        <f t="shared" ref="C226:I226" si="365">C223/(C29*C91*C224)</f>
        <v>-0.20102561897280527</v>
      </c>
      <c r="D226" s="190">
        <f t="shared" si="365"/>
        <v>-0.20967580021601404</v>
      </c>
      <c r="E226" s="190">
        <f t="shared" si="365"/>
        <v>-0.23096085234967281</v>
      </c>
      <c r="F226" s="190">
        <f t="shared" si="365"/>
        <v>-0.28008117341776056</v>
      </c>
      <c r="G226" s="190">
        <f t="shared" si="365"/>
        <v>-3.2379057119649581</v>
      </c>
      <c r="H226" s="190">
        <f t="shared" si="365"/>
        <v>-0.41058891493216298</v>
      </c>
      <c r="I226" s="190">
        <f t="shared" si="365"/>
        <v>-0.26503400494494017</v>
      </c>
      <c r="J226" s="190">
        <f t="shared" ref="J226:K226" si="366">J223/(J29*J91*J224)</f>
        <v>-0.16229951915034421</v>
      </c>
      <c r="K226" s="190">
        <f t="shared" si="366"/>
        <v>-9.3703671070798106E-2</v>
      </c>
    </row>
    <row r="227" spans="1:11" ht="15" customHeight="1">
      <c r="A227" s="290" t="s">
        <v>522</v>
      </c>
      <c r="B227" s="288">
        <f>(-B185*B187^2)/(B225*B3)</f>
        <v>-1.5941389645945199E-3</v>
      </c>
      <c r="C227" s="288">
        <f t="shared" ref="C227:I227" si="367">(-C185*C187^2)/(C225*C3)</f>
        <v>-9.2656791636244057E-4</v>
      </c>
      <c r="D227" s="288">
        <f t="shared" si="367"/>
        <v>-3.2214611966789743E-4</v>
      </c>
      <c r="E227" s="288">
        <f t="shared" si="367"/>
        <v>-2.1290909767264995E-4</v>
      </c>
      <c r="F227" s="288">
        <f t="shared" si="367"/>
        <v>-1.8442157528556364E-4</v>
      </c>
      <c r="G227" s="288">
        <f t="shared" si="367"/>
        <v>-1.4924165209605816E-3</v>
      </c>
      <c r="H227" s="288">
        <f t="shared" si="367"/>
        <v>-1.2616584802612485E-4</v>
      </c>
      <c r="I227" s="288">
        <f t="shared" si="367"/>
        <v>-6.1079778533164696E-5</v>
      </c>
      <c r="J227" s="288">
        <f t="shared" ref="J227:K227" si="368">(-J185*J187^2)/(J225*J3)</f>
        <v>-2.4935715168075836E-5</v>
      </c>
      <c r="K227" s="288">
        <f t="shared" si="368"/>
        <v>-8.6379851188346516E-6</v>
      </c>
    </row>
    <row r="228" spans="1:11" ht="15" customHeight="1" outlineLevel="1">
      <c r="A228">
        <v>0.06</v>
      </c>
      <c r="B228" s="288">
        <v>-3.957435565420617E-3</v>
      </c>
      <c r="C228" s="288"/>
      <c r="D228" s="288"/>
      <c r="E228" s="288"/>
      <c r="F228" s="288"/>
      <c r="G228" s="288"/>
      <c r="H228" s="288"/>
      <c r="I228" s="288"/>
      <c r="J228" s="288"/>
      <c r="K228" s="288"/>
    </row>
    <row r="229" spans="1:11" ht="15" customHeight="1" outlineLevel="1">
      <c r="A229">
        <v>0.1</v>
      </c>
      <c r="B229" s="288">
        <v>-1.0587217785124063E-3</v>
      </c>
      <c r="C229" s="288"/>
      <c r="D229" s="288"/>
      <c r="E229" s="288"/>
      <c r="F229" s="288"/>
      <c r="G229" s="288"/>
      <c r="H229" s="288"/>
      <c r="I229" s="288"/>
      <c r="J229" s="288"/>
      <c r="K229" s="288"/>
    </row>
    <row r="230" spans="1:11" ht="15" customHeight="1" outlineLevel="1">
      <c r="A230">
        <v>0.3</v>
      </c>
      <c r="B230" s="288">
        <v>-2.3663117870606997E-4</v>
      </c>
      <c r="C230" s="288"/>
      <c r="D230" s="288"/>
      <c r="E230" s="288"/>
      <c r="F230" s="288"/>
      <c r="G230" s="288"/>
      <c r="H230" s="288"/>
      <c r="I230" s="288"/>
      <c r="J230" s="288"/>
      <c r="K230" s="288"/>
    </row>
    <row r="231" spans="1:11" ht="15" customHeight="1" outlineLevel="1">
      <c r="A231">
        <v>0.5</v>
      </c>
      <c r="B231" s="288">
        <v>-1.1523587839424864E-4</v>
      </c>
      <c r="C231" s="288"/>
      <c r="D231" s="288"/>
      <c r="E231" s="288"/>
      <c r="F231" s="288"/>
      <c r="G231" s="288"/>
      <c r="H231" s="288"/>
      <c r="I231" s="288"/>
      <c r="J231" s="288"/>
      <c r="K231" s="288"/>
    </row>
    <row r="232" spans="1:11" ht="15" customHeight="1" outlineLevel="1">
      <c r="A232">
        <v>0.7</v>
      </c>
      <c r="B232" s="288">
        <v>-7.9021921140809409E-5</v>
      </c>
      <c r="C232" s="288"/>
      <c r="D232" s="288"/>
      <c r="E232" s="288"/>
      <c r="F232" s="288"/>
      <c r="G232" s="288"/>
      <c r="H232" s="288"/>
      <c r="I232" s="288"/>
      <c r="J232" s="288"/>
      <c r="K232" s="288"/>
    </row>
    <row r="233" spans="1:11" ht="15" customHeight="1" outlineLevel="1">
      <c r="A233">
        <v>1</v>
      </c>
      <c r="B233" s="288">
        <v>-5.1877556177959536E-4</v>
      </c>
      <c r="C233" s="288"/>
      <c r="D233" s="288"/>
      <c r="E233" s="288"/>
      <c r="F233" s="288"/>
      <c r="G233" s="288"/>
      <c r="H233" s="288"/>
      <c r="I233" s="288"/>
      <c r="J233" s="288"/>
      <c r="K233" s="288"/>
    </row>
    <row r="234" spans="1:11" ht="15" customHeight="1" outlineLevel="1">
      <c r="A234">
        <v>1.5</v>
      </c>
      <c r="B234" s="288">
        <v>-3.1795765043958875E-4</v>
      </c>
      <c r="C234" s="288"/>
      <c r="D234" s="288"/>
      <c r="E234" s="288"/>
      <c r="F234" s="288"/>
      <c r="G234" s="288"/>
      <c r="H234" s="288"/>
      <c r="I234" s="288"/>
      <c r="J234" s="288"/>
      <c r="K234" s="288"/>
    </row>
    <row r="235" spans="1:11" ht="15" customHeight="1" outlineLevel="1">
      <c r="A235">
        <v>2</v>
      </c>
      <c r="B235" s="288">
        <v>-6.841359360843149E-5</v>
      </c>
      <c r="C235" s="288"/>
      <c r="D235" s="288"/>
      <c r="E235" s="288"/>
      <c r="F235" s="288"/>
      <c r="G235" s="288"/>
      <c r="H235" s="288"/>
      <c r="I235" s="288"/>
      <c r="J235" s="288"/>
      <c r="K235" s="288"/>
    </row>
    <row r="236" spans="1:11" ht="15" customHeight="1" outlineLevel="1">
      <c r="A236">
        <v>3</v>
      </c>
      <c r="B236" s="288">
        <v>-1.795482812258461E-5</v>
      </c>
      <c r="C236" s="288"/>
      <c r="D236" s="288"/>
      <c r="E236" s="288"/>
      <c r="F236" s="288"/>
      <c r="G236" s="288"/>
      <c r="H236" s="288"/>
      <c r="I236" s="288"/>
      <c r="J236" s="288"/>
      <c r="K236" s="288"/>
    </row>
    <row r="237" spans="1:11" ht="15" customHeight="1" outlineLevel="1">
      <c r="A237">
        <v>5</v>
      </c>
      <c r="B237" s="288">
        <v>-4.5829625651869788E-6</v>
      </c>
      <c r="C237" s="288"/>
      <c r="D237" s="288"/>
      <c r="E237" s="288"/>
      <c r="F237" s="288"/>
      <c r="G237" s="288"/>
      <c r="H237" s="288"/>
      <c r="I237" s="288"/>
      <c r="J237" s="288"/>
      <c r="K237" s="288"/>
    </row>
    <row r="239" spans="1:11" ht="15" customHeight="1">
      <c r="A239" s="290" t="s">
        <v>523</v>
      </c>
      <c r="B239" s="190">
        <f>(B185*B187)/B225</f>
        <v>0.26190342003068268</v>
      </c>
      <c r="C239" s="190">
        <f t="shared" ref="C239:I239" si="369">(C185*C187)/C225</f>
        <v>0.26274861277232359</v>
      </c>
      <c r="D239" s="190">
        <f t="shared" si="369"/>
        <v>0.27405474944035557</v>
      </c>
      <c r="E239" s="190">
        <f t="shared" si="369"/>
        <v>0.301875173272315</v>
      </c>
      <c r="F239" s="190">
        <f t="shared" si="369"/>
        <v>0.36607741916276115</v>
      </c>
      <c r="G239" s="190">
        <f t="shared" si="369"/>
        <v>4.2320736951515885</v>
      </c>
      <c r="H239" s="190">
        <f t="shared" si="369"/>
        <v>0.53665631459994945</v>
      </c>
      <c r="I239" s="190">
        <f t="shared" si="369"/>
        <v>0.34641016151377546</v>
      </c>
      <c r="J239" s="190">
        <f t="shared" ref="J239:K239" si="370">(J185*J187)/J225</f>
        <v>0.21213203435596423</v>
      </c>
      <c r="K239" s="190">
        <f t="shared" si="370"/>
        <v>0.1224744871391589</v>
      </c>
    </row>
    <row r="240" spans="1:11" ht="15" customHeight="1" outlineLevel="1">
      <c r="A240">
        <v>0.06</v>
      </c>
      <c r="B240" s="190">
        <v>0.42414518635482801</v>
      </c>
    </row>
    <row r="241" spans="1:2" ht="15" customHeight="1" outlineLevel="1">
      <c r="A241">
        <v>0.1</v>
      </c>
      <c r="B241" s="190">
        <v>0.42551395211156007</v>
      </c>
    </row>
    <row r="242" spans="1:2" ht="15" customHeight="1" outlineLevel="1">
      <c r="A242">
        <v>0.3</v>
      </c>
      <c r="B242" s="190">
        <v>0.4438239208910964</v>
      </c>
    </row>
    <row r="243" spans="1:2" ht="15" customHeight="1" outlineLevel="1">
      <c r="A243">
        <v>0.5</v>
      </c>
      <c r="B243" s="190">
        <v>0.48887831097616802</v>
      </c>
    </row>
    <row r="244" spans="1:2" ht="15" customHeight="1" outlineLevel="1">
      <c r="A244">
        <v>0.7</v>
      </c>
      <c r="B244" s="190">
        <v>0.59285203359655836</v>
      </c>
    </row>
    <row r="245" spans="1:2" ht="15" customHeight="1" outlineLevel="1">
      <c r="A245">
        <v>1</v>
      </c>
      <c r="B245" s="190">
        <v>6.7184169910531475</v>
      </c>
    </row>
    <row r="246" spans="1:2" ht="15" customHeight="1" outlineLevel="1">
      <c r="A246">
        <v>1.5</v>
      </c>
      <c r="B246" s="190">
        <v>0.85194189942741982</v>
      </c>
    </row>
    <row r="247" spans="1:2" ht="15" customHeight="1" outlineLevel="1">
      <c r="A247">
        <v>2</v>
      </c>
      <c r="B247" s="190">
        <v>0.54992613140311863</v>
      </c>
    </row>
    <row r="248" spans="1:2" ht="15" customHeight="1" outlineLevel="1">
      <c r="A248">
        <v>3</v>
      </c>
      <c r="B248" s="190">
        <v>0.33675960454009318</v>
      </c>
    </row>
    <row r="249" spans="1:2" ht="15" customHeight="1" outlineLevel="1">
      <c r="A249">
        <v>5</v>
      </c>
      <c r="B249" s="190">
        <v>0.19442824833341479</v>
      </c>
    </row>
  </sheetData>
  <scenarios current="1" show="0">
    <scenario name="AoA 0deg" locked="1" count="1" user="Leonardo Valadez Ortiz" comment="Created by Leonardo Valadez Ortiz on 08/07/2025_x000a_Modified by Leonardo Valadez Ortiz on 08/07/2025">
      <inputCells r="B9" val="0" numFmtId="165"/>
    </scenario>
    <scenario name="AoA 5deg" locked="1" count="1" user="Leonardo Valadez Ortiz" comment="Created by Leonardo Valadez Ortiz on 08/07/2025">
      <inputCells r="B9" val="5" numFmtId="165"/>
    </scenario>
  </scenarios>
  <conditionalFormatting sqref="B199:K207">
    <cfRule type="cellIs" dxfId="1" priority="1" operator="greaterThan">
      <formula>15</formula>
    </cfRule>
  </conditionalFormatting>
  <pageMargins left="0.7" right="0.7" top="0.75" bottom="0.75" header="0.3" footer="0.3"/>
  <pageSetup orientation="portrait" r:id="rId1"/>
  <cellWatches>
    <cellWatch r="B93"/>
    <cellWatch r="B94"/>
  </cellWatche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91"/>
  <sheetViews>
    <sheetView zoomScale="85" zoomScaleNormal="85" workbookViewId="0">
      <pane ySplit="14" topLeftCell="A268" activePane="bottomLeft" state="frozen"/>
      <selection pane="bottomLeft" activeCell="B8" sqref="B8"/>
    </sheetView>
  </sheetViews>
  <sheetFormatPr defaultColWidth="9.125" defaultRowHeight="15" customHeight="1" outlineLevelRow="2"/>
  <cols>
    <col min="1" max="1" width="43.25" customWidth="1"/>
    <col min="2" max="2" width="12.75" style="190" customWidth="1"/>
    <col min="3" max="3" width="12.875" style="318" customWidth="1"/>
    <col min="4" max="11" width="12.875" style="190" customWidth="1"/>
    <col min="12" max="12" width="12.875" customWidth="1"/>
    <col min="13" max="13" width="4.5" style="330" customWidth="1"/>
    <col min="14" max="31" width="4.5" customWidth="1"/>
  </cols>
  <sheetData>
    <row r="1" spans="1:13" ht="30.75" customHeight="1" thickBot="1">
      <c r="A1" s="268" t="s">
        <v>623</v>
      </c>
      <c r="B1" s="190">
        <v>1</v>
      </c>
      <c r="C1" s="318">
        <v>1</v>
      </c>
      <c r="D1" s="190">
        <v>1</v>
      </c>
      <c r="F1" s="190">
        <v>1</v>
      </c>
      <c r="G1" s="190">
        <v>1</v>
      </c>
      <c r="H1" s="190">
        <v>1</v>
      </c>
      <c r="I1" s="190">
        <v>1</v>
      </c>
      <c r="J1" s="190">
        <v>1</v>
      </c>
      <c r="K1" s="190">
        <v>1</v>
      </c>
    </row>
    <row r="2" spans="1:13" ht="14.25">
      <c r="A2" t="s">
        <v>325</v>
      </c>
      <c r="B2" s="190">
        <f>B10*B12</f>
        <v>170.08703654305933</v>
      </c>
      <c r="C2" s="318">
        <f t="shared" ref="C2:K2" si="0">C10*C12</f>
        <v>34.028626478304993</v>
      </c>
      <c r="D2" s="190">
        <f t="shared" si="0"/>
        <v>102.08587943491499</v>
      </c>
      <c r="F2" s="190">
        <f t="shared" si="0"/>
        <v>238.20038534813494</v>
      </c>
      <c r="G2" s="190">
        <f t="shared" si="0"/>
        <v>340.28626478304994</v>
      </c>
      <c r="H2" s="190">
        <f t="shared" si="0"/>
        <v>510.42939717457489</v>
      </c>
      <c r="I2" s="190">
        <f t="shared" si="0"/>
        <v>680.57252956609989</v>
      </c>
      <c r="J2" s="190">
        <f t="shared" si="0"/>
        <v>1020.8587943491498</v>
      </c>
      <c r="K2" s="190">
        <f t="shared" si="0"/>
        <v>1701.4313239152498</v>
      </c>
    </row>
    <row r="3" spans="1:13" ht="14.25" outlineLevel="1">
      <c r="A3" t="s">
        <v>326</v>
      </c>
      <c r="B3" s="190">
        <f>B2*COS(RADIANS(B13))*COS(RADIANS(B14))</f>
        <v>164.29146131391354</v>
      </c>
      <c r="C3" s="318">
        <f t="shared" ref="C3:K3" si="1">C2*COS(RADIANS(C13))*COS(RADIANS(C14))</f>
        <v>34.028626478304993</v>
      </c>
      <c r="D3" s="190">
        <f t="shared" si="1"/>
        <v>102.08587943491499</v>
      </c>
      <c r="F3" s="190">
        <f t="shared" si="1"/>
        <v>238.20038534813494</v>
      </c>
      <c r="G3" s="190">
        <f t="shared" si="1"/>
        <v>340.28626478304994</v>
      </c>
      <c r="H3" s="190">
        <f t="shared" si="1"/>
        <v>510.42939717457489</v>
      </c>
      <c r="I3" s="190">
        <f t="shared" si="1"/>
        <v>680.57252956609989</v>
      </c>
      <c r="J3" s="190">
        <f t="shared" si="1"/>
        <v>1020.8587943491498</v>
      </c>
      <c r="K3" s="190">
        <f t="shared" si="1"/>
        <v>1701.4313239152498</v>
      </c>
    </row>
    <row r="4" spans="1:13" ht="14.25" outlineLevel="1">
      <c r="A4" t="s">
        <v>327</v>
      </c>
      <c r="B4" s="190">
        <f t="shared" ref="B4:K4" si="2">B2*SIN(RADIANS(B14))</f>
        <v>0</v>
      </c>
      <c r="C4" s="318">
        <f t="shared" si="2"/>
        <v>0</v>
      </c>
      <c r="D4" s="190">
        <f t="shared" si="2"/>
        <v>0</v>
      </c>
      <c r="F4" s="190">
        <f t="shared" si="2"/>
        <v>0</v>
      </c>
      <c r="G4" s="190">
        <f t="shared" si="2"/>
        <v>0</v>
      </c>
      <c r="H4" s="190">
        <f t="shared" si="2"/>
        <v>0</v>
      </c>
      <c r="I4" s="190">
        <f t="shared" si="2"/>
        <v>0</v>
      </c>
      <c r="J4" s="190">
        <f t="shared" si="2"/>
        <v>0</v>
      </c>
      <c r="K4" s="190">
        <f t="shared" si="2"/>
        <v>0</v>
      </c>
    </row>
    <row r="5" spans="1:13" ht="14.25" outlineLevel="1">
      <c r="A5" t="s">
        <v>328</v>
      </c>
      <c r="B5" s="190">
        <f t="shared" ref="B5:K5" si="3">B2*SIN(RADIANS(B13))*COS(RADIANS(B14))</f>
        <v>44.021764382392163</v>
      </c>
      <c r="C5" s="318">
        <f t="shared" si="3"/>
        <v>0</v>
      </c>
      <c r="D5" s="190">
        <f t="shared" si="3"/>
        <v>0</v>
      </c>
      <c r="F5" s="190">
        <f t="shared" si="3"/>
        <v>0</v>
      </c>
      <c r="G5" s="190">
        <f t="shared" si="3"/>
        <v>0</v>
      </c>
      <c r="H5" s="190">
        <f t="shared" si="3"/>
        <v>0</v>
      </c>
      <c r="I5" s="190">
        <f t="shared" si="3"/>
        <v>0</v>
      </c>
      <c r="J5" s="190">
        <f t="shared" si="3"/>
        <v>0</v>
      </c>
      <c r="K5" s="190">
        <f t="shared" si="3"/>
        <v>0</v>
      </c>
    </row>
    <row r="6" spans="1:13" ht="14.25" outlineLevel="1">
      <c r="A6" t="s">
        <v>334</v>
      </c>
      <c r="B6" s="190">
        <v>0</v>
      </c>
    </row>
    <row r="7" spans="1:13" ht="14.25" outlineLevel="1">
      <c r="A7" t="s">
        <v>345</v>
      </c>
      <c r="B7" s="190">
        <f>B34</f>
        <v>5.0265482457436689E-3</v>
      </c>
    </row>
    <row r="8" spans="1:13" ht="14.25" outlineLevel="1">
      <c r="A8" t="s">
        <v>612</v>
      </c>
      <c r="B8" s="190">
        <f>B33</f>
        <v>17706.008941658431</v>
      </c>
    </row>
    <row r="9" spans="1:13" ht="14.25" outlineLevel="1">
      <c r="A9" t="s">
        <v>613</v>
      </c>
      <c r="B9" s="190">
        <f>B545</f>
        <v>1.35</v>
      </c>
    </row>
    <row r="10" spans="1:13" s="283" customFormat="1">
      <c r="A10" s="283" t="s">
        <v>611</v>
      </c>
      <c r="B10" s="284">
        <v>0.5</v>
      </c>
      <c r="C10" s="319">
        <v>0.1</v>
      </c>
      <c r="D10" s="284">
        <v>0.3</v>
      </c>
      <c r="E10" s="284"/>
      <c r="F10" s="284">
        <v>0.7</v>
      </c>
      <c r="G10" s="284">
        <v>1</v>
      </c>
      <c r="H10" s="284">
        <v>1.5</v>
      </c>
      <c r="I10" s="284">
        <v>2</v>
      </c>
      <c r="J10" s="284">
        <v>3</v>
      </c>
      <c r="K10" s="284">
        <v>5</v>
      </c>
      <c r="M10" s="334"/>
    </row>
    <row r="11" spans="1:13" ht="14.25">
      <c r="A11" s="301" t="s">
        <v>329</v>
      </c>
      <c r="B11" s="281">
        <f>B2/B12</f>
        <v>0.5</v>
      </c>
      <c r="C11" s="320">
        <f>C2/C12</f>
        <v>9.9999999999999992E-2</v>
      </c>
      <c r="D11" s="281">
        <f t="shared" ref="D11:K11" si="4">D2/D12</f>
        <v>0.3</v>
      </c>
      <c r="E11" s="281"/>
      <c r="F11" s="281">
        <f t="shared" si="4"/>
        <v>0.7</v>
      </c>
      <c r="G11" s="281">
        <f t="shared" si="4"/>
        <v>1</v>
      </c>
      <c r="H11" s="281">
        <f t="shared" si="4"/>
        <v>1.5</v>
      </c>
      <c r="I11" s="281">
        <f t="shared" si="4"/>
        <v>2</v>
      </c>
      <c r="J11" s="281">
        <f t="shared" si="4"/>
        <v>3</v>
      </c>
      <c r="K11" s="281">
        <f t="shared" si="4"/>
        <v>5</v>
      </c>
    </row>
    <row r="12" spans="1:13" ht="14.25">
      <c r="A12" t="s">
        <v>483</v>
      </c>
      <c r="B12" s="190">
        <f>(SQRT(1.4*B21*287))</f>
        <v>340.17407308611865</v>
      </c>
      <c r="C12" s="318">
        <f t="shared" ref="C12:K12" si="5">(SQRT(1.4*C21*287))</f>
        <v>340.28626478304994</v>
      </c>
      <c r="D12" s="190">
        <f t="shared" si="5"/>
        <v>340.28626478304994</v>
      </c>
      <c r="F12" s="190">
        <f t="shared" si="5"/>
        <v>340.28626478304994</v>
      </c>
      <c r="G12" s="190">
        <f t="shared" si="5"/>
        <v>340.28626478304994</v>
      </c>
      <c r="H12" s="190">
        <f t="shared" si="5"/>
        <v>340.28626478304994</v>
      </c>
      <c r="I12" s="190">
        <f t="shared" si="5"/>
        <v>340.28626478304994</v>
      </c>
      <c r="J12" s="190">
        <f t="shared" si="5"/>
        <v>340.28626478304994</v>
      </c>
      <c r="K12" s="190">
        <f t="shared" si="5"/>
        <v>340.28626478304994</v>
      </c>
    </row>
    <row r="13" spans="1:13" s="283" customFormat="1">
      <c r="A13" s="377" t="s">
        <v>330</v>
      </c>
      <c r="B13" s="285">
        <v>15</v>
      </c>
      <c r="C13" s="321">
        <v>0</v>
      </c>
      <c r="D13" s="285">
        <v>0</v>
      </c>
      <c r="E13" s="285"/>
      <c r="F13" s="285">
        <v>0</v>
      </c>
      <c r="G13" s="285">
        <v>0</v>
      </c>
      <c r="H13" s="285">
        <v>0</v>
      </c>
      <c r="I13" s="285">
        <v>0</v>
      </c>
      <c r="J13" s="285">
        <v>0</v>
      </c>
      <c r="K13" s="285">
        <v>0</v>
      </c>
      <c r="M13" s="334"/>
    </row>
    <row r="14" spans="1:13">
      <c r="A14" s="266" t="s">
        <v>331</v>
      </c>
      <c r="B14" s="190">
        <v>0</v>
      </c>
      <c r="C14" s="318">
        <v>0</v>
      </c>
      <c r="D14" s="190">
        <v>0</v>
      </c>
      <c r="F14" s="190">
        <v>0</v>
      </c>
      <c r="G14" s="190">
        <v>0</v>
      </c>
      <c r="H14" s="190">
        <v>0</v>
      </c>
      <c r="I14" s="190">
        <v>0</v>
      </c>
      <c r="J14" s="190">
        <v>0</v>
      </c>
      <c r="K14" s="190">
        <v>0</v>
      </c>
    </row>
    <row r="15" spans="1:13" ht="14.25">
      <c r="A15" t="s">
        <v>332</v>
      </c>
      <c r="B15" s="190">
        <f t="shared" ref="B15:K15" si="6">RADIANS(AoAfins)</f>
        <v>0.26179938779914941</v>
      </c>
      <c r="C15" s="318">
        <f t="shared" si="6"/>
        <v>0.26179938779914941</v>
      </c>
      <c r="D15" s="190">
        <f t="shared" si="6"/>
        <v>0.26179938779914941</v>
      </c>
      <c r="F15" s="190">
        <f t="shared" si="6"/>
        <v>0.26179938779914941</v>
      </c>
      <c r="G15" s="190">
        <f t="shared" si="6"/>
        <v>0.26179938779914941</v>
      </c>
      <c r="H15" s="190">
        <f t="shared" si="6"/>
        <v>0.26179938779914941</v>
      </c>
      <c r="I15" s="190">
        <f t="shared" si="6"/>
        <v>0.26179938779914941</v>
      </c>
      <c r="J15" s="190">
        <f t="shared" si="6"/>
        <v>0.26179938779914941</v>
      </c>
      <c r="K15" s="190">
        <f t="shared" si="6"/>
        <v>0.26179938779914941</v>
      </c>
    </row>
    <row r="16" spans="1:13" ht="14.25">
      <c r="A16" t="s">
        <v>333</v>
      </c>
      <c r="B16" s="190">
        <f t="shared" ref="B16:K16" si="7">RADIANS(AoSfins)</f>
        <v>0</v>
      </c>
      <c r="C16" s="318">
        <f t="shared" si="7"/>
        <v>0</v>
      </c>
      <c r="D16" s="190">
        <f t="shared" si="7"/>
        <v>0</v>
      </c>
      <c r="F16" s="190">
        <f t="shared" si="7"/>
        <v>0</v>
      </c>
      <c r="G16" s="190">
        <f t="shared" si="7"/>
        <v>0</v>
      </c>
      <c r="H16" s="190">
        <f t="shared" si="7"/>
        <v>0</v>
      </c>
      <c r="I16" s="190">
        <f t="shared" si="7"/>
        <v>0</v>
      </c>
      <c r="J16" s="190">
        <f t="shared" si="7"/>
        <v>0</v>
      </c>
      <c r="K16" s="190">
        <f t="shared" si="7"/>
        <v>0</v>
      </c>
    </row>
    <row r="17" spans="1:11" thickBot="1">
      <c r="A17" t="s">
        <v>334</v>
      </c>
      <c r="B17" s="190">
        <f>B6</f>
        <v>0</v>
      </c>
      <c r="C17" s="318">
        <v>0</v>
      </c>
      <c r="D17" s="190">
        <v>0</v>
      </c>
      <c r="F17" s="190">
        <v>0</v>
      </c>
      <c r="G17" s="190">
        <v>0</v>
      </c>
      <c r="H17" s="190">
        <v>0</v>
      </c>
      <c r="I17" s="190">
        <v>0</v>
      </c>
      <c r="J17" s="190">
        <v>0</v>
      </c>
      <c r="K17" s="190">
        <v>0</v>
      </c>
    </row>
    <row r="18" spans="1:11" ht="15.75" thickBot="1">
      <c r="A18" s="267" t="s">
        <v>484</v>
      </c>
    </row>
    <row r="19" spans="1:11" ht="14.25" hidden="1" outlineLevel="1">
      <c r="A19" t="s">
        <v>346</v>
      </c>
      <c r="B19" s="190">
        <f>101325*(B21/288.08)^5.256</f>
        <v>101177.1939523339</v>
      </c>
      <c r="C19" s="318">
        <f t="shared" ref="C19:K19" si="8">101325*(C21/288.08)^5.256</f>
        <v>101528.51875418922</v>
      </c>
      <c r="D19" s="190">
        <f t="shared" si="8"/>
        <v>101528.51875418922</v>
      </c>
      <c r="F19" s="190">
        <f t="shared" si="8"/>
        <v>101528.51875418922</v>
      </c>
      <c r="G19" s="190">
        <f t="shared" si="8"/>
        <v>101528.51875418922</v>
      </c>
      <c r="H19" s="190">
        <f t="shared" si="8"/>
        <v>101528.51875418922</v>
      </c>
      <c r="I19" s="190">
        <f t="shared" si="8"/>
        <v>101528.51875418922</v>
      </c>
      <c r="J19" s="190">
        <f t="shared" si="8"/>
        <v>101528.51875418922</v>
      </c>
      <c r="K19" s="190">
        <f t="shared" si="8"/>
        <v>101528.51875418922</v>
      </c>
    </row>
    <row r="20" spans="1:11" ht="14.25" hidden="1" outlineLevel="1">
      <c r="A20" t="s">
        <v>335</v>
      </c>
      <c r="B20" s="190">
        <f t="shared" ref="B20:K20" si="9">B19/(287*B21)</f>
        <v>1.2240756140187512</v>
      </c>
      <c r="C20" s="318">
        <f t="shared" si="9"/>
        <v>1.2275162395185863</v>
      </c>
      <c r="D20" s="190">
        <f t="shared" si="9"/>
        <v>1.2275162395185863</v>
      </c>
      <c r="F20" s="190">
        <f t="shared" si="9"/>
        <v>1.2275162395185863</v>
      </c>
      <c r="G20" s="190">
        <f t="shared" si="9"/>
        <v>1.2275162395185863</v>
      </c>
      <c r="H20" s="190">
        <f t="shared" si="9"/>
        <v>1.2275162395185863</v>
      </c>
      <c r="I20" s="190">
        <f t="shared" si="9"/>
        <v>1.2275162395185863</v>
      </c>
      <c r="J20" s="190">
        <f t="shared" si="9"/>
        <v>1.2275162395185863</v>
      </c>
      <c r="K20" s="190">
        <f t="shared" si="9"/>
        <v>1.2275162395185863</v>
      </c>
    </row>
    <row r="21" spans="1:11" ht="14.25" hidden="1" outlineLevel="1">
      <c r="A21" t="s">
        <v>336</v>
      </c>
      <c r="B21" s="190">
        <f>(15-0.0065*B17)+273</f>
        <v>288</v>
      </c>
      <c r="C21" s="318">
        <f t="shared" ref="C21:K21" si="10">(15.04-0.0065*C17)+273.15</f>
        <v>288.19</v>
      </c>
      <c r="D21" s="190">
        <f t="shared" si="10"/>
        <v>288.19</v>
      </c>
      <c r="F21" s="190">
        <f t="shared" si="10"/>
        <v>288.19</v>
      </c>
      <c r="G21" s="190">
        <f t="shared" si="10"/>
        <v>288.19</v>
      </c>
      <c r="H21" s="190">
        <f t="shared" si="10"/>
        <v>288.19</v>
      </c>
      <c r="I21" s="190">
        <f t="shared" si="10"/>
        <v>288.19</v>
      </c>
      <c r="J21" s="190">
        <f t="shared" si="10"/>
        <v>288.19</v>
      </c>
      <c r="K21" s="190">
        <f t="shared" si="10"/>
        <v>288.19</v>
      </c>
    </row>
    <row r="22" spans="1:11" ht="14.25" hidden="1" outlineLevel="1">
      <c r="A22" t="s">
        <v>481</v>
      </c>
      <c r="B22" s="190">
        <f>B21-273</f>
        <v>15</v>
      </c>
      <c r="C22" s="318">
        <f t="shared" ref="C22:K22" si="11">C21-273</f>
        <v>15.189999999999998</v>
      </c>
      <c r="D22" s="190">
        <f t="shared" si="11"/>
        <v>15.189999999999998</v>
      </c>
      <c r="F22" s="190">
        <f t="shared" si="11"/>
        <v>15.189999999999998</v>
      </c>
      <c r="G22" s="190">
        <f t="shared" si="11"/>
        <v>15.189999999999998</v>
      </c>
      <c r="H22" s="190">
        <f t="shared" si="11"/>
        <v>15.189999999999998</v>
      </c>
      <c r="I22" s="190">
        <f t="shared" si="11"/>
        <v>15.189999999999998</v>
      </c>
      <c r="J22" s="190">
        <f t="shared" si="11"/>
        <v>15.189999999999998</v>
      </c>
      <c r="K22" s="190">
        <f t="shared" si="11"/>
        <v>15.189999999999998</v>
      </c>
    </row>
    <row r="23" spans="1:11" ht="14.25" hidden="1" outlineLevel="1">
      <c r="A23" t="s">
        <v>337</v>
      </c>
      <c r="B23" s="185">
        <f>(1.76*10^-5)*((B21/273)^(3/2))*((273+110)/(B21+110))</f>
        <v>1.8351566035015911E-5</v>
      </c>
      <c r="C23" s="322">
        <f t="shared" ref="C23:K23" si="12">(1.76*10^-5)*((C21/273)^(3/2))*((273+110)/(C21+110))</f>
        <v>1.8360964149388051E-5</v>
      </c>
      <c r="D23" s="185">
        <f t="shared" si="12"/>
        <v>1.8360964149388051E-5</v>
      </c>
      <c r="E23" s="185"/>
      <c r="F23" s="185">
        <f t="shared" si="12"/>
        <v>1.8360964149388051E-5</v>
      </c>
      <c r="G23" s="185">
        <f t="shared" si="12"/>
        <v>1.8360964149388051E-5</v>
      </c>
      <c r="H23" s="185">
        <f t="shared" si="12"/>
        <v>1.8360964149388051E-5</v>
      </c>
      <c r="I23" s="185">
        <f t="shared" si="12"/>
        <v>1.8360964149388051E-5</v>
      </c>
      <c r="J23" s="185">
        <f t="shared" si="12"/>
        <v>1.8360964149388051E-5</v>
      </c>
      <c r="K23" s="185">
        <f t="shared" si="12"/>
        <v>1.8360964149388051E-5</v>
      </c>
    </row>
    <row r="24" spans="1:11" ht="14.25" hidden="1" outlineLevel="1">
      <c r="A24" t="s">
        <v>338</v>
      </c>
      <c r="B24" s="185">
        <f t="shared" ref="B24:K24" si="13">B23/B20</f>
        <v>1.4992183346228143E-5</v>
      </c>
      <c r="C24" s="322">
        <f t="shared" si="13"/>
        <v>1.4957817712121631E-5</v>
      </c>
      <c r="D24" s="185">
        <f t="shared" si="13"/>
        <v>1.4957817712121631E-5</v>
      </c>
      <c r="E24" s="185"/>
      <c r="F24" s="185">
        <f t="shared" si="13"/>
        <v>1.4957817712121631E-5</v>
      </c>
      <c r="G24" s="185">
        <f t="shared" si="13"/>
        <v>1.4957817712121631E-5</v>
      </c>
      <c r="H24" s="185">
        <f t="shared" si="13"/>
        <v>1.4957817712121631E-5</v>
      </c>
      <c r="I24" s="185">
        <f t="shared" si="13"/>
        <v>1.4957817712121631E-5</v>
      </c>
      <c r="J24" s="185">
        <f t="shared" si="13"/>
        <v>1.4957817712121631E-5</v>
      </c>
      <c r="K24" s="185">
        <f t="shared" si="13"/>
        <v>1.4957817712121631E-5</v>
      </c>
    </row>
    <row r="25" spans="1:11" ht="14.25" hidden="1" outlineLevel="1">
      <c r="A25" t="s">
        <v>339</v>
      </c>
      <c r="B25" s="190">
        <v>9</v>
      </c>
      <c r="C25" s="318">
        <v>9</v>
      </c>
      <c r="D25" s="190">
        <v>9</v>
      </c>
      <c r="F25" s="190">
        <v>9</v>
      </c>
      <c r="G25" s="190">
        <v>9</v>
      </c>
      <c r="H25" s="190">
        <v>9</v>
      </c>
      <c r="I25" s="190">
        <v>9</v>
      </c>
      <c r="J25" s="190">
        <v>9</v>
      </c>
      <c r="K25" s="190">
        <v>9</v>
      </c>
    </row>
    <row r="26" spans="1:11" ht="14.25" hidden="1" outlineLevel="1">
      <c r="A26" t="s">
        <v>347</v>
      </c>
    </row>
    <row r="27" spans="1:11" ht="14.25" hidden="1" outlineLevel="1">
      <c r="A27" t="s">
        <v>348</v>
      </c>
    </row>
    <row r="28" spans="1:11" ht="14.25" hidden="1" outlineLevel="1">
      <c r="A28" t="s">
        <v>349</v>
      </c>
    </row>
    <row r="29" spans="1:11" ht="14.25" hidden="1" outlineLevel="1">
      <c r="A29" t="s">
        <v>340</v>
      </c>
      <c r="B29" s="190">
        <f t="shared" ref="B29:K29" si="14">DEGREES(ATAN((B5+B25)/B3))</f>
        <v>17.886441140114158</v>
      </c>
      <c r="C29" s="318">
        <f t="shared" si="14"/>
        <v>14.814555975479079</v>
      </c>
      <c r="D29" s="190">
        <f t="shared" si="14"/>
        <v>5.0382309646817349</v>
      </c>
      <c r="F29" s="190">
        <f t="shared" si="14"/>
        <v>2.1637951681161911</v>
      </c>
      <c r="G29" s="190">
        <f t="shared" si="14"/>
        <v>1.5150239133225982</v>
      </c>
      <c r="H29" s="190">
        <f t="shared" si="14"/>
        <v>1.0101467304454064</v>
      </c>
      <c r="I29" s="190">
        <f t="shared" si="14"/>
        <v>0.75764439054895982</v>
      </c>
      <c r="J29" s="190">
        <f t="shared" si="14"/>
        <v>0.505112616327407</v>
      </c>
      <c r="K29" s="190">
        <f t="shared" si="14"/>
        <v>0.30307259479063259</v>
      </c>
    </row>
    <row r="30" spans="1:11" ht="14.25" hidden="1" outlineLevel="1">
      <c r="A30" t="s">
        <v>341</v>
      </c>
      <c r="B30" s="190">
        <f t="shared" ref="B30:K30" si="15">DEGREES(ATAN((B4+B25)/B3))</f>
        <v>3.1355684427654356</v>
      </c>
      <c r="C30" s="318">
        <f t="shared" si="15"/>
        <v>14.814555975479079</v>
      </c>
      <c r="D30" s="190">
        <f t="shared" si="15"/>
        <v>5.0382309646817349</v>
      </c>
      <c r="F30" s="190">
        <f t="shared" si="15"/>
        <v>2.1637951681161911</v>
      </c>
      <c r="G30" s="190">
        <f t="shared" si="15"/>
        <v>1.5150239133225982</v>
      </c>
      <c r="H30" s="190">
        <f t="shared" si="15"/>
        <v>1.0101467304454064</v>
      </c>
      <c r="I30" s="190">
        <f t="shared" si="15"/>
        <v>0.75764439054895982</v>
      </c>
      <c r="J30" s="190">
        <f t="shared" si="15"/>
        <v>0.505112616327407</v>
      </c>
      <c r="K30" s="190">
        <f t="shared" si="15"/>
        <v>0.30307259479063259</v>
      </c>
    </row>
    <row r="31" spans="1:11" ht="14.25" hidden="1" outlineLevel="1">
      <c r="A31" t="s">
        <v>342</v>
      </c>
      <c r="B31" s="190">
        <f t="shared" ref="B31:K32" si="16">RADIANS(B29)</f>
        <v>0.31217728935916045</v>
      </c>
      <c r="C31" s="318">
        <f t="shared" si="16"/>
        <v>0.25856277899311025</v>
      </c>
      <c r="D31" s="190">
        <f t="shared" si="16"/>
        <v>8.7933718809626416E-2</v>
      </c>
      <c r="F31" s="190">
        <f t="shared" si="16"/>
        <v>3.776535002237176E-2</v>
      </c>
      <c r="G31" s="190">
        <f t="shared" si="16"/>
        <v>2.6442155533928525E-2</v>
      </c>
      <c r="H31" s="190">
        <f t="shared" si="16"/>
        <v>1.7630386374527986E-2</v>
      </c>
      <c r="I31" s="190">
        <f t="shared" si="16"/>
        <v>1.3223389174345157E-2</v>
      </c>
      <c r="J31" s="190">
        <f t="shared" si="16"/>
        <v>8.8158782482761211E-3</v>
      </c>
      <c r="K31" s="190">
        <f t="shared" si="16"/>
        <v>5.2896146516591535E-3</v>
      </c>
    </row>
    <row r="32" spans="1:11" ht="14.25" hidden="1" outlineLevel="1">
      <c r="A32" t="s">
        <v>343</v>
      </c>
      <c r="B32" s="190">
        <f t="shared" si="16"/>
        <v>5.4725993247888224E-2</v>
      </c>
      <c r="C32" s="318">
        <f t="shared" si="16"/>
        <v>0.25856277899311025</v>
      </c>
      <c r="D32" s="190">
        <f t="shared" si="16"/>
        <v>8.7933718809626416E-2</v>
      </c>
      <c r="F32" s="190">
        <f t="shared" si="16"/>
        <v>3.776535002237176E-2</v>
      </c>
      <c r="G32" s="190">
        <f t="shared" si="16"/>
        <v>2.6442155533928525E-2</v>
      </c>
      <c r="H32" s="190">
        <f t="shared" si="16"/>
        <v>1.7630386374527986E-2</v>
      </c>
      <c r="I32" s="190">
        <f t="shared" si="16"/>
        <v>1.3223389174345157E-2</v>
      </c>
      <c r="J32" s="190">
        <f t="shared" si="16"/>
        <v>8.8158782482761211E-3</v>
      </c>
      <c r="K32" s="190">
        <f t="shared" si="16"/>
        <v>5.2896146516591535E-3</v>
      </c>
    </row>
    <row r="33" spans="1:13" ht="14.25" hidden="1" outlineLevel="1">
      <c r="A33" t="s">
        <v>344</v>
      </c>
      <c r="B33" s="190">
        <f t="shared" ref="B33:K33" si="17">0.5*B20*B2^2</f>
        <v>17706.008941658431</v>
      </c>
      <c r="C33" s="318">
        <f t="shared" si="17"/>
        <v>710.69963127932442</v>
      </c>
      <c r="D33" s="190">
        <f t="shared" si="17"/>
        <v>6396.2966815139198</v>
      </c>
      <c r="F33" s="190">
        <f t="shared" si="17"/>
        <v>34824.281932686892</v>
      </c>
      <c r="G33" s="190">
        <f t="shared" si="17"/>
        <v>71069.963127932439</v>
      </c>
      <c r="H33" s="190">
        <f t="shared" si="17"/>
        <v>159907.41703784798</v>
      </c>
      <c r="I33" s="190">
        <f t="shared" si="17"/>
        <v>284279.85251172975</v>
      </c>
      <c r="J33" s="190">
        <f t="shared" si="17"/>
        <v>639629.6681513919</v>
      </c>
      <c r="K33" s="190">
        <f t="shared" si="17"/>
        <v>1776749.0781983112</v>
      </c>
    </row>
    <row r="34" spans="1:13" ht="14.25" hidden="1" outlineLevel="1">
      <c r="A34" t="s">
        <v>345</v>
      </c>
      <c r="B34" s="190">
        <f t="shared" ref="B34:K34" si="18">CrossSecAreaRocket</f>
        <v>5.0265482457436689E-3</v>
      </c>
      <c r="C34" s="318">
        <f t="shared" si="18"/>
        <v>5.0265482457436689E-3</v>
      </c>
      <c r="D34" s="190">
        <f t="shared" si="18"/>
        <v>5.0265482457436689E-3</v>
      </c>
      <c r="F34" s="190">
        <f t="shared" si="18"/>
        <v>5.0265482457436689E-3</v>
      </c>
      <c r="G34" s="190">
        <f t="shared" si="18"/>
        <v>5.0265482457436689E-3</v>
      </c>
      <c r="H34" s="190">
        <f t="shared" si="18"/>
        <v>5.0265482457436689E-3</v>
      </c>
      <c r="I34" s="190">
        <f t="shared" si="18"/>
        <v>5.0265482457436689E-3</v>
      </c>
      <c r="J34" s="190">
        <f t="shared" si="18"/>
        <v>5.0265482457436689E-3</v>
      </c>
      <c r="K34" s="190">
        <f t="shared" si="18"/>
        <v>5.0265482457436689E-3</v>
      </c>
    </row>
    <row r="35" spans="1:13" ht="15" customHeight="1" collapsed="1"/>
    <row r="36" spans="1:13" s="96" customFormat="1" ht="15" customHeight="1">
      <c r="A36" s="317" t="s">
        <v>610</v>
      </c>
      <c r="B36" s="316"/>
      <c r="C36" s="323"/>
      <c r="D36" s="316"/>
      <c r="E36" s="316"/>
      <c r="F36" s="316"/>
      <c r="G36" s="316"/>
      <c r="H36" s="316"/>
      <c r="I36" s="316"/>
      <c r="J36" s="316"/>
      <c r="K36" s="316"/>
      <c r="M36" s="335"/>
    </row>
    <row r="38" spans="1:13" ht="15.75" hidden="1" outlineLevel="1" thickBot="1">
      <c r="A38" s="267" t="s">
        <v>350</v>
      </c>
    </row>
    <row r="39" spans="1:13" ht="14.25" hidden="1" outlineLevel="2">
      <c r="A39" t="s">
        <v>351</v>
      </c>
      <c r="B39" s="190">
        <f t="shared" ref="B39:K39" si="19">DiameterRocket</f>
        <v>8</v>
      </c>
      <c r="C39" s="318">
        <f t="shared" si="19"/>
        <v>8</v>
      </c>
      <c r="D39" s="190">
        <f t="shared" si="19"/>
        <v>8</v>
      </c>
      <c r="F39" s="190">
        <f t="shared" si="19"/>
        <v>8</v>
      </c>
      <c r="G39" s="190">
        <f t="shared" si="19"/>
        <v>8</v>
      </c>
      <c r="H39" s="190">
        <f t="shared" si="19"/>
        <v>8</v>
      </c>
      <c r="I39" s="190">
        <f t="shared" si="19"/>
        <v>8</v>
      </c>
      <c r="J39" s="190">
        <f t="shared" si="19"/>
        <v>8</v>
      </c>
      <c r="K39" s="190">
        <f t="shared" si="19"/>
        <v>8</v>
      </c>
    </row>
    <row r="40" spans="1:13" ht="14.25" hidden="1" outlineLevel="2">
      <c r="A40" t="s">
        <v>352</v>
      </c>
      <c r="B40" s="190">
        <f t="shared" ref="B40:K40" si="20">B39/100</f>
        <v>0.08</v>
      </c>
      <c r="C40" s="318">
        <f t="shared" si="20"/>
        <v>0.08</v>
      </c>
      <c r="D40" s="190">
        <f t="shared" si="20"/>
        <v>0.08</v>
      </c>
      <c r="F40" s="190">
        <f t="shared" si="20"/>
        <v>0.08</v>
      </c>
      <c r="G40" s="190">
        <f t="shared" si="20"/>
        <v>0.08</v>
      </c>
      <c r="H40" s="190">
        <f t="shared" si="20"/>
        <v>0.08</v>
      </c>
      <c r="I40" s="190">
        <f t="shared" si="20"/>
        <v>0.08</v>
      </c>
      <c r="J40" s="190">
        <f t="shared" si="20"/>
        <v>0.08</v>
      </c>
      <c r="K40" s="190">
        <f t="shared" si="20"/>
        <v>0.08</v>
      </c>
    </row>
    <row r="41" spans="1:13" ht="14.25" hidden="1" outlineLevel="2">
      <c r="A41" t="s">
        <v>353</v>
      </c>
      <c r="B41" s="260">
        <f t="shared" ref="B41:K41" si="21">((B45-B43)/(-B53))*(B53+B39/2)+B45</f>
        <v>16.333333333333332</v>
      </c>
      <c r="C41" s="324">
        <f t="shared" si="21"/>
        <v>16.333333333333332</v>
      </c>
      <c r="D41" s="260">
        <f t="shared" si="21"/>
        <v>16.333333333333332</v>
      </c>
      <c r="E41" s="260"/>
      <c r="F41" s="260">
        <f t="shared" si="21"/>
        <v>16.333333333333332</v>
      </c>
      <c r="G41" s="260">
        <f t="shared" si="21"/>
        <v>16.333333333333332</v>
      </c>
      <c r="H41" s="260">
        <f t="shared" si="21"/>
        <v>16.333333333333332</v>
      </c>
      <c r="I41" s="260">
        <f t="shared" si="21"/>
        <v>16.333333333333332</v>
      </c>
      <c r="J41" s="260">
        <f t="shared" si="21"/>
        <v>16.333333333333332</v>
      </c>
      <c r="K41" s="260">
        <f t="shared" si="21"/>
        <v>16.333333333333332</v>
      </c>
    </row>
    <row r="42" spans="1:13" ht="14.25" hidden="1" outlineLevel="2">
      <c r="A42" t="s">
        <v>354</v>
      </c>
      <c r="B42" s="190">
        <f t="shared" ref="B42:K42" si="22">B41/100</f>
        <v>0.16333333333333333</v>
      </c>
      <c r="C42" s="318">
        <f t="shared" si="22"/>
        <v>0.16333333333333333</v>
      </c>
      <c r="D42" s="190">
        <f t="shared" si="22"/>
        <v>0.16333333333333333</v>
      </c>
      <c r="F42" s="190">
        <f t="shared" si="22"/>
        <v>0.16333333333333333</v>
      </c>
      <c r="G42" s="190">
        <f t="shared" si="22"/>
        <v>0.16333333333333333</v>
      </c>
      <c r="H42" s="190">
        <f t="shared" si="22"/>
        <v>0.16333333333333333</v>
      </c>
      <c r="I42" s="190">
        <f t="shared" si="22"/>
        <v>0.16333333333333333</v>
      </c>
      <c r="J42" s="190">
        <f t="shared" si="22"/>
        <v>0.16333333333333333</v>
      </c>
      <c r="K42" s="190">
        <f t="shared" si="22"/>
        <v>0.16333333333333333</v>
      </c>
    </row>
    <row r="43" spans="1:13" hidden="1" outlineLevel="2">
      <c r="A43" s="265" t="s">
        <v>355</v>
      </c>
      <c r="B43" s="190">
        <v>15</v>
      </c>
      <c r="C43" s="318">
        <v>15</v>
      </c>
      <c r="D43" s="190">
        <v>15</v>
      </c>
      <c r="F43" s="190">
        <v>15</v>
      </c>
      <c r="G43" s="190">
        <v>15</v>
      </c>
      <c r="H43" s="190">
        <v>15</v>
      </c>
      <c r="I43" s="190">
        <v>15</v>
      </c>
      <c r="J43" s="190">
        <v>15</v>
      </c>
      <c r="K43" s="190">
        <v>15</v>
      </c>
    </row>
    <row r="44" spans="1:13" ht="14.25" hidden="1" outlineLevel="2">
      <c r="A44" t="s">
        <v>352</v>
      </c>
      <c r="B44" s="190">
        <f t="shared" ref="B44:K44" si="23">B43/100</f>
        <v>0.15</v>
      </c>
      <c r="C44" s="318">
        <f t="shared" si="23"/>
        <v>0.15</v>
      </c>
      <c r="D44" s="190">
        <f t="shared" si="23"/>
        <v>0.15</v>
      </c>
      <c r="F44" s="190">
        <f t="shared" si="23"/>
        <v>0.15</v>
      </c>
      <c r="G44" s="190">
        <f t="shared" si="23"/>
        <v>0.15</v>
      </c>
      <c r="H44" s="190">
        <f t="shared" si="23"/>
        <v>0.15</v>
      </c>
      <c r="I44" s="190">
        <f t="shared" si="23"/>
        <v>0.15</v>
      </c>
      <c r="J44" s="190">
        <f t="shared" si="23"/>
        <v>0.15</v>
      </c>
      <c r="K44" s="190">
        <f t="shared" si="23"/>
        <v>0.15</v>
      </c>
    </row>
    <row r="45" spans="1:13" hidden="1" outlineLevel="2">
      <c r="A45" s="265" t="s">
        <v>356</v>
      </c>
      <c r="B45" s="190">
        <v>10</v>
      </c>
      <c r="C45" s="318">
        <v>10</v>
      </c>
      <c r="D45" s="190">
        <v>10</v>
      </c>
      <c r="F45" s="190">
        <v>10</v>
      </c>
      <c r="G45" s="190">
        <v>10</v>
      </c>
      <c r="H45" s="190">
        <v>10</v>
      </c>
      <c r="I45" s="190">
        <v>10</v>
      </c>
      <c r="J45" s="190">
        <v>10</v>
      </c>
      <c r="K45" s="190">
        <v>10</v>
      </c>
    </row>
    <row r="46" spans="1:13" ht="14.25" hidden="1" outlineLevel="2">
      <c r="A46" t="s">
        <v>352</v>
      </c>
      <c r="B46" s="190">
        <f t="shared" ref="B46:K46" si="24">B45/100</f>
        <v>0.1</v>
      </c>
      <c r="C46" s="318">
        <f t="shared" si="24"/>
        <v>0.1</v>
      </c>
      <c r="D46" s="190">
        <f t="shared" si="24"/>
        <v>0.1</v>
      </c>
      <c r="F46" s="190">
        <f t="shared" si="24"/>
        <v>0.1</v>
      </c>
      <c r="G46" s="190">
        <f t="shared" si="24"/>
        <v>0.1</v>
      </c>
      <c r="H46" s="190">
        <f t="shared" si="24"/>
        <v>0.1</v>
      </c>
      <c r="I46" s="190">
        <f t="shared" si="24"/>
        <v>0.1</v>
      </c>
      <c r="J46" s="190">
        <f t="shared" si="24"/>
        <v>0.1</v>
      </c>
      <c r="K46" s="190">
        <f t="shared" si="24"/>
        <v>0.1</v>
      </c>
    </row>
    <row r="47" spans="1:13" hidden="1" outlineLevel="2">
      <c r="A47" s="265" t="s">
        <v>357</v>
      </c>
      <c r="B47" s="190">
        <v>2</v>
      </c>
      <c r="C47" s="318">
        <v>2</v>
      </c>
      <c r="D47" s="190">
        <v>2</v>
      </c>
      <c r="F47" s="190">
        <v>2</v>
      </c>
      <c r="G47" s="190">
        <v>2</v>
      </c>
      <c r="H47" s="190">
        <v>2</v>
      </c>
      <c r="I47" s="190">
        <v>2</v>
      </c>
      <c r="J47" s="190">
        <v>2</v>
      </c>
      <c r="K47" s="190">
        <v>2</v>
      </c>
    </row>
    <row r="48" spans="1:13" ht="14.25" hidden="1" outlineLevel="2">
      <c r="A48" t="s">
        <v>352</v>
      </c>
      <c r="B48" s="190">
        <f t="shared" ref="B48:K48" si="25">B47/100</f>
        <v>0.02</v>
      </c>
      <c r="C48" s="318">
        <f t="shared" si="25"/>
        <v>0.02</v>
      </c>
      <c r="D48" s="190">
        <f t="shared" si="25"/>
        <v>0.02</v>
      </c>
      <c r="F48" s="190">
        <f t="shared" si="25"/>
        <v>0.02</v>
      </c>
      <c r="G48" s="190">
        <f t="shared" si="25"/>
        <v>0.02</v>
      </c>
      <c r="H48" s="190">
        <f t="shared" si="25"/>
        <v>0.02</v>
      </c>
      <c r="I48" s="190">
        <f t="shared" si="25"/>
        <v>0.02</v>
      </c>
      <c r="J48" s="190">
        <f t="shared" si="25"/>
        <v>0.02</v>
      </c>
      <c r="K48" s="190">
        <f t="shared" si="25"/>
        <v>0.02</v>
      </c>
    </row>
    <row r="49" spans="1:11" hidden="1" outlineLevel="2">
      <c r="A49" s="265" t="s">
        <v>358</v>
      </c>
      <c r="B49" s="190">
        <v>45</v>
      </c>
      <c r="C49" s="318">
        <v>45</v>
      </c>
      <c r="D49" s="190">
        <v>45</v>
      </c>
      <c r="F49" s="190">
        <v>45</v>
      </c>
      <c r="G49" s="190">
        <v>45</v>
      </c>
      <c r="H49" s="190">
        <v>45</v>
      </c>
      <c r="I49" s="190">
        <v>45</v>
      </c>
      <c r="J49" s="190">
        <v>45</v>
      </c>
      <c r="K49" s="190">
        <v>45</v>
      </c>
    </row>
    <row r="50" spans="1:11" ht="14.25" hidden="1" outlineLevel="2">
      <c r="A50" t="s">
        <v>359</v>
      </c>
      <c r="B50" s="190">
        <f t="shared" ref="B50:K50" si="26">B45/B43</f>
        <v>0.66666666666666663</v>
      </c>
      <c r="C50" s="318">
        <f t="shared" si="26"/>
        <v>0.66666666666666663</v>
      </c>
      <c r="D50" s="190">
        <f t="shared" si="26"/>
        <v>0.66666666666666663</v>
      </c>
      <c r="F50" s="190">
        <f t="shared" si="26"/>
        <v>0.66666666666666663</v>
      </c>
      <c r="G50" s="190">
        <f t="shared" si="26"/>
        <v>0.66666666666666663</v>
      </c>
      <c r="H50" s="190">
        <f t="shared" si="26"/>
        <v>0.66666666666666663</v>
      </c>
      <c r="I50" s="190">
        <f t="shared" si="26"/>
        <v>0.66666666666666663</v>
      </c>
      <c r="J50" s="190">
        <f t="shared" si="26"/>
        <v>0.66666666666666663</v>
      </c>
      <c r="K50" s="190">
        <f t="shared" si="26"/>
        <v>0.66666666666666663</v>
      </c>
    </row>
    <row r="51" spans="1:11" ht="14.25" hidden="1" outlineLevel="2">
      <c r="A51" t="s">
        <v>360</v>
      </c>
      <c r="B51" s="190">
        <f t="shared" ref="B51:K51" si="27">B53+B39/2</f>
        <v>19</v>
      </c>
      <c r="C51" s="318">
        <f t="shared" si="27"/>
        <v>19</v>
      </c>
      <c r="D51" s="190">
        <f t="shared" si="27"/>
        <v>19</v>
      </c>
      <c r="F51" s="190">
        <f t="shared" si="27"/>
        <v>19</v>
      </c>
      <c r="G51" s="190">
        <f t="shared" si="27"/>
        <v>19</v>
      </c>
      <c r="H51" s="190">
        <f t="shared" si="27"/>
        <v>19</v>
      </c>
      <c r="I51" s="190">
        <f t="shared" si="27"/>
        <v>19</v>
      </c>
      <c r="J51" s="190">
        <f t="shared" si="27"/>
        <v>19</v>
      </c>
      <c r="K51" s="190">
        <f t="shared" si="27"/>
        <v>19</v>
      </c>
    </row>
    <row r="52" spans="1:11" ht="14.25" hidden="1" outlineLevel="2">
      <c r="A52" t="s">
        <v>352</v>
      </c>
      <c r="B52" s="190">
        <f t="shared" ref="B52:K52" si="28">B51/100</f>
        <v>0.19</v>
      </c>
      <c r="C52" s="318">
        <f t="shared" si="28"/>
        <v>0.19</v>
      </c>
      <c r="D52" s="190">
        <f t="shared" si="28"/>
        <v>0.19</v>
      </c>
      <c r="F52" s="190">
        <f t="shared" si="28"/>
        <v>0.19</v>
      </c>
      <c r="G52" s="190">
        <f t="shared" si="28"/>
        <v>0.19</v>
      </c>
      <c r="H52" s="190">
        <f t="shared" si="28"/>
        <v>0.19</v>
      </c>
      <c r="I52" s="190">
        <f t="shared" si="28"/>
        <v>0.19</v>
      </c>
      <c r="J52" s="190">
        <f t="shared" si="28"/>
        <v>0.19</v>
      </c>
      <c r="K52" s="190">
        <f t="shared" si="28"/>
        <v>0.19</v>
      </c>
    </row>
    <row r="53" spans="1:11" hidden="1" outlineLevel="2">
      <c r="A53" s="265" t="s">
        <v>361</v>
      </c>
      <c r="B53" s="190">
        <v>15</v>
      </c>
      <c r="C53" s="318">
        <v>15</v>
      </c>
      <c r="D53" s="190">
        <v>15</v>
      </c>
      <c r="F53" s="190">
        <v>15</v>
      </c>
      <c r="G53" s="190">
        <v>15</v>
      </c>
      <c r="H53" s="190">
        <v>15</v>
      </c>
      <c r="I53" s="190">
        <v>15</v>
      </c>
      <c r="J53" s="190">
        <v>15</v>
      </c>
      <c r="K53" s="190">
        <v>15</v>
      </c>
    </row>
    <row r="54" spans="1:11" ht="14.25" hidden="1" outlineLevel="2">
      <c r="A54" t="s">
        <v>354</v>
      </c>
      <c r="B54" s="190">
        <f t="shared" ref="B54:K54" si="29">B53/100</f>
        <v>0.15</v>
      </c>
      <c r="C54" s="318">
        <f t="shared" si="29"/>
        <v>0.15</v>
      </c>
      <c r="D54" s="190">
        <f t="shared" si="29"/>
        <v>0.15</v>
      </c>
      <c r="F54" s="190">
        <f t="shared" si="29"/>
        <v>0.15</v>
      </c>
      <c r="G54" s="190">
        <f t="shared" si="29"/>
        <v>0.15</v>
      </c>
      <c r="H54" s="190">
        <f t="shared" si="29"/>
        <v>0.15</v>
      </c>
      <c r="I54" s="190">
        <f t="shared" si="29"/>
        <v>0.15</v>
      </c>
      <c r="J54" s="190">
        <f t="shared" si="29"/>
        <v>0.15</v>
      </c>
      <c r="K54" s="190">
        <f t="shared" si="29"/>
        <v>0.15</v>
      </c>
    </row>
    <row r="55" spans="1:11" ht="14.25" hidden="1" outlineLevel="2">
      <c r="A55" t="s">
        <v>362</v>
      </c>
      <c r="B55" s="190">
        <f>(B46+B42)*B52/2</f>
        <v>2.5016666666666666E-2</v>
      </c>
      <c r="C55" s="318">
        <f t="shared" ref="C55:K55" si="30">(C46+C42)*C52/2</f>
        <v>2.5016666666666666E-2</v>
      </c>
      <c r="D55" s="190">
        <f t="shared" si="30"/>
        <v>2.5016666666666666E-2</v>
      </c>
      <c r="F55" s="190">
        <f t="shared" si="30"/>
        <v>2.5016666666666666E-2</v>
      </c>
      <c r="G55" s="190">
        <f t="shared" si="30"/>
        <v>2.5016666666666666E-2</v>
      </c>
      <c r="H55" s="190">
        <f t="shared" si="30"/>
        <v>2.5016666666666666E-2</v>
      </c>
      <c r="I55" s="190">
        <f t="shared" si="30"/>
        <v>2.5016666666666666E-2</v>
      </c>
      <c r="J55" s="190">
        <f t="shared" si="30"/>
        <v>2.5016666666666666E-2</v>
      </c>
      <c r="K55" s="190">
        <f t="shared" si="30"/>
        <v>2.5016666666666666E-2</v>
      </c>
    </row>
    <row r="56" spans="1:11" ht="14.25" hidden="1" outlineLevel="2">
      <c r="A56" t="s">
        <v>363</v>
      </c>
      <c r="B56" s="190">
        <f t="shared" ref="B56:K56" si="31">(B44+B46)*B54/2</f>
        <v>1.8749999999999999E-2</v>
      </c>
      <c r="C56" s="318">
        <f t="shared" si="31"/>
        <v>1.8749999999999999E-2</v>
      </c>
      <c r="D56" s="190">
        <f t="shared" si="31"/>
        <v>1.8749999999999999E-2</v>
      </c>
      <c r="F56" s="190">
        <f t="shared" si="31"/>
        <v>1.8749999999999999E-2</v>
      </c>
      <c r="G56" s="190">
        <f t="shared" si="31"/>
        <v>1.8749999999999999E-2</v>
      </c>
      <c r="H56" s="190">
        <f t="shared" si="31"/>
        <v>1.8749999999999999E-2</v>
      </c>
      <c r="I56" s="190">
        <f t="shared" si="31"/>
        <v>1.8749999999999999E-2</v>
      </c>
      <c r="J56" s="190">
        <f t="shared" si="31"/>
        <v>1.8749999999999999E-2</v>
      </c>
      <c r="K56" s="190">
        <f t="shared" si="31"/>
        <v>1.8749999999999999E-2</v>
      </c>
    </row>
    <row r="57" spans="1:11" ht="14.25" hidden="1" outlineLevel="2">
      <c r="A57" t="s">
        <v>364</v>
      </c>
      <c r="B57" s="260">
        <f>((B52+B52)^2)/(B55+B55)</f>
        <v>2.8860759493670889</v>
      </c>
      <c r="C57" s="324">
        <f t="shared" ref="C57:K57" si="32">((C52+C52)^2)/(C55+C55)</f>
        <v>2.8860759493670889</v>
      </c>
      <c r="D57" s="260">
        <f t="shared" si="32"/>
        <v>2.8860759493670889</v>
      </c>
      <c r="E57" s="260"/>
      <c r="F57" s="260">
        <f t="shared" si="32"/>
        <v>2.8860759493670889</v>
      </c>
      <c r="G57" s="260">
        <f t="shared" si="32"/>
        <v>2.8860759493670889</v>
      </c>
      <c r="H57" s="260">
        <f t="shared" si="32"/>
        <v>2.8860759493670889</v>
      </c>
      <c r="I57" s="260">
        <f t="shared" si="32"/>
        <v>2.8860759493670889</v>
      </c>
      <c r="J57" s="260">
        <f t="shared" si="32"/>
        <v>2.8860759493670889</v>
      </c>
      <c r="K57" s="260">
        <f t="shared" si="32"/>
        <v>2.8860759493670889</v>
      </c>
    </row>
    <row r="58" spans="1:11" hidden="1" outlineLevel="1" thickBot="1">
      <c r="B58" s="260"/>
      <c r="C58" s="324"/>
      <c r="D58" s="260"/>
      <c r="E58" s="260"/>
      <c r="F58" s="260"/>
      <c r="G58" s="260"/>
      <c r="H58" s="260"/>
      <c r="I58" s="260"/>
      <c r="J58" s="260"/>
      <c r="K58" s="260"/>
    </row>
    <row r="59" spans="1:11" ht="15.75" hidden="1" outlineLevel="1" thickBot="1">
      <c r="A59" s="267" t="s">
        <v>365</v>
      </c>
      <c r="B59" s="260"/>
      <c r="C59" s="324"/>
      <c r="D59" s="260"/>
      <c r="E59" s="260"/>
      <c r="F59" s="260"/>
      <c r="G59" s="260"/>
      <c r="H59" s="260"/>
      <c r="I59" s="260"/>
      <c r="J59" s="260"/>
      <c r="K59" s="260"/>
    </row>
    <row r="60" spans="1:11" ht="14.25" hidden="1" outlineLevel="1">
      <c r="A60" t="s">
        <v>366</v>
      </c>
      <c r="B60" s="260">
        <f t="shared" ref="B60:K60" si="33">B54/(10+1)</f>
        <v>1.3636363636363636E-2</v>
      </c>
      <c r="C60" s="324">
        <f t="shared" si="33"/>
        <v>1.3636363636363636E-2</v>
      </c>
      <c r="D60" s="260">
        <f t="shared" si="33"/>
        <v>1.3636363636363636E-2</v>
      </c>
      <c r="E60" s="260"/>
      <c r="F60" s="260">
        <f t="shared" si="33"/>
        <v>1.3636363636363636E-2</v>
      </c>
      <c r="G60" s="260">
        <f t="shared" si="33"/>
        <v>1.3636363636363636E-2</v>
      </c>
      <c r="H60" s="260">
        <f t="shared" si="33"/>
        <v>1.3636363636363636E-2</v>
      </c>
      <c r="I60" s="260">
        <f t="shared" si="33"/>
        <v>1.3636363636363636E-2</v>
      </c>
      <c r="J60" s="260">
        <f t="shared" si="33"/>
        <v>1.3636363636363636E-2</v>
      </c>
      <c r="K60" s="260">
        <f t="shared" si="33"/>
        <v>1.3636363636363636E-2</v>
      </c>
    </row>
    <row r="61" spans="1:11" ht="14.25" hidden="1" outlineLevel="1">
      <c r="A61" t="s">
        <v>367</v>
      </c>
      <c r="B61" s="260">
        <f t="shared" ref="B61:K61" si="34">(B43-B45)/(-B53)</f>
        <v>-0.33333333333333331</v>
      </c>
      <c r="C61" s="324">
        <f t="shared" si="34"/>
        <v>-0.33333333333333331</v>
      </c>
      <c r="D61" s="260">
        <f t="shared" si="34"/>
        <v>-0.33333333333333331</v>
      </c>
      <c r="E61" s="260"/>
      <c r="F61" s="260">
        <f t="shared" si="34"/>
        <v>-0.33333333333333331</v>
      </c>
      <c r="G61" s="260">
        <f t="shared" si="34"/>
        <v>-0.33333333333333331</v>
      </c>
      <c r="H61" s="260">
        <f t="shared" si="34"/>
        <v>-0.33333333333333331</v>
      </c>
      <c r="I61" s="260">
        <f t="shared" si="34"/>
        <v>-0.33333333333333331</v>
      </c>
      <c r="J61" s="260">
        <f t="shared" si="34"/>
        <v>-0.33333333333333331</v>
      </c>
      <c r="K61" s="260">
        <f t="shared" si="34"/>
        <v>-0.33333333333333331</v>
      </c>
    </row>
    <row r="62" spans="1:11" ht="14.25" hidden="1" outlineLevel="1">
      <c r="A62" t="s">
        <v>368</v>
      </c>
      <c r="B62" s="260"/>
      <c r="C62" s="324"/>
      <c r="D62" s="260"/>
      <c r="E62" s="260"/>
      <c r="F62" s="260"/>
      <c r="G62" s="260"/>
      <c r="H62" s="260"/>
      <c r="I62" s="260"/>
      <c r="J62" s="260"/>
      <c r="K62" s="260"/>
    </row>
    <row r="63" spans="1:11" ht="14.25" hidden="1" outlineLevel="2">
      <c r="A63">
        <v>1</v>
      </c>
      <c r="B63" s="260">
        <f>(B60/2)</f>
        <v>6.8181818181818179E-3</v>
      </c>
      <c r="C63" s="324">
        <f t="shared" ref="C63:K63" si="35">(C60/2)</f>
        <v>6.8181818181818179E-3</v>
      </c>
      <c r="D63" s="260">
        <f t="shared" si="35"/>
        <v>6.8181818181818179E-3</v>
      </c>
      <c r="E63" s="260"/>
      <c r="F63" s="260">
        <f t="shared" si="35"/>
        <v>6.8181818181818179E-3</v>
      </c>
      <c r="G63" s="260">
        <f t="shared" si="35"/>
        <v>6.8181818181818179E-3</v>
      </c>
      <c r="H63" s="260">
        <f t="shared" si="35"/>
        <v>6.8181818181818179E-3</v>
      </c>
      <c r="I63" s="260">
        <f t="shared" si="35"/>
        <v>6.8181818181818179E-3</v>
      </c>
      <c r="J63" s="260">
        <f t="shared" si="35"/>
        <v>6.8181818181818179E-3</v>
      </c>
      <c r="K63" s="260">
        <f t="shared" si="35"/>
        <v>6.8181818181818179E-3</v>
      </c>
    </row>
    <row r="64" spans="1:11" ht="14.25" hidden="1" outlineLevel="2">
      <c r="A64">
        <v>2</v>
      </c>
      <c r="B64" s="260">
        <f>B63+B60</f>
        <v>2.0454545454545454E-2</v>
      </c>
      <c r="C64" s="324">
        <f t="shared" ref="C64:K64" si="36">C63+C60</f>
        <v>2.0454545454545454E-2</v>
      </c>
      <c r="D64" s="260">
        <f t="shared" si="36"/>
        <v>2.0454545454545454E-2</v>
      </c>
      <c r="E64" s="260"/>
      <c r="F64" s="260">
        <f t="shared" si="36"/>
        <v>2.0454545454545454E-2</v>
      </c>
      <c r="G64" s="260">
        <f t="shared" si="36"/>
        <v>2.0454545454545454E-2</v>
      </c>
      <c r="H64" s="260">
        <f t="shared" si="36"/>
        <v>2.0454545454545454E-2</v>
      </c>
      <c r="I64" s="260">
        <f t="shared" si="36"/>
        <v>2.0454545454545454E-2</v>
      </c>
      <c r="J64" s="260">
        <f t="shared" si="36"/>
        <v>2.0454545454545454E-2</v>
      </c>
      <c r="K64" s="260">
        <f t="shared" si="36"/>
        <v>2.0454545454545454E-2</v>
      </c>
    </row>
    <row r="65" spans="1:11" ht="14.25" hidden="1" outlineLevel="2">
      <c r="A65">
        <v>3</v>
      </c>
      <c r="B65" s="260">
        <f t="shared" ref="B65:K73" si="37">B64+B$60</f>
        <v>3.4090909090909088E-2</v>
      </c>
      <c r="C65" s="324">
        <f t="shared" si="37"/>
        <v>3.4090909090909088E-2</v>
      </c>
      <c r="D65" s="260">
        <f t="shared" si="37"/>
        <v>3.4090909090909088E-2</v>
      </c>
      <c r="E65" s="260"/>
      <c r="F65" s="260">
        <f t="shared" si="37"/>
        <v>3.4090909090909088E-2</v>
      </c>
      <c r="G65" s="260">
        <f t="shared" si="37"/>
        <v>3.4090909090909088E-2</v>
      </c>
      <c r="H65" s="260">
        <f t="shared" si="37"/>
        <v>3.4090909090909088E-2</v>
      </c>
      <c r="I65" s="260">
        <f t="shared" si="37"/>
        <v>3.4090909090909088E-2</v>
      </c>
      <c r="J65" s="260">
        <f t="shared" si="37"/>
        <v>3.4090909090909088E-2</v>
      </c>
      <c r="K65" s="260">
        <f t="shared" si="37"/>
        <v>3.4090909090909088E-2</v>
      </c>
    </row>
    <row r="66" spans="1:11" ht="14.25" hidden="1" outlineLevel="2">
      <c r="A66">
        <v>4</v>
      </c>
      <c r="B66" s="260">
        <f t="shared" si="37"/>
        <v>4.7727272727272722E-2</v>
      </c>
      <c r="C66" s="324">
        <f t="shared" si="37"/>
        <v>4.7727272727272722E-2</v>
      </c>
      <c r="D66" s="260">
        <f t="shared" si="37"/>
        <v>4.7727272727272722E-2</v>
      </c>
      <c r="E66" s="260"/>
      <c r="F66" s="260">
        <f t="shared" si="37"/>
        <v>4.7727272727272722E-2</v>
      </c>
      <c r="G66" s="260">
        <f t="shared" si="37"/>
        <v>4.7727272727272722E-2</v>
      </c>
      <c r="H66" s="260">
        <f t="shared" si="37"/>
        <v>4.7727272727272722E-2</v>
      </c>
      <c r="I66" s="260">
        <f t="shared" si="37"/>
        <v>4.7727272727272722E-2</v>
      </c>
      <c r="J66" s="260">
        <f t="shared" si="37"/>
        <v>4.7727272727272722E-2</v>
      </c>
      <c r="K66" s="260">
        <f t="shared" si="37"/>
        <v>4.7727272727272722E-2</v>
      </c>
    </row>
    <row r="67" spans="1:11" ht="14.25" hidden="1" outlineLevel="2">
      <c r="A67">
        <v>5</v>
      </c>
      <c r="B67" s="260">
        <f t="shared" si="37"/>
        <v>6.1363636363636356E-2</v>
      </c>
      <c r="C67" s="324">
        <f t="shared" si="37"/>
        <v>6.1363636363636356E-2</v>
      </c>
      <c r="D67" s="260">
        <f t="shared" si="37"/>
        <v>6.1363636363636356E-2</v>
      </c>
      <c r="E67" s="260"/>
      <c r="F67" s="260">
        <f t="shared" si="37"/>
        <v>6.1363636363636356E-2</v>
      </c>
      <c r="G67" s="260">
        <f t="shared" si="37"/>
        <v>6.1363636363636356E-2</v>
      </c>
      <c r="H67" s="260">
        <f t="shared" si="37"/>
        <v>6.1363636363636356E-2</v>
      </c>
      <c r="I67" s="260">
        <f t="shared" si="37"/>
        <v>6.1363636363636356E-2</v>
      </c>
      <c r="J67" s="260">
        <f t="shared" si="37"/>
        <v>6.1363636363636356E-2</v>
      </c>
      <c r="K67" s="260">
        <f t="shared" si="37"/>
        <v>6.1363636363636356E-2</v>
      </c>
    </row>
    <row r="68" spans="1:11" ht="14.25" hidden="1" outlineLevel="2">
      <c r="A68">
        <v>6</v>
      </c>
      <c r="B68" s="260">
        <f t="shared" si="37"/>
        <v>7.4999999999999997E-2</v>
      </c>
      <c r="C68" s="324">
        <f t="shared" si="37"/>
        <v>7.4999999999999997E-2</v>
      </c>
      <c r="D68" s="260">
        <f t="shared" si="37"/>
        <v>7.4999999999999997E-2</v>
      </c>
      <c r="E68" s="260"/>
      <c r="F68" s="260">
        <f t="shared" si="37"/>
        <v>7.4999999999999997E-2</v>
      </c>
      <c r="G68" s="260">
        <f t="shared" si="37"/>
        <v>7.4999999999999997E-2</v>
      </c>
      <c r="H68" s="260">
        <f t="shared" si="37"/>
        <v>7.4999999999999997E-2</v>
      </c>
      <c r="I68" s="260">
        <f t="shared" si="37"/>
        <v>7.4999999999999997E-2</v>
      </c>
      <c r="J68" s="260">
        <f t="shared" si="37"/>
        <v>7.4999999999999997E-2</v>
      </c>
      <c r="K68" s="260">
        <f t="shared" si="37"/>
        <v>7.4999999999999997E-2</v>
      </c>
    </row>
    <row r="69" spans="1:11" ht="14.25" hidden="1" outlineLevel="2">
      <c r="A69">
        <v>7</v>
      </c>
      <c r="B69" s="260">
        <f t="shared" si="37"/>
        <v>8.8636363636363638E-2</v>
      </c>
      <c r="C69" s="324">
        <f t="shared" si="37"/>
        <v>8.8636363636363638E-2</v>
      </c>
      <c r="D69" s="260">
        <f t="shared" si="37"/>
        <v>8.8636363636363638E-2</v>
      </c>
      <c r="E69" s="260"/>
      <c r="F69" s="260">
        <f t="shared" si="37"/>
        <v>8.8636363636363638E-2</v>
      </c>
      <c r="G69" s="260">
        <f t="shared" si="37"/>
        <v>8.8636363636363638E-2</v>
      </c>
      <c r="H69" s="260">
        <f t="shared" si="37"/>
        <v>8.8636363636363638E-2</v>
      </c>
      <c r="I69" s="260">
        <f t="shared" si="37"/>
        <v>8.8636363636363638E-2</v>
      </c>
      <c r="J69" s="260">
        <f t="shared" si="37"/>
        <v>8.8636363636363638E-2</v>
      </c>
      <c r="K69" s="260">
        <f t="shared" si="37"/>
        <v>8.8636363636363638E-2</v>
      </c>
    </row>
    <row r="70" spans="1:11" ht="14.25" hidden="1" outlineLevel="2">
      <c r="A70">
        <v>8</v>
      </c>
      <c r="B70" s="260">
        <f t="shared" si="37"/>
        <v>0.10227272727272728</v>
      </c>
      <c r="C70" s="324">
        <f t="shared" si="37"/>
        <v>0.10227272727272728</v>
      </c>
      <c r="D70" s="260">
        <f t="shared" si="37"/>
        <v>0.10227272727272728</v>
      </c>
      <c r="E70" s="260"/>
      <c r="F70" s="260">
        <f t="shared" si="37"/>
        <v>0.10227272727272728</v>
      </c>
      <c r="G70" s="260">
        <f t="shared" si="37"/>
        <v>0.10227272727272728</v>
      </c>
      <c r="H70" s="260">
        <f t="shared" si="37"/>
        <v>0.10227272727272728</v>
      </c>
      <c r="I70" s="260">
        <f t="shared" si="37"/>
        <v>0.10227272727272728</v>
      </c>
      <c r="J70" s="260">
        <f t="shared" si="37"/>
        <v>0.10227272727272728</v>
      </c>
      <c r="K70" s="260">
        <f t="shared" si="37"/>
        <v>0.10227272727272728</v>
      </c>
    </row>
    <row r="71" spans="1:11" ht="14.25" hidden="1" outlineLevel="2">
      <c r="A71">
        <v>9</v>
      </c>
      <c r="B71" s="260">
        <f t="shared" si="37"/>
        <v>0.11590909090909092</v>
      </c>
      <c r="C71" s="324">
        <f t="shared" si="37"/>
        <v>0.11590909090909092</v>
      </c>
      <c r="D71" s="260">
        <f t="shared" si="37"/>
        <v>0.11590909090909092</v>
      </c>
      <c r="E71" s="260"/>
      <c r="F71" s="260">
        <f t="shared" si="37"/>
        <v>0.11590909090909092</v>
      </c>
      <c r="G71" s="260">
        <f t="shared" si="37"/>
        <v>0.11590909090909092</v>
      </c>
      <c r="H71" s="260">
        <f t="shared" si="37"/>
        <v>0.11590909090909092</v>
      </c>
      <c r="I71" s="260">
        <f t="shared" si="37"/>
        <v>0.11590909090909092</v>
      </c>
      <c r="J71" s="260">
        <f t="shared" si="37"/>
        <v>0.11590909090909092</v>
      </c>
      <c r="K71" s="260">
        <f t="shared" si="37"/>
        <v>0.11590909090909092</v>
      </c>
    </row>
    <row r="72" spans="1:11" ht="14.25" hidden="1" outlineLevel="2">
      <c r="A72">
        <v>10</v>
      </c>
      <c r="B72" s="260">
        <f t="shared" si="37"/>
        <v>0.12954545454545455</v>
      </c>
      <c r="C72" s="324">
        <f t="shared" si="37"/>
        <v>0.12954545454545455</v>
      </c>
      <c r="D72" s="260">
        <f t="shared" si="37"/>
        <v>0.12954545454545455</v>
      </c>
      <c r="E72" s="260"/>
      <c r="F72" s="260">
        <f t="shared" si="37"/>
        <v>0.12954545454545455</v>
      </c>
      <c r="G72" s="260">
        <f t="shared" si="37"/>
        <v>0.12954545454545455</v>
      </c>
      <c r="H72" s="260">
        <f t="shared" si="37"/>
        <v>0.12954545454545455</v>
      </c>
      <c r="I72" s="260">
        <f t="shared" si="37"/>
        <v>0.12954545454545455</v>
      </c>
      <c r="J72" s="260">
        <f t="shared" si="37"/>
        <v>0.12954545454545455</v>
      </c>
      <c r="K72" s="260">
        <f t="shared" si="37"/>
        <v>0.12954545454545455</v>
      </c>
    </row>
    <row r="73" spans="1:11" ht="14.25" hidden="1" outlineLevel="2">
      <c r="A73">
        <v>11</v>
      </c>
      <c r="B73" s="260">
        <f t="shared" si="37"/>
        <v>0.14318181818181819</v>
      </c>
      <c r="C73" s="324">
        <f t="shared" si="37"/>
        <v>0.14318181818181819</v>
      </c>
      <c r="D73" s="260">
        <f t="shared" si="37"/>
        <v>0.14318181818181819</v>
      </c>
      <c r="E73" s="260"/>
      <c r="F73" s="260">
        <f t="shared" si="37"/>
        <v>0.14318181818181819</v>
      </c>
      <c r="G73" s="260">
        <f t="shared" si="37"/>
        <v>0.14318181818181819</v>
      </c>
      <c r="H73" s="260">
        <f t="shared" si="37"/>
        <v>0.14318181818181819</v>
      </c>
      <c r="I73" s="260">
        <f t="shared" si="37"/>
        <v>0.14318181818181819</v>
      </c>
      <c r="J73" s="260">
        <f t="shared" si="37"/>
        <v>0.14318181818181819</v>
      </c>
      <c r="K73" s="260">
        <f t="shared" si="37"/>
        <v>0.14318181818181819</v>
      </c>
    </row>
    <row r="74" spans="1:11" ht="14.25" hidden="1" outlineLevel="1" collapsed="1">
      <c r="A74" t="s">
        <v>369</v>
      </c>
      <c r="B74" s="260"/>
      <c r="C74" s="324"/>
      <c r="D74" s="260"/>
      <c r="E74" s="260"/>
      <c r="F74" s="260"/>
      <c r="G74" s="260"/>
      <c r="H74" s="260"/>
      <c r="I74" s="260"/>
      <c r="J74" s="260"/>
      <c r="K74" s="260"/>
    </row>
    <row r="75" spans="1:11" ht="14.25" hidden="1" outlineLevel="2">
      <c r="A75">
        <v>1</v>
      </c>
      <c r="B75" s="260">
        <f t="shared" ref="B75:K85" si="38">(B63*B$61)+B$44</f>
        <v>0.14772727272727273</v>
      </c>
      <c r="C75" s="324">
        <f t="shared" si="38"/>
        <v>0.14772727272727273</v>
      </c>
      <c r="D75" s="260">
        <f t="shared" si="38"/>
        <v>0.14772727272727273</v>
      </c>
      <c r="E75" s="260"/>
      <c r="F75" s="260">
        <f t="shared" si="38"/>
        <v>0.14772727272727273</v>
      </c>
      <c r="G75" s="260">
        <f t="shared" si="38"/>
        <v>0.14772727272727273</v>
      </c>
      <c r="H75" s="260">
        <f t="shared" si="38"/>
        <v>0.14772727272727273</v>
      </c>
      <c r="I75" s="260">
        <f t="shared" si="38"/>
        <v>0.14772727272727273</v>
      </c>
      <c r="J75" s="260">
        <f t="shared" si="38"/>
        <v>0.14772727272727273</v>
      </c>
      <c r="K75" s="260">
        <f t="shared" si="38"/>
        <v>0.14772727272727273</v>
      </c>
    </row>
    <row r="76" spans="1:11" ht="14.25" hidden="1" outlineLevel="2">
      <c r="A76">
        <v>2</v>
      </c>
      <c r="B76" s="260">
        <f t="shared" si="38"/>
        <v>0.14318181818181819</v>
      </c>
      <c r="C76" s="324">
        <f t="shared" si="38"/>
        <v>0.14318181818181819</v>
      </c>
      <c r="D76" s="260">
        <f t="shared" si="38"/>
        <v>0.14318181818181819</v>
      </c>
      <c r="E76" s="260"/>
      <c r="F76" s="260">
        <f t="shared" si="38"/>
        <v>0.14318181818181819</v>
      </c>
      <c r="G76" s="260">
        <f t="shared" si="38"/>
        <v>0.14318181818181819</v>
      </c>
      <c r="H76" s="260">
        <f t="shared" si="38"/>
        <v>0.14318181818181819</v>
      </c>
      <c r="I76" s="260">
        <f t="shared" si="38"/>
        <v>0.14318181818181819</v>
      </c>
      <c r="J76" s="260">
        <f t="shared" si="38"/>
        <v>0.14318181818181819</v>
      </c>
      <c r="K76" s="260">
        <f t="shared" si="38"/>
        <v>0.14318181818181819</v>
      </c>
    </row>
    <row r="77" spans="1:11" ht="14.25" hidden="1" outlineLevel="2">
      <c r="A77">
        <v>3</v>
      </c>
      <c r="B77" s="260">
        <f t="shared" si="38"/>
        <v>0.13863636363636364</v>
      </c>
      <c r="C77" s="324">
        <f t="shared" si="38"/>
        <v>0.13863636363636364</v>
      </c>
      <c r="D77" s="260">
        <f t="shared" si="38"/>
        <v>0.13863636363636364</v>
      </c>
      <c r="E77" s="260"/>
      <c r="F77" s="260">
        <f t="shared" si="38"/>
        <v>0.13863636363636364</v>
      </c>
      <c r="G77" s="260">
        <f t="shared" si="38"/>
        <v>0.13863636363636364</v>
      </c>
      <c r="H77" s="260">
        <f t="shared" si="38"/>
        <v>0.13863636363636364</v>
      </c>
      <c r="I77" s="260">
        <f t="shared" si="38"/>
        <v>0.13863636363636364</v>
      </c>
      <c r="J77" s="260">
        <f t="shared" si="38"/>
        <v>0.13863636363636364</v>
      </c>
      <c r="K77" s="260">
        <f t="shared" si="38"/>
        <v>0.13863636363636364</v>
      </c>
    </row>
    <row r="78" spans="1:11" ht="14.25" hidden="1" outlineLevel="2">
      <c r="A78">
        <v>4</v>
      </c>
      <c r="B78" s="260">
        <f t="shared" si="38"/>
        <v>0.13409090909090909</v>
      </c>
      <c r="C78" s="324">
        <f t="shared" si="38"/>
        <v>0.13409090909090909</v>
      </c>
      <c r="D78" s="260">
        <f t="shared" si="38"/>
        <v>0.13409090909090909</v>
      </c>
      <c r="E78" s="260"/>
      <c r="F78" s="260">
        <f t="shared" si="38"/>
        <v>0.13409090909090909</v>
      </c>
      <c r="G78" s="260">
        <f t="shared" si="38"/>
        <v>0.13409090909090909</v>
      </c>
      <c r="H78" s="260">
        <f t="shared" si="38"/>
        <v>0.13409090909090909</v>
      </c>
      <c r="I78" s="260">
        <f t="shared" si="38"/>
        <v>0.13409090909090909</v>
      </c>
      <c r="J78" s="260">
        <f t="shared" si="38"/>
        <v>0.13409090909090909</v>
      </c>
      <c r="K78" s="260">
        <f t="shared" si="38"/>
        <v>0.13409090909090909</v>
      </c>
    </row>
    <row r="79" spans="1:11" ht="14.25" hidden="1" outlineLevel="2">
      <c r="A79">
        <v>5</v>
      </c>
      <c r="B79" s="260">
        <f t="shared" si="38"/>
        <v>0.12954545454545455</v>
      </c>
      <c r="C79" s="324">
        <f t="shared" si="38"/>
        <v>0.12954545454545455</v>
      </c>
      <c r="D79" s="260">
        <f t="shared" si="38"/>
        <v>0.12954545454545455</v>
      </c>
      <c r="E79" s="260"/>
      <c r="F79" s="260">
        <f t="shared" si="38"/>
        <v>0.12954545454545455</v>
      </c>
      <c r="G79" s="260">
        <f t="shared" si="38"/>
        <v>0.12954545454545455</v>
      </c>
      <c r="H79" s="260">
        <f t="shared" si="38"/>
        <v>0.12954545454545455</v>
      </c>
      <c r="I79" s="260">
        <f t="shared" si="38"/>
        <v>0.12954545454545455</v>
      </c>
      <c r="J79" s="260">
        <f t="shared" si="38"/>
        <v>0.12954545454545455</v>
      </c>
      <c r="K79" s="260">
        <f t="shared" si="38"/>
        <v>0.12954545454545455</v>
      </c>
    </row>
    <row r="80" spans="1:11" ht="14.25" hidden="1" outlineLevel="2">
      <c r="A80">
        <v>6</v>
      </c>
      <c r="B80" s="260">
        <f t="shared" si="38"/>
        <v>0.125</v>
      </c>
      <c r="C80" s="324">
        <f t="shared" si="38"/>
        <v>0.125</v>
      </c>
      <c r="D80" s="260">
        <f t="shared" si="38"/>
        <v>0.125</v>
      </c>
      <c r="E80" s="260"/>
      <c r="F80" s="260">
        <f t="shared" si="38"/>
        <v>0.125</v>
      </c>
      <c r="G80" s="260">
        <f t="shared" si="38"/>
        <v>0.125</v>
      </c>
      <c r="H80" s="260">
        <f t="shared" si="38"/>
        <v>0.125</v>
      </c>
      <c r="I80" s="260">
        <f t="shared" si="38"/>
        <v>0.125</v>
      </c>
      <c r="J80" s="260">
        <f t="shared" si="38"/>
        <v>0.125</v>
      </c>
      <c r="K80" s="260">
        <f t="shared" si="38"/>
        <v>0.125</v>
      </c>
    </row>
    <row r="81" spans="1:11" ht="14.25" hidden="1" outlineLevel="2">
      <c r="A81">
        <v>7</v>
      </c>
      <c r="B81" s="260">
        <f t="shared" si="38"/>
        <v>0.12045454545454545</v>
      </c>
      <c r="C81" s="324">
        <f t="shared" si="38"/>
        <v>0.12045454545454545</v>
      </c>
      <c r="D81" s="260">
        <f t="shared" si="38"/>
        <v>0.12045454545454545</v>
      </c>
      <c r="E81" s="260"/>
      <c r="F81" s="260">
        <f t="shared" si="38"/>
        <v>0.12045454545454545</v>
      </c>
      <c r="G81" s="260">
        <f t="shared" si="38"/>
        <v>0.12045454545454545</v>
      </c>
      <c r="H81" s="260">
        <f t="shared" si="38"/>
        <v>0.12045454545454545</v>
      </c>
      <c r="I81" s="260">
        <f t="shared" si="38"/>
        <v>0.12045454545454545</v>
      </c>
      <c r="J81" s="260">
        <f t="shared" si="38"/>
        <v>0.12045454545454545</v>
      </c>
      <c r="K81" s="260">
        <f t="shared" si="38"/>
        <v>0.12045454545454545</v>
      </c>
    </row>
    <row r="82" spans="1:11" ht="14.25" hidden="1" outlineLevel="2">
      <c r="A82">
        <v>8</v>
      </c>
      <c r="B82" s="260">
        <f t="shared" si="38"/>
        <v>0.11590909090909091</v>
      </c>
      <c r="C82" s="324">
        <f t="shared" si="38"/>
        <v>0.11590909090909091</v>
      </c>
      <c r="D82" s="260">
        <f t="shared" si="38"/>
        <v>0.11590909090909091</v>
      </c>
      <c r="E82" s="260"/>
      <c r="F82" s="260">
        <f t="shared" si="38"/>
        <v>0.11590909090909091</v>
      </c>
      <c r="G82" s="260">
        <f t="shared" si="38"/>
        <v>0.11590909090909091</v>
      </c>
      <c r="H82" s="260">
        <f t="shared" si="38"/>
        <v>0.11590909090909091</v>
      </c>
      <c r="I82" s="260">
        <f t="shared" si="38"/>
        <v>0.11590909090909091</v>
      </c>
      <c r="J82" s="260">
        <f t="shared" si="38"/>
        <v>0.11590909090909091</v>
      </c>
      <c r="K82" s="260">
        <f t="shared" si="38"/>
        <v>0.11590909090909091</v>
      </c>
    </row>
    <row r="83" spans="1:11" ht="14.25" hidden="1" outlineLevel="2">
      <c r="A83">
        <v>9</v>
      </c>
      <c r="B83" s="260">
        <f t="shared" si="38"/>
        <v>0.11136363636363636</v>
      </c>
      <c r="C83" s="324">
        <f t="shared" si="38"/>
        <v>0.11136363636363636</v>
      </c>
      <c r="D83" s="260">
        <f t="shared" si="38"/>
        <v>0.11136363636363636</v>
      </c>
      <c r="E83" s="260"/>
      <c r="F83" s="260">
        <f t="shared" si="38"/>
        <v>0.11136363636363636</v>
      </c>
      <c r="G83" s="260">
        <f t="shared" si="38"/>
        <v>0.11136363636363636</v>
      </c>
      <c r="H83" s="260">
        <f t="shared" si="38"/>
        <v>0.11136363636363636</v>
      </c>
      <c r="I83" s="260">
        <f t="shared" si="38"/>
        <v>0.11136363636363636</v>
      </c>
      <c r="J83" s="260">
        <f t="shared" si="38"/>
        <v>0.11136363636363636</v>
      </c>
      <c r="K83" s="260">
        <f t="shared" si="38"/>
        <v>0.11136363636363636</v>
      </c>
    </row>
    <row r="84" spans="1:11" ht="14.25" hidden="1" outlineLevel="2">
      <c r="A84">
        <v>10</v>
      </c>
      <c r="B84" s="260">
        <f t="shared" si="38"/>
        <v>0.10681818181818181</v>
      </c>
      <c r="C84" s="324">
        <f t="shared" si="38"/>
        <v>0.10681818181818181</v>
      </c>
      <c r="D84" s="260">
        <f t="shared" si="38"/>
        <v>0.10681818181818181</v>
      </c>
      <c r="E84" s="260"/>
      <c r="F84" s="260">
        <f t="shared" si="38"/>
        <v>0.10681818181818181</v>
      </c>
      <c r="G84" s="260">
        <f t="shared" si="38"/>
        <v>0.10681818181818181</v>
      </c>
      <c r="H84" s="260">
        <f t="shared" si="38"/>
        <v>0.10681818181818181</v>
      </c>
      <c r="I84" s="260">
        <f t="shared" si="38"/>
        <v>0.10681818181818181</v>
      </c>
      <c r="J84" s="260">
        <f t="shared" si="38"/>
        <v>0.10681818181818181</v>
      </c>
      <c r="K84" s="260">
        <f t="shared" si="38"/>
        <v>0.10681818181818181</v>
      </c>
    </row>
    <row r="85" spans="1:11" ht="14.25" hidden="1" outlineLevel="2">
      <c r="A85">
        <v>11</v>
      </c>
      <c r="B85" s="260">
        <f t="shared" si="38"/>
        <v>0.10227272727272727</v>
      </c>
      <c r="C85" s="324">
        <f t="shared" si="38"/>
        <v>0.10227272727272727</v>
      </c>
      <c r="D85" s="260">
        <f t="shared" si="38"/>
        <v>0.10227272727272727</v>
      </c>
      <c r="E85" s="260"/>
      <c r="F85" s="260">
        <f t="shared" si="38"/>
        <v>0.10227272727272727</v>
      </c>
      <c r="G85" s="260">
        <f t="shared" si="38"/>
        <v>0.10227272727272727</v>
      </c>
      <c r="H85" s="260">
        <f t="shared" si="38"/>
        <v>0.10227272727272727</v>
      </c>
      <c r="I85" s="260">
        <f t="shared" si="38"/>
        <v>0.10227272727272727</v>
      </c>
      <c r="J85" s="260">
        <f t="shared" si="38"/>
        <v>0.10227272727272727</v>
      </c>
      <c r="K85" s="260">
        <f t="shared" si="38"/>
        <v>0.10227272727272727</v>
      </c>
    </row>
    <row r="86" spans="1:11" ht="14.25" hidden="1" outlineLevel="1" collapsed="1">
      <c r="A86" t="s">
        <v>370</v>
      </c>
      <c r="B86" s="260"/>
      <c r="C86" s="324"/>
      <c r="D86" s="260"/>
      <c r="E86" s="260"/>
      <c r="F86" s="260"/>
      <c r="G86" s="260"/>
      <c r="H86" s="260"/>
      <c r="I86" s="260"/>
      <c r="J86" s="260"/>
      <c r="K86" s="260"/>
    </row>
    <row r="87" spans="1:11" ht="14.25" hidden="1" outlineLevel="2">
      <c r="A87">
        <v>1</v>
      </c>
      <c r="B87" s="261">
        <f t="shared" ref="B87:K96" si="39">(B75+B76)*B$60/2</f>
        <v>1.9834710743801649E-3</v>
      </c>
      <c r="C87" s="325">
        <f t="shared" si="39"/>
        <v>1.9834710743801649E-3</v>
      </c>
      <c r="D87" s="261">
        <f t="shared" si="39"/>
        <v>1.9834710743801649E-3</v>
      </c>
      <c r="E87" s="261"/>
      <c r="F87" s="261">
        <f t="shared" si="39"/>
        <v>1.9834710743801649E-3</v>
      </c>
      <c r="G87" s="261">
        <f t="shared" si="39"/>
        <v>1.9834710743801649E-3</v>
      </c>
      <c r="H87" s="261">
        <f t="shared" si="39"/>
        <v>1.9834710743801649E-3</v>
      </c>
      <c r="I87" s="261">
        <f t="shared" si="39"/>
        <v>1.9834710743801649E-3</v>
      </c>
      <c r="J87" s="261">
        <f t="shared" si="39"/>
        <v>1.9834710743801649E-3</v>
      </c>
      <c r="K87" s="261">
        <f t="shared" si="39"/>
        <v>1.9834710743801649E-3</v>
      </c>
    </row>
    <row r="88" spans="1:11" ht="14.25" hidden="1" outlineLevel="2">
      <c r="A88">
        <v>2</v>
      </c>
      <c r="B88" s="261">
        <f t="shared" si="39"/>
        <v>1.9214876033057853E-3</v>
      </c>
      <c r="C88" s="325">
        <f t="shared" si="39"/>
        <v>1.9214876033057853E-3</v>
      </c>
      <c r="D88" s="261">
        <f t="shared" si="39"/>
        <v>1.9214876033057853E-3</v>
      </c>
      <c r="E88" s="261"/>
      <c r="F88" s="261">
        <f t="shared" si="39"/>
        <v>1.9214876033057853E-3</v>
      </c>
      <c r="G88" s="261">
        <f t="shared" si="39"/>
        <v>1.9214876033057853E-3</v>
      </c>
      <c r="H88" s="261">
        <f t="shared" si="39"/>
        <v>1.9214876033057853E-3</v>
      </c>
      <c r="I88" s="261">
        <f t="shared" si="39"/>
        <v>1.9214876033057853E-3</v>
      </c>
      <c r="J88" s="261">
        <f t="shared" si="39"/>
        <v>1.9214876033057853E-3</v>
      </c>
      <c r="K88" s="261">
        <f t="shared" si="39"/>
        <v>1.9214876033057853E-3</v>
      </c>
    </row>
    <row r="89" spans="1:11" ht="14.25" hidden="1" outlineLevel="2">
      <c r="A89">
        <v>3</v>
      </c>
      <c r="B89" s="261">
        <f t="shared" si="39"/>
        <v>1.8595041322314048E-3</v>
      </c>
      <c r="C89" s="325">
        <f t="shared" si="39"/>
        <v>1.8595041322314048E-3</v>
      </c>
      <c r="D89" s="261">
        <f t="shared" si="39"/>
        <v>1.8595041322314048E-3</v>
      </c>
      <c r="E89" s="261"/>
      <c r="F89" s="261">
        <f t="shared" si="39"/>
        <v>1.8595041322314048E-3</v>
      </c>
      <c r="G89" s="261">
        <f t="shared" si="39"/>
        <v>1.8595041322314048E-3</v>
      </c>
      <c r="H89" s="261">
        <f t="shared" si="39"/>
        <v>1.8595041322314048E-3</v>
      </c>
      <c r="I89" s="261">
        <f t="shared" si="39"/>
        <v>1.8595041322314048E-3</v>
      </c>
      <c r="J89" s="261">
        <f t="shared" si="39"/>
        <v>1.8595041322314048E-3</v>
      </c>
      <c r="K89" s="261">
        <f t="shared" si="39"/>
        <v>1.8595041322314048E-3</v>
      </c>
    </row>
    <row r="90" spans="1:11" ht="14.25" hidden="1" outlineLevel="2">
      <c r="A90">
        <v>4</v>
      </c>
      <c r="B90" s="261">
        <f t="shared" si="39"/>
        <v>1.7975206611570249E-3</v>
      </c>
      <c r="C90" s="325">
        <f t="shared" si="39"/>
        <v>1.7975206611570249E-3</v>
      </c>
      <c r="D90" s="261">
        <f t="shared" si="39"/>
        <v>1.7975206611570249E-3</v>
      </c>
      <c r="E90" s="261"/>
      <c r="F90" s="261">
        <f t="shared" si="39"/>
        <v>1.7975206611570249E-3</v>
      </c>
      <c r="G90" s="261">
        <f t="shared" si="39"/>
        <v>1.7975206611570249E-3</v>
      </c>
      <c r="H90" s="261">
        <f t="shared" si="39"/>
        <v>1.7975206611570249E-3</v>
      </c>
      <c r="I90" s="261">
        <f t="shared" si="39"/>
        <v>1.7975206611570249E-3</v>
      </c>
      <c r="J90" s="261">
        <f t="shared" si="39"/>
        <v>1.7975206611570249E-3</v>
      </c>
      <c r="K90" s="261">
        <f t="shared" si="39"/>
        <v>1.7975206611570249E-3</v>
      </c>
    </row>
    <row r="91" spans="1:11" ht="14.25" hidden="1" outlineLevel="2">
      <c r="A91">
        <v>5</v>
      </c>
      <c r="B91" s="261">
        <f t="shared" si="39"/>
        <v>1.7355371900826444E-3</v>
      </c>
      <c r="C91" s="325">
        <f t="shared" si="39"/>
        <v>1.7355371900826444E-3</v>
      </c>
      <c r="D91" s="261">
        <f t="shared" si="39"/>
        <v>1.7355371900826444E-3</v>
      </c>
      <c r="E91" s="261"/>
      <c r="F91" s="261">
        <f t="shared" si="39"/>
        <v>1.7355371900826444E-3</v>
      </c>
      <c r="G91" s="261">
        <f t="shared" si="39"/>
        <v>1.7355371900826444E-3</v>
      </c>
      <c r="H91" s="261">
        <f t="shared" si="39"/>
        <v>1.7355371900826444E-3</v>
      </c>
      <c r="I91" s="261">
        <f t="shared" si="39"/>
        <v>1.7355371900826444E-3</v>
      </c>
      <c r="J91" s="261">
        <f t="shared" si="39"/>
        <v>1.7355371900826444E-3</v>
      </c>
      <c r="K91" s="261">
        <f t="shared" si="39"/>
        <v>1.7355371900826444E-3</v>
      </c>
    </row>
    <row r="92" spans="1:11" ht="14.25" hidden="1" outlineLevel="2">
      <c r="A92">
        <v>6</v>
      </c>
      <c r="B92" s="261">
        <f t="shared" si="39"/>
        <v>1.6735537190082643E-3</v>
      </c>
      <c r="C92" s="325">
        <f t="shared" si="39"/>
        <v>1.6735537190082643E-3</v>
      </c>
      <c r="D92" s="261">
        <f t="shared" si="39"/>
        <v>1.6735537190082643E-3</v>
      </c>
      <c r="E92" s="261"/>
      <c r="F92" s="261">
        <f t="shared" si="39"/>
        <v>1.6735537190082643E-3</v>
      </c>
      <c r="G92" s="261">
        <f t="shared" si="39"/>
        <v>1.6735537190082643E-3</v>
      </c>
      <c r="H92" s="261">
        <f t="shared" si="39"/>
        <v>1.6735537190082643E-3</v>
      </c>
      <c r="I92" s="261">
        <f t="shared" si="39"/>
        <v>1.6735537190082643E-3</v>
      </c>
      <c r="J92" s="261">
        <f t="shared" si="39"/>
        <v>1.6735537190082643E-3</v>
      </c>
      <c r="K92" s="261">
        <f t="shared" si="39"/>
        <v>1.6735537190082643E-3</v>
      </c>
    </row>
    <row r="93" spans="1:11" ht="14.25" hidden="1" outlineLevel="2">
      <c r="A93">
        <v>7</v>
      </c>
      <c r="B93" s="261">
        <f t="shared" si="39"/>
        <v>1.6115702479338842E-3</v>
      </c>
      <c r="C93" s="325">
        <f t="shared" si="39"/>
        <v>1.6115702479338842E-3</v>
      </c>
      <c r="D93" s="261">
        <f t="shared" si="39"/>
        <v>1.6115702479338842E-3</v>
      </c>
      <c r="E93" s="261"/>
      <c r="F93" s="261">
        <f t="shared" si="39"/>
        <v>1.6115702479338842E-3</v>
      </c>
      <c r="G93" s="261">
        <f t="shared" si="39"/>
        <v>1.6115702479338842E-3</v>
      </c>
      <c r="H93" s="261">
        <f t="shared" si="39"/>
        <v>1.6115702479338842E-3</v>
      </c>
      <c r="I93" s="261">
        <f t="shared" si="39"/>
        <v>1.6115702479338842E-3</v>
      </c>
      <c r="J93" s="261">
        <f t="shared" si="39"/>
        <v>1.6115702479338842E-3</v>
      </c>
      <c r="K93" s="261">
        <f t="shared" si="39"/>
        <v>1.6115702479338842E-3</v>
      </c>
    </row>
    <row r="94" spans="1:11" ht="14.25" hidden="1" outlineLevel="2">
      <c r="A94">
        <v>8</v>
      </c>
      <c r="B94" s="261">
        <f t="shared" si="39"/>
        <v>1.549586776859504E-3</v>
      </c>
      <c r="C94" s="325">
        <f t="shared" si="39"/>
        <v>1.549586776859504E-3</v>
      </c>
      <c r="D94" s="261">
        <f t="shared" si="39"/>
        <v>1.549586776859504E-3</v>
      </c>
      <c r="E94" s="261"/>
      <c r="F94" s="261">
        <f t="shared" si="39"/>
        <v>1.549586776859504E-3</v>
      </c>
      <c r="G94" s="261">
        <f t="shared" si="39"/>
        <v>1.549586776859504E-3</v>
      </c>
      <c r="H94" s="261">
        <f t="shared" si="39"/>
        <v>1.549586776859504E-3</v>
      </c>
      <c r="I94" s="261">
        <f t="shared" si="39"/>
        <v>1.549586776859504E-3</v>
      </c>
      <c r="J94" s="261">
        <f t="shared" si="39"/>
        <v>1.549586776859504E-3</v>
      </c>
      <c r="K94" s="261">
        <f t="shared" si="39"/>
        <v>1.549586776859504E-3</v>
      </c>
    </row>
    <row r="95" spans="1:11" ht="14.25" hidden="1" outlineLevel="2">
      <c r="A95">
        <v>9</v>
      </c>
      <c r="B95" s="261">
        <f t="shared" si="39"/>
        <v>1.4876033057851239E-3</v>
      </c>
      <c r="C95" s="325">
        <f t="shared" si="39"/>
        <v>1.4876033057851239E-3</v>
      </c>
      <c r="D95" s="261">
        <f t="shared" si="39"/>
        <v>1.4876033057851239E-3</v>
      </c>
      <c r="E95" s="261"/>
      <c r="F95" s="261">
        <f t="shared" si="39"/>
        <v>1.4876033057851239E-3</v>
      </c>
      <c r="G95" s="261">
        <f t="shared" si="39"/>
        <v>1.4876033057851239E-3</v>
      </c>
      <c r="H95" s="261">
        <f t="shared" si="39"/>
        <v>1.4876033057851239E-3</v>
      </c>
      <c r="I95" s="261">
        <f t="shared" si="39"/>
        <v>1.4876033057851239E-3</v>
      </c>
      <c r="J95" s="261">
        <f t="shared" si="39"/>
        <v>1.4876033057851239E-3</v>
      </c>
      <c r="K95" s="261">
        <f t="shared" si="39"/>
        <v>1.4876033057851239E-3</v>
      </c>
    </row>
    <row r="96" spans="1:11" ht="14.25" hidden="1" outlineLevel="2">
      <c r="A96">
        <v>10</v>
      </c>
      <c r="B96" s="261">
        <f>(B84+B85)*B$60/2</f>
        <v>1.4256198347107436E-3</v>
      </c>
      <c r="C96" s="325">
        <f t="shared" si="39"/>
        <v>1.4256198347107436E-3</v>
      </c>
      <c r="D96" s="261">
        <f t="shared" si="39"/>
        <v>1.4256198347107436E-3</v>
      </c>
      <c r="E96" s="261"/>
      <c r="F96" s="261">
        <f t="shared" si="39"/>
        <v>1.4256198347107436E-3</v>
      </c>
      <c r="G96" s="261">
        <f t="shared" si="39"/>
        <v>1.4256198347107436E-3</v>
      </c>
      <c r="H96" s="261">
        <f t="shared" si="39"/>
        <v>1.4256198347107436E-3</v>
      </c>
      <c r="I96" s="261">
        <f t="shared" si="39"/>
        <v>1.4256198347107436E-3</v>
      </c>
      <c r="J96" s="261">
        <f t="shared" si="39"/>
        <v>1.4256198347107436E-3</v>
      </c>
      <c r="K96" s="261">
        <f t="shared" si="39"/>
        <v>1.4256198347107436E-3</v>
      </c>
    </row>
    <row r="97" spans="1:13" ht="14.25" hidden="1" outlineLevel="1" collapsed="1">
      <c r="A97" t="s">
        <v>490</v>
      </c>
      <c r="B97" s="260">
        <f>SUM(B87:B96)</f>
        <v>1.7045454545454544E-2</v>
      </c>
      <c r="C97" s="324">
        <f t="shared" ref="C97:K97" si="40">SUM(C87:C96)</f>
        <v>1.7045454545454544E-2</v>
      </c>
      <c r="D97" s="260">
        <f t="shared" si="40"/>
        <v>1.7045454545454544E-2</v>
      </c>
      <c r="E97" s="260"/>
      <c r="F97" s="260">
        <f t="shared" si="40"/>
        <v>1.7045454545454544E-2</v>
      </c>
      <c r="G97" s="260">
        <f t="shared" si="40"/>
        <v>1.7045454545454544E-2</v>
      </c>
      <c r="H97" s="260">
        <f t="shared" si="40"/>
        <v>1.7045454545454544E-2</v>
      </c>
      <c r="I97" s="260">
        <f t="shared" si="40"/>
        <v>1.7045454545454544E-2</v>
      </c>
      <c r="J97" s="260">
        <f t="shared" si="40"/>
        <v>1.7045454545454544E-2</v>
      </c>
      <c r="K97" s="260">
        <f t="shared" si="40"/>
        <v>1.7045454545454544E-2</v>
      </c>
    </row>
    <row r="98" spans="1:13" hidden="1" outlineLevel="1">
      <c r="A98" s="264" t="s">
        <v>371</v>
      </c>
    </row>
    <row r="99" spans="1:13" s="166" customFormat="1" ht="14.25" hidden="1" outlineLevel="1">
      <c r="A99" s="166" t="s">
        <v>372</v>
      </c>
      <c r="B99" s="287">
        <f>IF(B11&lt;1,(B101/(B102+B103))/SQRT(1-B11^2),(B101/(B102+B103))/SQRT(1-0.99^2))</f>
        <v>2.0125011551487666</v>
      </c>
      <c r="C99" s="326">
        <f t="shared" ref="C99:K99" si="41">IF(C11&lt;1,(C101/(C102+C103))/SQRT(1-C11^2),(C101/(C102+C103))/SQRT(1-0.99^2))</f>
        <v>1.7516574184821574</v>
      </c>
      <c r="D99" s="287">
        <f t="shared" si="41"/>
        <v>1.8270316629357042</v>
      </c>
      <c r="E99" s="287"/>
      <c r="F99" s="287">
        <f t="shared" si="41"/>
        <v>2.4405161277517413</v>
      </c>
      <c r="G99" s="287">
        <f t="shared" si="41"/>
        <v>12.354928369089945</v>
      </c>
      <c r="H99" s="287">
        <f t="shared" si="41"/>
        <v>12.354928369089945</v>
      </c>
      <c r="I99" s="287">
        <f t="shared" si="41"/>
        <v>12.354928369089945</v>
      </c>
      <c r="J99" s="287">
        <f t="shared" si="41"/>
        <v>12.354928369089945</v>
      </c>
      <c r="K99" s="287">
        <f t="shared" si="41"/>
        <v>12.354928369089945</v>
      </c>
      <c r="M99" s="336"/>
    </row>
    <row r="100" spans="1:13" s="166" customFormat="1" ht="14.25" hidden="1" outlineLevel="1">
      <c r="A100" s="166" t="s">
        <v>509</v>
      </c>
      <c r="B100" s="287">
        <f>IF(B10&lt;1,B99,IF(B10&gt;1,(4)/SQRT(B10^2-1),(4)/SQRT((1.01)^2-1)))</f>
        <v>2.0125011551487666</v>
      </c>
      <c r="C100" s="326">
        <f t="shared" ref="C100:K100" si="42">IF(C10&lt;1,C99,IF(C10&gt;1,(4)/SQRT(C10^2-1),(4)/SQRT((1.01)^2-1)))</f>
        <v>1.7516574184821574</v>
      </c>
      <c r="D100" s="287">
        <f t="shared" si="42"/>
        <v>1.8270316629357042</v>
      </c>
      <c r="E100" s="287"/>
      <c r="F100" s="287">
        <f t="shared" si="42"/>
        <v>2.4405161277517413</v>
      </c>
      <c r="G100" s="287">
        <f t="shared" si="42"/>
        <v>28.213824634343929</v>
      </c>
      <c r="H100" s="287">
        <f t="shared" si="42"/>
        <v>3.5777087639996634</v>
      </c>
      <c r="I100" s="287">
        <f t="shared" si="42"/>
        <v>2.3094010767585034</v>
      </c>
      <c r="J100" s="287">
        <f t="shared" si="42"/>
        <v>1.4142135623730949</v>
      </c>
      <c r="K100" s="287">
        <f t="shared" si="42"/>
        <v>0.81649658092772615</v>
      </c>
      <c r="M100" s="336"/>
    </row>
    <row r="101" spans="1:13" ht="14.25" hidden="1" outlineLevel="2">
      <c r="A101" t="s">
        <v>373</v>
      </c>
      <c r="B101" s="190">
        <f>PI()*COS(RADIANS(B49))</f>
        <v>2.2214414690791831</v>
      </c>
      <c r="C101" s="318">
        <f t="shared" ref="C101:K101" si="43">PI()*COS(RADIANS(C49))</f>
        <v>2.2214414690791831</v>
      </c>
      <c r="D101" s="190">
        <f t="shared" si="43"/>
        <v>2.2214414690791831</v>
      </c>
      <c r="F101" s="190">
        <f t="shared" si="43"/>
        <v>2.2214414690791831</v>
      </c>
      <c r="G101" s="190">
        <f t="shared" si="43"/>
        <v>2.2214414690791831</v>
      </c>
      <c r="H101" s="190">
        <f t="shared" si="43"/>
        <v>2.2214414690791831</v>
      </c>
      <c r="I101" s="190">
        <f t="shared" si="43"/>
        <v>2.2214414690791831</v>
      </c>
      <c r="J101" s="190">
        <f t="shared" si="43"/>
        <v>2.2214414690791831</v>
      </c>
      <c r="K101" s="190">
        <f t="shared" si="43"/>
        <v>2.2214414690791831</v>
      </c>
    </row>
    <row r="102" spans="1:13" ht="14.25" hidden="1" outlineLevel="2">
      <c r="A102" t="s">
        <v>374</v>
      </c>
      <c r="B102" s="190">
        <f>SQRT(1+((B101/(PI()*B57))^2))</f>
        <v>1.0295766535643616</v>
      </c>
      <c r="C102" s="318">
        <f t="shared" ref="C102:K102" si="44">SQRT(1+((C101/(PI()*C57))^2))</f>
        <v>1.0295766535643616</v>
      </c>
      <c r="D102" s="190">
        <f t="shared" si="44"/>
        <v>1.0295766535643616</v>
      </c>
      <c r="F102" s="190">
        <f t="shared" si="44"/>
        <v>1.0295766535643616</v>
      </c>
      <c r="G102" s="190">
        <f t="shared" si="44"/>
        <v>1.0295766535643616</v>
      </c>
      <c r="H102" s="190">
        <f t="shared" si="44"/>
        <v>1.0295766535643616</v>
      </c>
      <c r="I102" s="190">
        <f t="shared" si="44"/>
        <v>1.0295766535643616</v>
      </c>
      <c r="J102" s="190">
        <f t="shared" si="44"/>
        <v>1.0295766535643616</v>
      </c>
      <c r="K102" s="190">
        <f t="shared" si="44"/>
        <v>1.0295766535643616</v>
      </c>
    </row>
    <row r="103" spans="1:13" ht="14.25" hidden="1" outlineLevel="2">
      <c r="A103" t="s">
        <v>375</v>
      </c>
      <c r="B103" s="190">
        <f>B101/(PI()*B57)</f>
        <v>0.24500629699007567</v>
      </c>
      <c r="C103" s="318">
        <f t="shared" ref="C103:K103" si="45">C101/(PI()*C57)</f>
        <v>0.24500629699007567</v>
      </c>
      <c r="D103" s="190">
        <f t="shared" si="45"/>
        <v>0.24500629699007567</v>
      </c>
      <c r="F103" s="190">
        <f t="shared" si="45"/>
        <v>0.24500629699007567</v>
      </c>
      <c r="G103" s="190">
        <f t="shared" si="45"/>
        <v>0.24500629699007567</v>
      </c>
      <c r="H103" s="190">
        <f t="shared" si="45"/>
        <v>0.24500629699007567</v>
      </c>
      <c r="I103" s="190">
        <f t="shared" si="45"/>
        <v>0.24500629699007567</v>
      </c>
      <c r="J103" s="190">
        <f t="shared" si="45"/>
        <v>0.24500629699007567</v>
      </c>
      <c r="K103" s="190">
        <f t="shared" si="45"/>
        <v>0.24500629699007567</v>
      </c>
    </row>
    <row r="104" spans="1:13" ht="14.25" hidden="1" outlineLevel="2"/>
    <row r="105" spans="1:13" ht="14.25" hidden="1" outlineLevel="1" collapsed="1">
      <c r="A105" t="s">
        <v>376</v>
      </c>
      <c r="B105" s="185">
        <f>(B20*B3*B44)/B23</f>
        <v>1643771.1991620688</v>
      </c>
      <c r="C105" s="322">
        <f t="shared" ref="C105:K105" si="46">(C20*C3*C44)/C23</f>
        <v>341245.90030331042</v>
      </c>
      <c r="D105" s="185">
        <f t="shared" si="46"/>
        <v>1023737.7009099312</v>
      </c>
      <c r="E105" s="185"/>
      <c r="F105" s="185">
        <f t="shared" si="46"/>
        <v>2388721.3021231727</v>
      </c>
      <c r="G105" s="185">
        <f t="shared" si="46"/>
        <v>3412459.0030331039</v>
      </c>
      <c r="H105" s="185">
        <f t="shared" si="46"/>
        <v>5118688.5045496561</v>
      </c>
      <c r="I105" s="185">
        <f t="shared" si="46"/>
        <v>6824918.0060662078</v>
      </c>
      <c r="J105" s="185">
        <f t="shared" si="46"/>
        <v>10237377.009099312</v>
      </c>
      <c r="K105" s="185">
        <f t="shared" si="46"/>
        <v>17062295.015165523</v>
      </c>
    </row>
    <row r="106" spans="1:13" ht="14.25" hidden="1" outlineLevel="1">
      <c r="A106" t="s">
        <v>377</v>
      </c>
      <c r="B106" s="185">
        <f>(B20*B3*B45)/B23</f>
        <v>109584746.61080459</v>
      </c>
      <c r="C106" s="322">
        <f t="shared" ref="C106:K106" si="47">(C20*C3*C45)/C23</f>
        <v>22749726.686887365</v>
      </c>
      <c r="D106" s="185">
        <f t="shared" si="47"/>
        <v>68249180.060662091</v>
      </c>
      <c r="E106" s="185"/>
      <c r="F106" s="185">
        <f t="shared" si="47"/>
        <v>159248086.80821151</v>
      </c>
      <c r="G106" s="185">
        <f t="shared" si="47"/>
        <v>227497266.8688736</v>
      </c>
      <c r="H106" s="185">
        <f t="shared" si="47"/>
        <v>341245900.30331039</v>
      </c>
      <c r="I106" s="185">
        <f t="shared" si="47"/>
        <v>454994533.73774719</v>
      </c>
      <c r="J106" s="185">
        <f t="shared" si="47"/>
        <v>682491800.60662079</v>
      </c>
      <c r="K106" s="185">
        <f t="shared" si="47"/>
        <v>1137486334.3443682</v>
      </c>
    </row>
    <row r="107" spans="1:13" s="273" customFormat="1" hidden="1" outlineLevel="1">
      <c r="A107" s="274" t="s">
        <v>486</v>
      </c>
      <c r="B107" s="276">
        <v>1.8564485158890635E-2</v>
      </c>
      <c r="C107" s="327">
        <v>1.0835747058992552E-3</v>
      </c>
      <c r="D107" s="276">
        <v>1.0835747058992552E-3</v>
      </c>
      <c r="E107" s="276"/>
      <c r="F107" s="276">
        <v>1.0835747058992552E-3</v>
      </c>
      <c r="G107" s="276">
        <v>1.0835747058992552E-3</v>
      </c>
      <c r="H107" s="276">
        <v>1.0835747058992552E-3</v>
      </c>
      <c r="I107" s="276">
        <v>1.0835747058992552E-3</v>
      </c>
      <c r="J107" s="276">
        <v>1.0835747058992552E-3</v>
      </c>
      <c r="K107" s="276">
        <v>1.0835747058992552E-3</v>
      </c>
      <c r="M107" s="337"/>
    </row>
    <row r="108" spans="1:13" hidden="1" outlineLevel="1">
      <c r="A108" s="274" t="s">
        <v>487</v>
      </c>
      <c r="B108" s="185">
        <f>B107/1000</f>
        <v>1.8564485158890635E-5</v>
      </c>
      <c r="C108" s="322">
        <f t="shared" ref="C108:K108" si="48">C107/1000</f>
        <v>1.0835747058992552E-6</v>
      </c>
      <c r="D108" s="185">
        <f t="shared" si="48"/>
        <v>1.0835747058992552E-6</v>
      </c>
      <c r="E108" s="185"/>
      <c r="F108" s="185">
        <f t="shared" si="48"/>
        <v>1.0835747058992552E-6</v>
      </c>
      <c r="G108" s="185">
        <f t="shared" si="48"/>
        <v>1.0835747058992552E-6</v>
      </c>
      <c r="H108" s="185">
        <f t="shared" si="48"/>
        <v>1.0835747058992552E-6</v>
      </c>
      <c r="I108" s="185">
        <f t="shared" si="48"/>
        <v>1.0835747058992552E-6</v>
      </c>
      <c r="J108" s="185">
        <f t="shared" si="48"/>
        <v>1.0835747058992552E-6</v>
      </c>
      <c r="K108" s="185">
        <f t="shared" si="48"/>
        <v>1.0835747058992552E-6</v>
      </c>
    </row>
    <row r="109" spans="1:13" ht="14.25" hidden="1" outlineLevel="1">
      <c r="A109" t="s">
        <v>488</v>
      </c>
      <c r="B109" s="190">
        <f>(B108*B3)/B23</f>
        <v>166.19760893838935</v>
      </c>
      <c r="C109" s="318">
        <f t="shared" ref="C109:K109" si="49">(C108*C3)/C23</f>
        <v>2.0082038518447769</v>
      </c>
      <c r="D109" s="190">
        <f t="shared" si="49"/>
        <v>6.0246115555343307</v>
      </c>
      <c r="F109" s="190">
        <f t="shared" si="49"/>
        <v>14.057426962913439</v>
      </c>
      <c r="G109" s="190">
        <f t="shared" si="49"/>
        <v>20.082038518447771</v>
      </c>
      <c r="H109" s="190">
        <f t="shared" si="49"/>
        <v>30.123057777671651</v>
      </c>
      <c r="I109" s="190">
        <f t="shared" si="49"/>
        <v>40.164077036895542</v>
      </c>
      <c r="J109" s="190">
        <f t="shared" si="49"/>
        <v>60.246115555343302</v>
      </c>
      <c r="K109" s="190">
        <f t="shared" si="49"/>
        <v>100.41019259223886</v>
      </c>
    </row>
    <row r="110" spans="1:13" s="186" customFormat="1" hidden="1" outlineLevel="1">
      <c r="A110" s="271" t="s">
        <v>493</v>
      </c>
      <c r="B110" s="277">
        <f>B122</f>
        <v>6.7411948224931262</v>
      </c>
      <c r="C110" s="328">
        <f t="shared" ref="C110:K110" si="50">C122</f>
        <v>8.1455404172422738E-2</v>
      </c>
      <c r="D110" s="277">
        <f t="shared" si="50"/>
        <v>0.24436621251726823</v>
      </c>
      <c r="E110" s="277"/>
      <c r="F110" s="277">
        <f t="shared" si="50"/>
        <v>0.57018782920695921</v>
      </c>
      <c r="G110" s="277">
        <f t="shared" si="50"/>
        <v>0.81455404172422752</v>
      </c>
      <c r="H110" s="277">
        <f t="shared" si="50"/>
        <v>1.2218310625863409</v>
      </c>
      <c r="I110" s="277">
        <f t="shared" si="50"/>
        <v>1.629108083448455</v>
      </c>
      <c r="J110" s="277">
        <f t="shared" si="50"/>
        <v>2.4436621251726818</v>
      </c>
      <c r="K110" s="277">
        <f t="shared" si="50"/>
        <v>4.0727702086211375</v>
      </c>
      <c r="M110" s="338"/>
    </row>
    <row r="111" spans="1:13" ht="14.25" hidden="1" outlineLevel="1">
      <c r="A111" s="270" t="s">
        <v>525</v>
      </c>
      <c r="B111" s="190">
        <f>B44/$A116</f>
        <v>0.03</v>
      </c>
      <c r="C111" s="318">
        <f t="shared" ref="C111:K111" si="51">C44/$A116</f>
        <v>0.03</v>
      </c>
      <c r="D111" s="190">
        <f t="shared" si="51"/>
        <v>0.03</v>
      </c>
      <c r="F111" s="190">
        <f t="shared" si="51"/>
        <v>0.03</v>
      </c>
      <c r="G111" s="190">
        <f t="shared" si="51"/>
        <v>0.03</v>
      </c>
      <c r="H111" s="190">
        <f t="shared" si="51"/>
        <v>0.03</v>
      </c>
      <c r="I111" s="190">
        <f t="shared" si="51"/>
        <v>0.03</v>
      </c>
      <c r="J111" s="190">
        <f t="shared" si="51"/>
        <v>0.03</v>
      </c>
      <c r="K111" s="190">
        <f t="shared" si="51"/>
        <v>0.03</v>
      </c>
    </row>
    <row r="112" spans="1:13" ht="14.25" hidden="1" outlineLevel="2">
      <c r="A112">
        <v>1</v>
      </c>
      <c r="B112" s="185">
        <f t="shared" ref="B112:D116" si="52">(B$20*B$3*($A112*B$111))/B$23</f>
        <v>328754.23983241373</v>
      </c>
      <c r="C112" s="322">
        <f t="shared" si="52"/>
        <v>68249.180060662082</v>
      </c>
      <c r="D112" s="185">
        <f t="shared" si="52"/>
        <v>204747.54018198623</v>
      </c>
      <c r="E112" s="185"/>
      <c r="F112" s="185">
        <f t="shared" ref="F112:K116" si="53">(F$20*F$3*($A112*F$111))/F$23</f>
        <v>477744.26042463456</v>
      </c>
      <c r="G112" s="185">
        <f t="shared" si="53"/>
        <v>682491.80060662073</v>
      </c>
      <c r="H112" s="185">
        <f t="shared" si="53"/>
        <v>1023737.7009099312</v>
      </c>
      <c r="I112" s="185">
        <f t="shared" si="53"/>
        <v>1364983.6012132415</v>
      </c>
      <c r="J112" s="185">
        <f t="shared" si="53"/>
        <v>2047475.4018198624</v>
      </c>
      <c r="K112" s="185">
        <f t="shared" si="53"/>
        <v>3412459.0030331044</v>
      </c>
    </row>
    <row r="113" spans="1:13" ht="14.25" hidden="1" outlineLevel="2">
      <c r="A113">
        <v>2</v>
      </c>
      <c r="B113" s="185">
        <f t="shared" si="52"/>
        <v>657508.47966482746</v>
      </c>
      <c r="C113" s="322">
        <f t="shared" si="52"/>
        <v>136498.36012132416</v>
      </c>
      <c r="D113" s="185">
        <f t="shared" si="52"/>
        <v>409495.08036397246</v>
      </c>
      <c r="E113" s="185"/>
      <c r="F113" s="185">
        <f t="shared" si="53"/>
        <v>955488.52084926912</v>
      </c>
      <c r="G113" s="185">
        <f t="shared" si="53"/>
        <v>1364983.6012132415</v>
      </c>
      <c r="H113" s="185">
        <f t="shared" si="53"/>
        <v>2047475.4018198624</v>
      </c>
      <c r="I113" s="185">
        <f t="shared" si="53"/>
        <v>2729967.2024264829</v>
      </c>
      <c r="J113" s="185">
        <f t="shared" si="53"/>
        <v>4094950.8036397249</v>
      </c>
      <c r="K113" s="185">
        <f t="shared" si="53"/>
        <v>6824918.0060662087</v>
      </c>
    </row>
    <row r="114" spans="1:13" ht="14.25" hidden="1" outlineLevel="2">
      <c r="A114">
        <v>3</v>
      </c>
      <c r="B114" s="185">
        <f t="shared" si="52"/>
        <v>986262.7194972412</v>
      </c>
      <c r="C114" s="322">
        <f t="shared" si="52"/>
        <v>204747.54018198623</v>
      </c>
      <c r="D114" s="185">
        <f t="shared" si="52"/>
        <v>614242.62054595875</v>
      </c>
      <c r="E114" s="185"/>
      <c r="F114" s="185">
        <f t="shared" si="53"/>
        <v>1433232.7812739036</v>
      </c>
      <c r="G114" s="185">
        <f t="shared" si="53"/>
        <v>2047475.4018198624</v>
      </c>
      <c r="H114" s="185">
        <f t="shared" si="53"/>
        <v>3071213.1027297936</v>
      </c>
      <c r="I114" s="185">
        <f t="shared" si="53"/>
        <v>4094950.8036397249</v>
      </c>
      <c r="J114" s="185">
        <f t="shared" si="53"/>
        <v>6142426.2054595873</v>
      </c>
      <c r="K114" s="185">
        <f t="shared" si="53"/>
        <v>10237377.009099314</v>
      </c>
    </row>
    <row r="115" spans="1:13" ht="14.25" hidden="1" outlineLevel="2">
      <c r="A115">
        <v>4</v>
      </c>
      <c r="B115" s="185">
        <f t="shared" si="52"/>
        <v>1315016.9593296549</v>
      </c>
      <c r="C115" s="322">
        <f t="shared" si="52"/>
        <v>272996.72024264833</v>
      </c>
      <c r="D115" s="185">
        <f t="shared" si="52"/>
        <v>818990.16072794492</v>
      </c>
      <c r="E115" s="185"/>
      <c r="F115" s="185">
        <f t="shared" si="53"/>
        <v>1910977.0416985382</v>
      </c>
      <c r="G115" s="185">
        <f t="shared" si="53"/>
        <v>2729967.2024264829</v>
      </c>
      <c r="H115" s="185">
        <f t="shared" si="53"/>
        <v>4094950.8036397249</v>
      </c>
      <c r="I115" s="185">
        <f t="shared" si="53"/>
        <v>5459934.4048529658</v>
      </c>
      <c r="J115" s="185">
        <f t="shared" si="53"/>
        <v>8189901.6072794497</v>
      </c>
      <c r="K115" s="185">
        <f t="shared" si="53"/>
        <v>13649836.012132417</v>
      </c>
    </row>
    <row r="116" spans="1:13" ht="14.25" hidden="1" outlineLevel="2">
      <c r="A116">
        <v>5</v>
      </c>
      <c r="B116" s="185">
        <f t="shared" si="52"/>
        <v>1643771.1991620688</v>
      </c>
      <c r="C116" s="322">
        <f t="shared" si="52"/>
        <v>341245.90030331042</v>
      </c>
      <c r="D116" s="185">
        <f t="shared" si="52"/>
        <v>1023737.7009099312</v>
      </c>
      <c r="E116" s="185"/>
      <c r="F116" s="185">
        <f t="shared" si="53"/>
        <v>2388721.3021231727</v>
      </c>
      <c r="G116" s="185">
        <f t="shared" si="53"/>
        <v>3412459.0030331039</v>
      </c>
      <c r="H116" s="185">
        <f t="shared" si="53"/>
        <v>5118688.5045496561</v>
      </c>
      <c r="I116" s="185">
        <f t="shared" si="53"/>
        <v>6824918.0060662078</v>
      </c>
      <c r="J116" s="185">
        <f t="shared" si="53"/>
        <v>10237377.009099312</v>
      </c>
      <c r="K116" s="185">
        <f t="shared" si="53"/>
        <v>17062295.015165523</v>
      </c>
    </row>
    <row r="117" spans="1:13" ht="14.25" hidden="1" outlineLevel="1" collapsed="1">
      <c r="A117" s="270" t="s">
        <v>489</v>
      </c>
      <c r="B117" s="185"/>
      <c r="C117" s="322"/>
      <c r="D117" s="185"/>
      <c r="E117" s="185"/>
      <c r="F117" s="185"/>
      <c r="G117" s="185"/>
      <c r="H117" s="185"/>
      <c r="I117" s="185"/>
      <c r="J117" s="185"/>
      <c r="K117" s="185"/>
    </row>
    <row r="118" spans="1:13" ht="14.25" hidden="1" outlineLevel="2">
      <c r="A118">
        <v>1</v>
      </c>
      <c r="B118" s="185">
        <f>B$109*(SQRT(0.0576/(2*($B112^(1/5)))))</f>
        <v>7.9183351375473006</v>
      </c>
      <c r="C118" s="322">
        <f t="shared" ref="C118:K122" si="54">C$109*(SQRT(0.0576/(2*($B112^(1/5)))))</f>
        <v>9.5679060757818596E-2</v>
      </c>
      <c r="D118" s="185">
        <f t="shared" si="54"/>
        <v>0.28703718227345582</v>
      </c>
      <c r="E118" s="185"/>
      <c r="F118" s="185">
        <f t="shared" si="54"/>
        <v>0.66975342530473025</v>
      </c>
      <c r="G118" s="185">
        <f t="shared" si="54"/>
        <v>0.95679060757818601</v>
      </c>
      <c r="H118" s="185">
        <f t="shared" si="54"/>
        <v>1.4351859113672789</v>
      </c>
      <c r="I118" s="185">
        <f t="shared" si="54"/>
        <v>1.913581215156372</v>
      </c>
      <c r="J118" s="185">
        <f t="shared" si="54"/>
        <v>2.8703718227345578</v>
      </c>
      <c r="K118" s="185">
        <f t="shared" si="54"/>
        <v>4.7839530378909307</v>
      </c>
    </row>
    <row r="119" spans="1:13" ht="14.25" hidden="1" outlineLevel="2">
      <c r="A119">
        <v>2</v>
      </c>
      <c r="B119" s="185">
        <f t="shared" ref="B119:B122" si="55">B$109*(SQRT(0.0576/(2*($B113^(1/5)))))</f>
        <v>7.3880679213767753</v>
      </c>
      <c r="C119" s="322">
        <f t="shared" si="54"/>
        <v>8.9271720286299441E-2</v>
      </c>
      <c r="D119" s="185">
        <f t="shared" si="54"/>
        <v>0.26781516085889834</v>
      </c>
      <c r="E119" s="185"/>
      <c r="F119" s="185">
        <f t="shared" si="54"/>
        <v>0.62490204200409616</v>
      </c>
      <c r="G119" s="185">
        <f t="shared" si="54"/>
        <v>0.8927172028629945</v>
      </c>
      <c r="H119" s="185">
        <f t="shared" si="54"/>
        <v>1.3390758042944915</v>
      </c>
      <c r="I119" s="185">
        <f t="shared" si="54"/>
        <v>1.785434405725989</v>
      </c>
      <c r="J119" s="185">
        <f t="shared" si="54"/>
        <v>2.6781516085889829</v>
      </c>
      <c r="K119" s="185">
        <f t="shared" si="54"/>
        <v>4.4635860143149726</v>
      </c>
    </row>
    <row r="120" spans="1:13" ht="14.25" hidden="1" outlineLevel="2">
      <c r="A120">
        <v>3</v>
      </c>
      <c r="B120" s="185">
        <f t="shared" si="55"/>
        <v>7.0944993543398702</v>
      </c>
      <c r="C120" s="322">
        <f t="shared" si="54"/>
        <v>8.5724463915585872E-2</v>
      </c>
      <c r="D120" s="185">
        <f t="shared" si="54"/>
        <v>0.25717339174675763</v>
      </c>
      <c r="E120" s="185"/>
      <c r="F120" s="185">
        <f t="shared" si="54"/>
        <v>0.60007124740910123</v>
      </c>
      <c r="G120" s="185">
        <f t="shared" si="54"/>
        <v>0.8572446391558588</v>
      </c>
      <c r="H120" s="185">
        <f t="shared" si="54"/>
        <v>1.2858669587337881</v>
      </c>
      <c r="I120" s="185">
        <f t="shared" si="54"/>
        <v>1.7144892783117176</v>
      </c>
      <c r="J120" s="185">
        <f t="shared" si="54"/>
        <v>2.5717339174675762</v>
      </c>
      <c r="K120" s="185">
        <f t="shared" si="54"/>
        <v>4.2862231957792947</v>
      </c>
    </row>
    <row r="121" spans="1:13" ht="14.25" hidden="1" outlineLevel="2">
      <c r="A121">
        <v>4</v>
      </c>
      <c r="B121" s="185">
        <f t="shared" si="55"/>
        <v>6.8933111143592978</v>
      </c>
      <c r="C121" s="322">
        <f t="shared" si="54"/>
        <v>8.3293460238363093E-2</v>
      </c>
      <c r="D121" s="185">
        <f t="shared" si="54"/>
        <v>0.24988038071508928</v>
      </c>
      <c r="E121" s="185"/>
      <c r="F121" s="185">
        <f t="shared" si="54"/>
        <v>0.58305422166854171</v>
      </c>
      <c r="G121" s="185">
        <f t="shared" si="54"/>
        <v>0.83293460238363104</v>
      </c>
      <c r="H121" s="185">
        <f t="shared" si="54"/>
        <v>1.2494019035754462</v>
      </c>
      <c r="I121" s="185">
        <f t="shared" si="54"/>
        <v>1.6658692047672621</v>
      </c>
      <c r="J121" s="185">
        <f t="shared" si="54"/>
        <v>2.4988038071508925</v>
      </c>
      <c r="K121" s="185">
        <f t="shared" si="54"/>
        <v>4.164673011918155</v>
      </c>
    </row>
    <row r="122" spans="1:13" ht="14.25" hidden="1" outlineLevel="2">
      <c r="A122">
        <v>5</v>
      </c>
      <c r="B122" s="185">
        <f t="shared" si="55"/>
        <v>6.7411948224931262</v>
      </c>
      <c r="C122" s="322">
        <f t="shared" si="54"/>
        <v>8.1455404172422738E-2</v>
      </c>
      <c r="D122" s="185">
        <f t="shared" si="54"/>
        <v>0.24436621251726823</v>
      </c>
      <c r="E122" s="185"/>
      <c r="F122" s="185">
        <f t="shared" si="54"/>
        <v>0.57018782920695921</v>
      </c>
      <c r="G122" s="185">
        <f t="shared" si="54"/>
        <v>0.81455404172422752</v>
      </c>
      <c r="H122" s="185">
        <f t="shared" si="54"/>
        <v>1.2218310625863409</v>
      </c>
      <c r="I122" s="185">
        <f t="shared" si="54"/>
        <v>1.629108083448455</v>
      </c>
      <c r="J122" s="185">
        <f t="shared" si="54"/>
        <v>2.4436621251726818</v>
      </c>
      <c r="K122" s="185">
        <f t="shared" si="54"/>
        <v>4.0727702086211375</v>
      </c>
    </row>
    <row r="123" spans="1:13" s="186" customFormat="1" hidden="1" outlineLevel="1" collapsed="1">
      <c r="A123" s="271" t="s">
        <v>492</v>
      </c>
      <c r="B123" s="277">
        <f>B129</f>
        <v>6.6648315483583875</v>
      </c>
      <c r="C123" s="328">
        <f t="shared" ref="C123:K123" si="56">C129</f>
        <v>8.1417411350857796E-2</v>
      </c>
      <c r="D123" s="277">
        <f t="shared" si="56"/>
        <v>0.24335039274824533</v>
      </c>
      <c r="E123" s="277"/>
      <c r="F123" s="277">
        <f t="shared" si="56"/>
        <v>0.55787550956958654</v>
      </c>
      <c r="G123" s="277">
        <f t="shared" si="56"/>
        <v>0.78060455649454119</v>
      </c>
      <c r="H123" s="277">
        <f t="shared" si="56"/>
        <v>1.1202932866525079</v>
      </c>
      <c r="I123" s="277">
        <f t="shared" si="56"/>
        <v>1.4201812307149726</v>
      </c>
      <c r="J123" s="277">
        <f t="shared" si="56"/>
        <v>1.9214529625666641</v>
      </c>
      <c r="K123" s="277">
        <f t="shared" si="56"/>
        <v>2.6803505086955641</v>
      </c>
      <c r="M123" s="338"/>
    </row>
    <row r="124" spans="1:13" ht="14.25" hidden="1" outlineLevel="1">
      <c r="A124" s="270" t="s">
        <v>526</v>
      </c>
    </row>
    <row r="125" spans="1:13" ht="14.25" hidden="1" outlineLevel="2">
      <c r="A125">
        <v>1</v>
      </c>
      <c r="B125" s="185">
        <f>B118*SQRT((1+0.2*B$11^2)^(-0.467))</f>
        <v>7.8286373891924139</v>
      </c>
      <c r="C125" s="322">
        <f t="shared" ref="C125:K129" si="57">C118*SQRT((1+0.2*C$11^2)^(-0.467))</f>
        <v>9.5634433669907051E-2</v>
      </c>
      <c r="D125" s="185">
        <f t="shared" si="57"/>
        <v>0.28584398112999826</v>
      </c>
      <c r="E125" s="185"/>
      <c r="F125" s="185">
        <f t="shared" si="57"/>
        <v>0.65529114142531775</v>
      </c>
      <c r="G125" s="185">
        <f t="shared" si="57"/>
        <v>0.91691289911930951</v>
      </c>
      <c r="H125" s="185">
        <f t="shared" si="57"/>
        <v>1.315917716316372</v>
      </c>
      <c r="I125" s="185">
        <f t="shared" si="57"/>
        <v>1.6681717762158628</v>
      </c>
      <c r="J125" s="185">
        <f t="shared" si="57"/>
        <v>2.2569750480833979</v>
      </c>
      <c r="K125" s="185">
        <f t="shared" si="57"/>
        <v>3.1483904816294177</v>
      </c>
    </row>
    <row r="126" spans="1:13" ht="14.25" hidden="1" outlineLevel="2">
      <c r="A126">
        <v>2</v>
      </c>
      <c r="B126" s="185">
        <f t="shared" ref="B126:B128" si="58">B119*SQRT((1+0.2*B$11^2)^(-0.467))</f>
        <v>7.3043769628950992</v>
      </c>
      <c r="C126" s="322">
        <f t="shared" si="57"/>
        <v>8.9230081740961753E-2</v>
      </c>
      <c r="D126" s="185">
        <f t="shared" si="57"/>
        <v>0.26670186482651298</v>
      </c>
      <c r="E126" s="185"/>
      <c r="F126" s="185">
        <f t="shared" si="57"/>
        <v>0.61140825401163335</v>
      </c>
      <c r="G126" s="185">
        <f t="shared" si="57"/>
        <v>0.85550998524397626</v>
      </c>
      <c r="H126" s="185">
        <f t="shared" si="57"/>
        <v>1.2277946434709484</v>
      </c>
      <c r="I126" s="185">
        <f t="shared" si="57"/>
        <v>1.556459302759956</v>
      </c>
      <c r="J126" s="185">
        <f t="shared" si="57"/>
        <v>2.1058321809371825</v>
      </c>
      <c r="K126" s="185">
        <f t="shared" si="57"/>
        <v>2.9375521896007051</v>
      </c>
    </row>
    <row r="127" spans="1:13" ht="14.25" hidden="1" outlineLevel="2">
      <c r="A127">
        <v>3</v>
      </c>
      <c r="B127" s="185">
        <f t="shared" si="58"/>
        <v>7.0141338978726413</v>
      </c>
      <c r="C127" s="322">
        <f t="shared" si="57"/>
        <v>8.5684479898633467E-2</v>
      </c>
      <c r="D127" s="185">
        <f t="shared" si="57"/>
        <v>0.25610433308798514</v>
      </c>
      <c r="E127" s="185"/>
      <c r="F127" s="185">
        <f t="shared" si="57"/>
        <v>0.58711364181872283</v>
      </c>
      <c r="G127" s="185">
        <f t="shared" si="57"/>
        <v>0.82151586890306483</v>
      </c>
      <c r="H127" s="185">
        <f t="shared" si="57"/>
        <v>1.1790076103879898</v>
      </c>
      <c r="I127" s="185">
        <f t="shared" si="57"/>
        <v>1.4946126153681931</v>
      </c>
      <c r="J127" s="185">
        <f t="shared" si="57"/>
        <v>2.022155887979832</v>
      </c>
      <c r="K127" s="185">
        <f t="shared" si="57"/>
        <v>2.8208270868980092</v>
      </c>
    </row>
    <row r="128" spans="1:13" ht="14.25" hidden="1" outlineLevel="2">
      <c r="A128">
        <v>4</v>
      </c>
      <c r="B128" s="185">
        <f t="shared" si="58"/>
        <v>6.815224689002557</v>
      </c>
      <c r="C128" s="322">
        <f t="shared" si="57"/>
        <v>8.3254610101843429E-2</v>
      </c>
      <c r="D128" s="185">
        <f t="shared" si="57"/>
        <v>0.24884163878752671</v>
      </c>
      <c r="E128" s="185"/>
      <c r="F128" s="185">
        <f t="shared" si="57"/>
        <v>0.57046407229077067</v>
      </c>
      <c r="G128" s="185">
        <f t="shared" si="57"/>
        <v>0.79821904082179751</v>
      </c>
      <c r="H128" s="185">
        <f t="shared" si="57"/>
        <v>1.1455729091905671</v>
      </c>
      <c r="I128" s="185">
        <f t="shared" si="57"/>
        <v>1.4522278794594157</v>
      </c>
      <c r="J128" s="185">
        <f t="shared" si="57"/>
        <v>1.9648108994542994</v>
      </c>
      <c r="K128" s="185">
        <f t="shared" si="57"/>
        <v>2.7408331072586454</v>
      </c>
    </row>
    <row r="129" spans="1:13" ht="14.25" hidden="1" outlineLevel="2">
      <c r="A129">
        <v>5</v>
      </c>
      <c r="B129" s="185">
        <f>B122*SQRT((1+0.2*B$11^2)^(-0.467))</f>
        <v>6.6648315483583875</v>
      </c>
      <c r="C129" s="322">
        <f t="shared" si="57"/>
        <v>8.1417411350857796E-2</v>
      </c>
      <c r="D129" s="185">
        <f t="shared" si="57"/>
        <v>0.24335039274824533</v>
      </c>
      <c r="E129" s="185"/>
      <c r="F129" s="185">
        <f t="shared" si="57"/>
        <v>0.55787550956958654</v>
      </c>
      <c r="G129" s="185">
        <f t="shared" si="57"/>
        <v>0.78060455649454119</v>
      </c>
      <c r="H129" s="185">
        <f t="shared" si="57"/>
        <v>1.1202932866525079</v>
      </c>
      <c r="I129" s="185">
        <f t="shared" si="57"/>
        <v>1.4201812307149726</v>
      </c>
      <c r="J129" s="185">
        <f t="shared" si="57"/>
        <v>1.9214529625666641</v>
      </c>
      <c r="K129" s="185">
        <f t="shared" si="57"/>
        <v>2.6803505086955641</v>
      </c>
    </row>
    <row r="130" spans="1:13" ht="14.25" hidden="1" outlineLevel="1" collapsed="1"/>
    <row r="131" spans="1:13" ht="14.25" hidden="1" outlineLevel="1"/>
    <row r="132" spans="1:13" ht="15" hidden="1" customHeight="1" outlineLevel="1">
      <c r="A132" s="264" t="s">
        <v>516</v>
      </c>
    </row>
    <row r="133" spans="1:13" s="265" customFormat="1" ht="15" hidden="1" customHeight="1" outlineLevel="1">
      <c r="A133" s="269" t="s">
        <v>378</v>
      </c>
      <c r="B133" s="275">
        <f t="shared" ref="B133:K133" si="59">IF(B10&lt;1,B99*RADIANS(B13),B100*RADIANS(B13))</f>
        <v>0.52687157036302812</v>
      </c>
      <c r="C133" s="329">
        <f t="shared" si="59"/>
        <v>0</v>
      </c>
      <c r="D133" s="275">
        <f t="shared" si="59"/>
        <v>0</v>
      </c>
      <c r="E133" s="275"/>
      <c r="F133" s="275">
        <f t="shared" si="59"/>
        <v>0</v>
      </c>
      <c r="G133" s="275">
        <f t="shared" si="59"/>
        <v>0</v>
      </c>
      <c r="H133" s="275">
        <f t="shared" si="59"/>
        <v>0</v>
      </c>
      <c r="I133" s="275">
        <f t="shared" si="59"/>
        <v>0</v>
      </c>
      <c r="J133" s="275">
        <f t="shared" si="59"/>
        <v>0</v>
      </c>
      <c r="K133" s="275">
        <f t="shared" si="59"/>
        <v>0</v>
      </c>
      <c r="M133" s="339"/>
    </row>
    <row r="134" spans="1:13" ht="15" hidden="1" customHeight="1" outlineLevel="1">
      <c r="A134" t="s">
        <v>379</v>
      </c>
    </row>
    <row r="135" spans="1:13" ht="15" hidden="1" customHeight="1" outlineLevel="2">
      <c r="A135">
        <v>1</v>
      </c>
      <c r="B135" s="190">
        <f t="shared" ref="B135:K135" si="60">B$33*(B87)*B$133</f>
        <v>18.503390550651357</v>
      </c>
      <c r="C135" s="318">
        <f t="shared" si="60"/>
        <v>0</v>
      </c>
      <c r="D135" s="190">
        <f t="shared" si="60"/>
        <v>0</v>
      </c>
      <c r="F135" s="190">
        <f t="shared" si="60"/>
        <v>0</v>
      </c>
      <c r="G135" s="190">
        <f t="shared" si="60"/>
        <v>0</v>
      </c>
      <c r="H135" s="190">
        <f t="shared" si="60"/>
        <v>0</v>
      </c>
      <c r="I135" s="190">
        <f t="shared" si="60"/>
        <v>0</v>
      </c>
      <c r="J135" s="190">
        <f t="shared" si="60"/>
        <v>0</v>
      </c>
      <c r="K135" s="190">
        <f t="shared" si="60"/>
        <v>0</v>
      </c>
    </row>
    <row r="136" spans="1:13" ht="15" hidden="1" customHeight="1" outlineLevel="2">
      <c r="A136">
        <v>2</v>
      </c>
      <c r="B136" s="190">
        <f t="shared" ref="B136:K136" si="61">B$33*(B88)*B$133</f>
        <v>17.925159595943509</v>
      </c>
      <c r="C136" s="318">
        <f t="shared" si="61"/>
        <v>0</v>
      </c>
      <c r="D136" s="190">
        <f t="shared" si="61"/>
        <v>0</v>
      </c>
      <c r="F136" s="190">
        <f t="shared" si="61"/>
        <v>0</v>
      </c>
      <c r="G136" s="190">
        <f t="shared" si="61"/>
        <v>0</v>
      </c>
      <c r="H136" s="190">
        <f t="shared" si="61"/>
        <v>0</v>
      </c>
      <c r="I136" s="190">
        <f t="shared" si="61"/>
        <v>0</v>
      </c>
      <c r="J136" s="190">
        <f t="shared" si="61"/>
        <v>0</v>
      </c>
      <c r="K136" s="190">
        <f t="shared" si="61"/>
        <v>0</v>
      </c>
    </row>
    <row r="137" spans="1:13" ht="15" hidden="1" customHeight="1" outlineLevel="2">
      <c r="A137">
        <v>3</v>
      </c>
      <c r="B137" s="190">
        <f t="shared" ref="B137:K137" si="62">B$33*(B89)*B$133</f>
        <v>17.34692864123565</v>
      </c>
      <c r="C137" s="318">
        <f t="shared" si="62"/>
        <v>0</v>
      </c>
      <c r="D137" s="190">
        <f t="shared" si="62"/>
        <v>0</v>
      </c>
      <c r="F137" s="190">
        <f t="shared" si="62"/>
        <v>0</v>
      </c>
      <c r="G137" s="190">
        <f t="shared" si="62"/>
        <v>0</v>
      </c>
      <c r="H137" s="190">
        <f t="shared" si="62"/>
        <v>0</v>
      </c>
      <c r="I137" s="190">
        <f t="shared" si="62"/>
        <v>0</v>
      </c>
      <c r="J137" s="190">
        <f t="shared" si="62"/>
        <v>0</v>
      </c>
      <c r="K137" s="190">
        <f t="shared" si="62"/>
        <v>0</v>
      </c>
    </row>
    <row r="138" spans="1:13" ht="15" hidden="1" customHeight="1" outlineLevel="2">
      <c r="A138">
        <v>4</v>
      </c>
      <c r="B138" s="190">
        <f t="shared" ref="B138:K138" si="63">B$33*(B90)*B$133</f>
        <v>16.768697686527798</v>
      </c>
      <c r="C138" s="318">
        <f t="shared" si="63"/>
        <v>0</v>
      </c>
      <c r="D138" s="190">
        <f t="shared" si="63"/>
        <v>0</v>
      </c>
      <c r="F138" s="190">
        <f t="shared" si="63"/>
        <v>0</v>
      </c>
      <c r="G138" s="190">
        <f t="shared" si="63"/>
        <v>0</v>
      </c>
      <c r="H138" s="190">
        <f t="shared" si="63"/>
        <v>0</v>
      </c>
      <c r="I138" s="190">
        <f t="shared" si="63"/>
        <v>0</v>
      </c>
      <c r="J138" s="190">
        <f t="shared" si="63"/>
        <v>0</v>
      </c>
      <c r="K138" s="190">
        <f t="shared" si="63"/>
        <v>0</v>
      </c>
    </row>
    <row r="139" spans="1:13" ht="15" hidden="1" customHeight="1" outlineLevel="2">
      <c r="A139">
        <v>5</v>
      </c>
      <c r="B139" s="190">
        <f t="shared" ref="B139:K139" si="64">B$33*(B91)*B$133</f>
        <v>16.190466731819939</v>
      </c>
      <c r="C139" s="318">
        <f t="shared" si="64"/>
        <v>0</v>
      </c>
      <c r="D139" s="190">
        <f t="shared" si="64"/>
        <v>0</v>
      </c>
      <c r="F139" s="190">
        <f t="shared" si="64"/>
        <v>0</v>
      </c>
      <c r="G139" s="190">
        <f t="shared" si="64"/>
        <v>0</v>
      </c>
      <c r="H139" s="190">
        <f t="shared" si="64"/>
        <v>0</v>
      </c>
      <c r="I139" s="190">
        <f t="shared" si="64"/>
        <v>0</v>
      </c>
      <c r="J139" s="190">
        <f t="shared" si="64"/>
        <v>0</v>
      </c>
      <c r="K139" s="190">
        <f t="shared" si="64"/>
        <v>0</v>
      </c>
    </row>
    <row r="140" spans="1:13" ht="15" hidden="1" customHeight="1" outlineLevel="2">
      <c r="A140">
        <v>6</v>
      </c>
      <c r="B140" s="190">
        <f t="shared" ref="B140:K140" si="65">B$33*(B92)*B$133</f>
        <v>15.612235777112085</v>
      </c>
      <c r="C140" s="318">
        <f t="shared" si="65"/>
        <v>0</v>
      </c>
      <c r="D140" s="190">
        <f t="shared" si="65"/>
        <v>0</v>
      </c>
      <c r="F140" s="190">
        <f t="shared" si="65"/>
        <v>0</v>
      </c>
      <c r="G140" s="190">
        <f t="shared" si="65"/>
        <v>0</v>
      </c>
      <c r="H140" s="190">
        <f t="shared" si="65"/>
        <v>0</v>
      </c>
      <c r="I140" s="190">
        <f t="shared" si="65"/>
        <v>0</v>
      </c>
      <c r="J140" s="190">
        <f t="shared" si="65"/>
        <v>0</v>
      </c>
      <c r="K140" s="190">
        <f t="shared" si="65"/>
        <v>0</v>
      </c>
    </row>
    <row r="141" spans="1:13" ht="15" hidden="1" customHeight="1" outlineLevel="2">
      <c r="A141">
        <v>7</v>
      </c>
      <c r="B141" s="190">
        <f t="shared" ref="B141:K141" si="66">B$33*(B93)*B$133</f>
        <v>15.034004822404231</v>
      </c>
      <c r="C141" s="318">
        <f t="shared" si="66"/>
        <v>0</v>
      </c>
      <c r="D141" s="190">
        <f t="shared" si="66"/>
        <v>0</v>
      </c>
      <c r="F141" s="190">
        <f t="shared" si="66"/>
        <v>0</v>
      </c>
      <c r="G141" s="190">
        <f t="shared" si="66"/>
        <v>0</v>
      </c>
      <c r="H141" s="190">
        <f t="shared" si="66"/>
        <v>0</v>
      </c>
      <c r="I141" s="190">
        <f t="shared" si="66"/>
        <v>0</v>
      </c>
      <c r="J141" s="190">
        <f t="shared" si="66"/>
        <v>0</v>
      </c>
      <c r="K141" s="190">
        <f t="shared" si="66"/>
        <v>0</v>
      </c>
    </row>
    <row r="142" spans="1:13" ht="15" hidden="1" customHeight="1" outlineLevel="2">
      <c r="A142">
        <v>8</v>
      </c>
      <c r="B142" s="190">
        <f t="shared" ref="B142:K142" si="67">B$33*(B94)*B$133</f>
        <v>14.455773867696376</v>
      </c>
      <c r="C142" s="318">
        <f t="shared" si="67"/>
        <v>0</v>
      </c>
      <c r="D142" s="190">
        <f t="shared" si="67"/>
        <v>0</v>
      </c>
      <c r="F142" s="190">
        <f t="shared" si="67"/>
        <v>0</v>
      </c>
      <c r="G142" s="190">
        <f t="shared" si="67"/>
        <v>0</v>
      </c>
      <c r="H142" s="190">
        <f t="shared" si="67"/>
        <v>0</v>
      </c>
      <c r="I142" s="190">
        <f t="shared" si="67"/>
        <v>0</v>
      </c>
      <c r="J142" s="190">
        <f t="shared" si="67"/>
        <v>0</v>
      </c>
      <c r="K142" s="190">
        <f t="shared" si="67"/>
        <v>0</v>
      </c>
    </row>
    <row r="143" spans="1:13" ht="15" hidden="1" customHeight="1" outlineLevel="2">
      <c r="A143">
        <v>9</v>
      </c>
      <c r="B143" s="190">
        <f t="shared" ref="B143:K143" si="68">B$33*(B95)*B$133</f>
        <v>13.87754291298852</v>
      </c>
      <c r="C143" s="318">
        <f t="shared" si="68"/>
        <v>0</v>
      </c>
      <c r="D143" s="190">
        <f t="shared" si="68"/>
        <v>0</v>
      </c>
      <c r="F143" s="190">
        <f t="shared" si="68"/>
        <v>0</v>
      </c>
      <c r="G143" s="190">
        <f t="shared" si="68"/>
        <v>0</v>
      </c>
      <c r="H143" s="190">
        <f t="shared" si="68"/>
        <v>0</v>
      </c>
      <c r="I143" s="190">
        <f t="shared" si="68"/>
        <v>0</v>
      </c>
      <c r="J143" s="190">
        <f t="shared" si="68"/>
        <v>0</v>
      </c>
      <c r="K143" s="190">
        <f t="shared" si="68"/>
        <v>0</v>
      </c>
    </row>
    <row r="144" spans="1:13" ht="15" hidden="1" customHeight="1" outlineLevel="2">
      <c r="A144">
        <v>10</v>
      </c>
      <c r="B144" s="190">
        <f t="shared" ref="B144:K144" si="69">B$33*(B96)*B$133</f>
        <v>13.299311958280665</v>
      </c>
      <c r="C144" s="318">
        <f t="shared" si="69"/>
        <v>0</v>
      </c>
      <c r="D144" s="190">
        <f t="shared" si="69"/>
        <v>0</v>
      </c>
      <c r="F144" s="190">
        <f t="shared" si="69"/>
        <v>0</v>
      </c>
      <c r="G144" s="190">
        <f t="shared" si="69"/>
        <v>0</v>
      </c>
      <c r="H144" s="190">
        <f t="shared" si="69"/>
        <v>0</v>
      </c>
      <c r="I144" s="190">
        <f t="shared" si="69"/>
        <v>0</v>
      </c>
      <c r="J144" s="190">
        <f t="shared" si="69"/>
        <v>0</v>
      </c>
      <c r="K144" s="190">
        <f t="shared" si="69"/>
        <v>0</v>
      </c>
    </row>
    <row r="145" spans="1:11" ht="15" hidden="1" customHeight="1" outlineLevel="1" collapsed="1">
      <c r="A145" t="s">
        <v>495</v>
      </c>
    </row>
    <row r="146" spans="1:11" ht="15" hidden="1" customHeight="1" outlineLevel="2">
      <c r="A146">
        <v>1</v>
      </c>
      <c r="B146" s="190">
        <f>B135*$A146*(B$54/11)</f>
        <v>0.25231896205433668</v>
      </c>
      <c r="C146" s="318">
        <f t="shared" ref="C146:K155" si="70">C135*$A146*(C$54/11)</f>
        <v>0</v>
      </c>
      <c r="D146" s="190">
        <f t="shared" si="70"/>
        <v>0</v>
      </c>
      <c r="F146" s="190">
        <f t="shared" si="70"/>
        <v>0</v>
      </c>
      <c r="G146" s="190">
        <f t="shared" si="70"/>
        <v>0</v>
      </c>
      <c r="H146" s="190">
        <f t="shared" si="70"/>
        <v>0</v>
      </c>
      <c r="I146" s="190">
        <f t="shared" si="70"/>
        <v>0</v>
      </c>
      <c r="J146" s="190">
        <f t="shared" si="70"/>
        <v>0</v>
      </c>
      <c r="K146" s="190">
        <f t="shared" si="70"/>
        <v>0</v>
      </c>
    </row>
    <row r="147" spans="1:11" ht="15" hidden="1" customHeight="1" outlineLevel="2">
      <c r="A147">
        <v>2</v>
      </c>
      <c r="B147" s="190">
        <f t="shared" ref="B147:B155" si="71">B136*$A147*(B$54/11)</f>
        <v>0.4888679889802775</v>
      </c>
      <c r="C147" s="318">
        <f t="shared" si="70"/>
        <v>0</v>
      </c>
      <c r="D147" s="190">
        <f t="shared" si="70"/>
        <v>0</v>
      </c>
      <c r="F147" s="190">
        <f t="shared" si="70"/>
        <v>0</v>
      </c>
      <c r="G147" s="190">
        <f t="shared" si="70"/>
        <v>0</v>
      </c>
      <c r="H147" s="190">
        <f t="shared" si="70"/>
        <v>0</v>
      </c>
      <c r="I147" s="190">
        <f t="shared" si="70"/>
        <v>0</v>
      </c>
      <c r="J147" s="190">
        <f t="shared" si="70"/>
        <v>0</v>
      </c>
      <c r="K147" s="190">
        <f t="shared" si="70"/>
        <v>0</v>
      </c>
    </row>
    <row r="148" spans="1:11" ht="15" hidden="1" customHeight="1" outlineLevel="2">
      <c r="A148">
        <v>3</v>
      </c>
      <c r="B148" s="190">
        <f t="shared" si="71"/>
        <v>0.70964708077782201</v>
      </c>
      <c r="C148" s="318">
        <f t="shared" si="70"/>
        <v>0</v>
      </c>
      <c r="D148" s="190">
        <f t="shared" si="70"/>
        <v>0</v>
      </c>
      <c r="F148" s="190">
        <f t="shared" si="70"/>
        <v>0</v>
      </c>
      <c r="G148" s="190">
        <f t="shared" si="70"/>
        <v>0</v>
      </c>
      <c r="H148" s="190">
        <f t="shared" si="70"/>
        <v>0</v>
      </c>
      <c r="I148" s="190">
        <f t="shared" si="70"/>
        <v>0</v>
      </c>
      <c r="J148" s="190">
        <f t="shared" si="70"/>
        <v>0</v>
      </c>
      <c r="K148" s="190">
        <f t="shared" si="70"/>
        <v>0</v>
      </c>
    </row>
    <row r="149" spans="1:11" ht="15" hidden="1" customHeight="1" outlineLevel="2">
      <c r="A149">
        <v>4</v>
      </c>
      <c r="B149" s="190">
        <f t="shared" si="71"/>
        <v>0.91465623744697078</v>
      </c>
      <c r="C149" s="318">
        <f t="shared" si="70"/>
        <v>0</v>
      </c>
      <c r="D149" s="190">
        <f t="shared" si="70"/>
        <v>0</v>
      </c>
      <c r="F149" s="190">
        <f t="shared" si="70"/>
        <v>0</v>
      </c>
      <c r="G149" s="190">
        <f t="shared" si="70"/>
        <v>0</v>
      </c>
      <c r="H149" s="190">
        <f t="shared" si="70"/>
        <v>0</v>
      </c>
      <c r="I149" s="190">
        <f t="shared" si="70"/>
        <v>0</v>
      </c>
      <c r="J149" s="190">
        <f t="shared" si="70"/>
        <v>0</v>
      </c>
      <c r="K149" s="190">
        <f t="shared" si="70"/>
        <v>0</v>
      </c>
    </row>
    <row r="150" spans="1:11" ht="15" hidden="1" customHeight="1" outlineLevel="2">
      <c r="A150">
        <v>5</v>
      </c>
      <c r="B150" s="190">
        <f t="shared" si="71"/>
        <v>1.103895458987723</v>
      </c>
      <c r="C150" s="318">
        <f t="shared" si="70"/>
        <v>0</v>
      </c>
      <c r="D150" s="190">
        <f t="shared" si="70"/>
        <v>0</v>
      </c>
      <c r="F150" s="190">
        <f t="shared" si="70"/>
        <v>0</v>
      </c>
      <c r="G150" s="190">
        <f t="shared" si="70"/>
        <v>0</v>
      </c>
      <c r="H150" s="190">
        <f t="shared" si="70"/>
        <v>0</v>
      </c>
      <c r="I150" s="190">
        <f t="shared" si="70"/>
        <v>0</v>
      </c>
      <c r="J150" s="190">
        <f t="shared" si="70"/>
        <v>0</v>
      </c>
      <c r="K150" s="190">
        <f t="shared" si="70"/>
        <v>0</v>
      </c>
    </row>
    <row r="151" spans="1:11" ht="15" hidden="1" customHeight="1" outlineLevel="2">
      <c r="A151">
        <v>6</v>
      </c>
      <c r="B151" s="190">
        <f t="shared" si="71"/>
        <v>1.2773647454000796</v>
      </c>
      <c r="C151" s="318">
        <f t="shared" si="70"/>
        <v>0</v>
      </c>
      <c r="D151" s="190">
        <f t="shared" si="70"/>
        <v>0</v>
      </c>
      <c r="F151" s="190">
        <f t="shared" si="70"/>
        <v>0</v>
      </c>
      <c r="G151" s="190">
        <f t="shared" si="70"/>
        <v>0</v>
      </c>
      <c r="H151" s="190">
        <f t="shared" si="70"/>
        <v>0</v>
      </c>
      <c r="I151" s="190">
        <f t="shared" si="70"/>
        <v>0</v>
      </c>
      <c r="J151" s="190">
        <f t="shared" si="70"/>
        <v>0</v>
      </c>
      <c r="K151" s="190">
        <f t="shared" si="70"/>
        <v>0</v>
      </c>
    </row>
    <row r="152" spans="1:11" ht="15" hidden="1" customHeight="1" outlineLevel="2">
      <c r="A152">
        <v>7</v>
      </c>
      <c r="B152" s="190">
        <f t="shared" si="71"/>
        <v>1.4350640966840402</v>
      </c>
      <c r="C152" s="318">
        <f t="shared" si="70"/>
        <v>0</v>
      </c>
      <c r="D152" s="190">
        <f t="shared" si="70"/>
        <v>0</v>
      </c>
      <c r="F152" s="190">
        <f t="shared" si="70"/>
        <v>0</v>
      </c>
      <c r="G152" s="190">
        <f t="shared" si="70"/>
        <v>0</v>
      </c>
      <c r="H152" s="190">
        <f t="shared" si="70"/>
        <v>0</v>
      </c>
      <c r="I152" s="190">
        <f t="shared" si="70"/>
        <v>0</v>
      </c>
      <c r="J152" s="190">
        <f t="shared" si="70"/>
        <v>0</v>
      </c>
      <c r="K152" s="190">
        <f t="shared" si="70"/>
        <v>0</v>
      </c>
    </row>
    <row r="153" spans="1:11" ht="15" hidden="1" customHeight="1" outlineLevel="2">
      <c r="A153">
        <v>8</v>
      </c>
      <c r="B153" s="190">
        <f t="shared" si="71"/>
        <v>1.5769935128396046</v>
      </c>
      <c r="C153" s="318">
        <f t="shared" si="70"/>
        <v>0</v>
      </c>
      <c r="D153" s="190">
        <f t="shared" si="70"/>
        <v>0</v>
      </c>
      <c r="F153" s="190">
        <f t="shared" si="70"/>
        <v>0</v>
      </c>
      <c r="G153" s="190">
        <f t="shared" si="70"/>
        <v>0</v>
      </c>
      <c r="H153" s="190">
        <f t="shared" si="70"/>
        <v>0</v>
      </c>
      <c r="I153" s="190">
        <f t="shared" si="70"/>
        <v>0</v>
      </c>
      <c r="J153" s="190">
        <f t="shared" si="70"/>
        <v>0</v>
      </c>
      <c r="K153" s="190">
        <f t="shared" si="70"/>
        <v>0</v>
      </c>
    </row>
    <row r="154" spans="1:11" ht="15" hidden="1" customHeight="1" outlineLevel="2">
      <c r="A154">
        <v>9</v>
      </c>
      <c r="B154" s="190">
        <f t="shared" si="71"/>
        <v>1.7031529938667729</v>
      </c>
      <c r="C154" s="318">
        <f t="shared" si="70"/>
        <v>0</v>
      </c>
      <c r="D154" s="190">
        <f t="shared" si="70"/>
        <v>0</v>
      </c>
      <c r="F154" s="190">
        <f t="shared" si="70"/>
        <v>0</v>
      </c>
      <c r="G154" s="190">
        <f t="shared" si="70"/>
        <v>0</v>
      </c>
      <c r="H154" s="190">
        <f t="shared" si="70"/>
        <v>0</v>
      </c>
      <c r="I154" s="190">
        <f t="shared" si="70"/>
        <v>0</v>
      </c>
      <c r="J154" s="190">
        <f t="shared" si="70"/>
        <v>0</v>
      </c>
      <c r="K154" s="190">
        <f t="shared" si="70"/>
        <v>0</v>
      </c>
    </row>
    <row r="155" spans="1:11" ht="15" hidden="1" customHeight="1" outlineLevel="2">
      <c r="A155">
        <v>10</v>
      </c>
      <c r="B155" s="190">
        <f t="shared" si="71"/>
        <v>1.8135425397655451</v>
      </c>
      <c r="C155" s="318">
        <f t="shared" si="70"/>
        <v>0</v>
      </c>
      <c r="D155" s="190">
        <f t="shared" si="70"/>
        <v>0</v>
      </c>
      <c r="F155" s="190">
        <f t="shared" si="70"/>
        <v>0</v>
      </c>
      <c r="G155" s="190">
        <f t="shared" si="70"/>
        <v>0</v>
      </c>
      <c r="H155" s="190">
        <f t="shared" si="70"/>
        <v>0</v>
      </c>
      <c r="I155" s="190">
        <f t="shared" si="70"/>
        <v>0</v>
      </c>
      <c r="J155" s="190">
        <f t="shared" si="70"/>
        <v>0</v>
      </c>
      <c r="K155" s="190">
        <f t="shared" si="70"/>
        <v>0</v>
      </c>
    </row>
    <row r="156" spans="1:11" ht="15" hidden="1" customHeight="1" outlineLevel="1" collapsed="1">
      <c r="A156" t="s">
        <v>497</v>
      </c>
      <c r="B156" s="190">
        <f>SUM(B135:B144)</f>
        <v>159.01351254466013</v>
      </c>
      <c r="C156" s="318">
        <f t="shared" ref="C156:K156" si="72">SUM(C135:C144)</f>
        <v>0</v>
      </c>
      <c r="D156" s="190">
        <f t="shared" si="72"/>
        <v>0</v>
      </c>
      <c r="F156" s="190">
        <f t="shared" si="72"/>
        <v>0</v>
      </c>
      <c r="G156" s="190">
        <f t="shared" si="72"/>
        <v>0</v>
      </c>
      <c r="H156" s="190">
        <f t="shared" si="72"/>
        <v>0</v>
      </c>
      <c r="I156" s="190">
        <f t="shared" si="72"/>
        <v>0</v>
      </c>
      <c r="J156" s="190">
        <f t="shared" si="72"/>
        <v>0</v>
      </c>
      <c r="K156" s="190">
        <f t="shared" si="72"/>
        <v>0</v>
      </c>
    </row>
    <row r="157" spans="1:11" ht="15" hidden="1" customHeight="1" outlineLevel="1">
      <c r="A157" t="s">
        <v>496</v>
      </c>
      <c r="B157" s="190">
        <f>SUM(B146:B155)</f>
        <v>11.275503616803171</v>
      </c>
      <c r="C157" s="318">
        <f t="shared" ref="C157:K157" si="73">SUM(C146:C155)</f>
        <v>0</v>
      </c>
      <c r="D157" s="190">
        <f t="shared" si="73"/>
        <v>0</v>
      </c>
      <c r="F157" s="190">
        <f t="shared" si="73"/>
        <v>0</v>
      </c>
      <c r="G157" s="190">
        <f t="shared" si="73"/>
        <v>0</v>
      </c>
      <c r="H157" s="190">
        <f t="shared" si="73"/>
        <v>0</v>
      </c>
      <c r="I157" s="190">
        <f t="shared" si="73"/>
        <v>0</v>
      </c>
      <c r="J157" s="190">
        <f t="shared" si="73"/>
        <v>0</v>
      </c>
      <c r="K157" s="190">
        <f t="shared" si="73"/>
        <v>0</v>
      </c>
    </row>
    <row r="158" spans="1:11" ht="15" hidden="1" customHeight="1" outlineLevel="1">
      <c r="A158" s="274" t="s">
        <v>380</v>
      </c>
      <c r="B158" s="190">
        <f t="shared" ref="B158:K158" si="74">(2*B156)/(B33*B97)</f>
        <v>1.0537431407260562</v>
      </c>
      <c r="C158" s="318">
        <f t="shared" si="74"/>
        <v>0</v>
      </c>
      <c r="D158" s="190">
        <f t="shared" si="74"/>
        <v>0</v>
      </c>
      <c r="F158" s="190">
        <f t="shared" si="74"/>
        <v>0</v>
      </c>
      <c r="G158" s="190">
        <f t="shared" si="74"/>
        <v>0</v>
      </c>
      <c r="H158" s="190">
        <f t="shared" si="74"/>
        <v>0</v>
      </c>
      <c r="I158" s="190">
        <f t="shared" si="74"/>
        <v>0</v>
      </c>
      <c r="J158" s="190">
        <f t="shared" si="74"/>
        <v>0</v>
      </c>
      <c r="K158" s="190">
        <f t="shared" si="74"/>
        <v>0</v>
      </c>
    </row>
    <row r="159" spans="1:11" ht="15" hidden="1" customHeight="1" outlineLevel="1">
      <c r="A159" s="274" t="s">
        <v>621</v>
      </c>
      <c r="B159" s="190">
        <f>(B157/B156)*100</f>
        <v>7.0909090909090891</v>
      </c>
      <c r="C159" s="318" t="e">
        <f t="shared" ref="C159:K159" si="75">(C157/C156)*100</f>
        <v>#DIV/0!</v>
      </c>
      <c r="D159" s="190" t="e">
        <f t="shared" si="75"/>
        <v>#DIV/0!</v>
      </c>
      <c r="F159" s="190" t="e">
        <f t="shared" si="75"/>
        <v>#DIV/0!</v>
      </c>
      <c r="G159" s="190" t="e">
        <f t="shared" si="75"/>
        <v>#DIV/0!</v>
      </c>
      <c r="H159" s="190" t="e">
        <f t="shared" si="75"/>
        <v>#DIV/0!</v>
      </c>
      <c r="I159" s="190" t="e">
        <f t="shared" si="75"/>
        <v>#DIV/0!</v>
      </c>
      <c r="J159" s="190" t="e">
        <f t="shared" si="75"/>
        <v>#DIV/0!</v>
      </c>
      <c r="K159" s="190" t="e">
        <f t="shared" si="75"/>
        <v>#DIV/0!</v>
      </c>
    </row>
    <row r="160" spans="1:11" ht="15" hidden="1" customHeight="1" outlineLevel="1">
      <c r="A160" t="s">
        <v>381</v>
      </c>
    </row>
    <row r="161" spans="1:11" ht="15" hidden="1" customHeight="1" outlineLevel="2">
      <c r="A161">
        <v>0</v>
      </c>
      <c r="B161">
        <v>0</v>
      </c>
      <c r="C161" s="330">
        <v>0</v>
      </c>
      <c r="D161">
        <v>0</v>
      </c>
      <c r="E161"/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ht="15" hidden="1" customHeight="1" outlineLevel="2">
      <c r="A162">
        <v>5</v>
      </c>
      <c r="B162">
        <v>0.355956543071071</v>
      </c>
      <c r="C162" s="330">
        <v>0.355956543071071</v>
      </c>
      <c r="D162">
        <v>0.355956543071071</v>
      </c>
      <c r="E162"/>
      <c r="F162">
        <v>0.355956543071071</v>
      </c>
      <c r="G162">
        <v>0.355956543071071</v>
      </c>
      <c r="H162">
        <v>0.355956543071071</v>
      </c>
      <c r="I162">
        <v>0.355956543071071</v>
      </c>
      <c r="J162">
        <v>0.355956543071071</v>
      </c>
      <c r="K162">
        <v>0.355956543071071</v>
      </c>
    </row>
    <row r="163" spans="1:11" ht="15" hidden="1" customHeight="1" outlineLevel="2">
      <c r="A163">
        <v>10</v>
      </c>
      <c r="B163">
        <v>0.71191308614214277</v>
      </c>
      <c r="C163" s="330">
        <v>0.71191308614214277</v>
      </c>
      <c r="D163">
        <v>0.71191308614214277</v>
      </c>
      <c r="E163"/>
      <c r="F163">
        <v>0.71191308614214277</v>
      </c>
      <c r="G163">
        <v>0.71191308614214277</v>
      </c>
      <c r="H163">
        <v>0.71191308614214277</v>
      </c>
      <c r="I163">
        <v>0.71191308614214277</v>
      </c>
      <c r="J163">
        <v>0.71191308614214277</v>
      </c>
      <c r="K163">
        <v>0.71191308614214277</v>
      </c>
    </row>
    <row r="164" spans="1:11" ht="15" hidden="1" customHeight="1" outlineLevel="2">
      <c r="A164" s="186">
        <v>15</v>
      </c>
      <c r="B164">
        <v>1.0678696292132142</v>
      </c>
      <c r="C164" s="330">
        <v>1.0678696292132142</v>
      </c>
      <c r="D164">
        <v>1.0678696292132142</v>
      </c>
      <c r="E164"/>
      <c r="F164">
        <v>1.0678696292132142</v>
      </c>
      <c r="G164">
        <v>1.0678696292132142</v>
      </c>
      <c r="H164">
        <v>1.0678696292132142</v>
      </c>
      <c r="I164">
        <v>1.0678696292132142</v>
      </c>
      <c r="J164">
        <v>1.0678696292132142</v>
      </c>
      <c r="K164">
        <v>1.0678696292132142</v>
      </c>
    </row>
    <row r="165" spans="1:11" ht="15" hidden="1" customHeight="1" outlineLevel="2">
      <c r="A165" s="263">
        <v>20</v>
      </c>
      <c r="B165">
        <v>1.4238261722842855</v>
      </c>
      <c r="C165" s="330">
        <v>1.4238261722842855</v>
      </c>
      <c r="D165">
        <v>1.4238261722842855</v>
      </c>
      <c r="E165"/>
      <c r="F165">
        <v>1.4238261722842855</v>
      </c>
      <c r="G165">
        <v>1.4238261722842855</v>
      </c>
      <c r="H165">
        <v>1.4238261722842855</v>
      </c>
      <c r="I165">
        <v>1.4238261722842855</v>
      </c>
      <c r="J165">
        <v>1.4238261722842855</v>
      </c>
      <c r="K165">
        <v>1.4238261722842855</v>
      </c>
    </row>
    <row r="166" spans="1:11" ht="15" hidden="1" customHeight="1" outlineLevel="2">
      <c r="A166" s="263">
        <v>25</v>
      </c>
      <c r="B166">
        <v>1.7797827153553569</v>
      </c>
      <c r="C166" s="330">
        <v>1.7797827153553569</v>
      </c>
      <c r="D166">
        <v>1.7797827153553569</v>
      </c>
      <c r="E166"/>
      <c r="F166">
        <v>1.7797827153553569</v>
      </c>
      <c r="G166">
        <v>1.7797827153553569</v>
      </c>
      <c r="H166">
        <v>1.7797827153553569</v>
      </c>
      <c r="I166">
        <v>1.7797827153553569</v>
      </c>
      <c r="J166">
        <v>1.7797827153553569</v>
      </c>
      <c r="K166">
        <v>1.7797827153553569</v>
      </c>
    </row>
    <row r="167" spans="1:11" ht="15" hidden="1" customHeight="1" outlineLevel="2">
      <c r="A167" s="263">
        <v>30</v>
      </c>
      <c r="B167">
        <v>2.1357392584264283</v>
      </c>
      <c r="C167" s="330">
        <v>2.1357392584264283</v>
      </c>
      <c r="D167">
        <v>2.1357392584264283</v>
      </c>
      <c r="E167"/>
      <c r="F167">
        <v>2.1357392584264283</v>
      </c>
      <c r="G167">
        <v>2.1357392584264283</v>
      </c>
      <c r="H167">
        <v>2.1357392584264283</v>
      </c>
      <c r="I167">
        <v>2.1357392584264283</v>
      </c>
      <c r="J167">
        <v>2.1357392584264283</v>
      </c>
      <c r="K167">
        <v>2.1357392584264283</v>
      </c>
    </row>
    <row r="168" spans="1:11" ht="15" hidden="1" customHeight="1" outlineLevel="1" collapsed="1">
      <c r="A168" s="265" t="s">
        <v>485</v>
      </c>
      <c r="B168" s="262">
        <f>AVERAGE(B169:B173)</f>
        <v>7.1191308614214271E-2</v>
      </c>
      <c r="C168" s="331">
        <f t="shared" ref="C168:K168" si="76">AVERAGE(C169:C173)</f>
        <v>7.1191308614214271E-2</v>
      </c>
      <c r="D168" s="262">
        <f t="shared" si="76"/>
        <v>7.1191308614214271E-2</v>
      </c>
      <c r="E168" s="262"/>
      <c r="F168" s="262">
        <f t="shared" si="76"/>
        <v>7.1191308614214271E-2</v>
      </c>
      <c r="G168" s="262">
        <f t="shared" si="76"/>
        <v>7.1191308614214271E-2</v>
      </c>
      <c r="H168" s="262">
        <f t="shared" si="76"/>
        <v>7.1191308614214271E-2</v>
      </c>
      <c r="I168" s="262">
        <f t="shared" si="76"/>
        <v>7.1191308614214271E-2</v>
      </c>
      <c r="J168" s="262">
        <f t="shared" si="76"/>
        <v>7.1191308614214271E-2</v>
      </c>
      <c r="K168" s="262">
        <f t="shared" si="76"/>
        <v>7.1191308614214271E-2</v>
      </c>
    </row>
    <row r="169" spans="1:11" ht="15" hidden="1" customHeight="1" outlineLevel="2">
      <c r="A169">
        <v>0</v>
      </c>
      <c r="B169" s="262">
        <f t="shared" ref="B169:K173" si="77">(B162-B161)/($A162-$A161)</f>
        <v>7.1191308614214202E-2</v>
      </c>
      <c r="C169" s="331">
        <f t="shared" si="77"/>
        <v>7.1191308614214202E-2</v>
      </c>
      <c r="D169" s="262">
        <f t="shared" si="77"/>
        <v>7.1191308614214202E-2</v>
      </c>
      <c r="E169" s="262"/>
      <c r="F169" s="262">
        <f t="shared" si="77"/>
        <v>7.1191308614214202E-2</v>
      </c>
      <c r="G169" s="262">
        <f t="shared" si="77"/>
        <v>7.1191308614214202E-2</v>
      </c>
      <c r="H169" s="262">
        <f t="shared" si="77"/>
        <v>7.1191308614214202E-2</v>
      </c>
      <c r="I169" s="262">
        <f t="shared" si="77"/>
        <v>7.1191308614214202E-2</v>
      </c>
      <c r="J169" s="262">
        <f t="shared" si="77"/>
        <v>7.1191308614214202E-2</v>
      </c>
      <c r="K169" s="262">
        <f t="shared" si="77"/>
        <v>7.1191308614214202E-2</v>
      </c>
    </row>
    <row r="170" spans="1:11" ht="15" hidden="1" customHeight="1" outlineLevel="2">
      <c r="A170">
        <v>5</v>
      </c>
      <c r="B170" s="262">
        <f t="shared" si="77"/>
        <v>7.1191308614214355E-2</v>
      </c>
      <c r="C170" s="331">
        <f t="shared" si="77"/>
        <v>7.1191308614214355E-2</v>
      </c>
      <c r="D170" s="262">
        <f t="shared" si="77"/>
        <v>7.1191308614214355E-2</v>
      </c>
      <c r="E170" s="262"/>
      <c r="F170" s="262">
        <f t="shared" si="77"/>
        <v>7.1191308614214355E-2</v>
      </c>
      <c r="G170" s="262">
        <f t="shared" si="77"/>
        <v>7.1191308614214355E-2</v>
      </c>
      <c r="H170" s="262">
        <f t="shared" si="77"/>
        <v>7.1191308614214355E-2</v>
      </c>
      <c r="I170" s="262">
        <f t="shared" si="77"/>
        <v>7.1191308614214355E-2</v>
      </c>
      <c r="J170" s="262">
        <f t="shared" si="77"/>
        <v>7.1191308614214355E-2</v>
      </c>
      <c r="K170" s="262">
        <f t="shared" si="77"/>
        <v>7.1191308614214355E-2</v>
      </c>
    </row>
    <row r="171" spans="1:11" ht="15" hidden="1" customHeight="1" outlineLevel="2">
      <c r="A171">
        <v>10</v>
      </c>
      <c r="B171" s="262">
        <f t="shared" si="77"/>
        <v>7.1191308614214271E-2</v>
      </c>
      <c r="C171" s="331">
        <f t="shared" si="77"/>
        <v>7.1191308614214271E-2</v>
      </c>
      <c r="D171" s="262">
        <f t="shared" si="77"/>
        <v>7.1191308614214271E-2</v>
      </c>
      <c r="E171" s="262"/>
      <c r="F171" s="262">
        <f t="shared" si="77"/>
        <v>7.1191308614214271E-2</v>
      </c>
      <c r="G171" s="262">
        <f t="shared" si="77"/>
        <v>7.1191308614214271E-2</v>
      </c>
      <c r="H171" s="262">
        <f t="shared" si="77"/>
        <v>7.1191308614214271E-2</v>
      </c>
      <c r="I171" s="262">
        <f t="shared" si="77"/>
        <v>7.1191308614214271E-2</v>
      </c>
      <c r="J171" s="262">
        <f t="shared" si="77"/>
        <v>7.1191308614214271E-2</v>
      </c>
      <c r="K171" s="262">
        <f t="shared" si="77"/>
        <v>7.1191308614214271E-2</v>
      </c>
    </row>
    <row r="172" spans="1:11" ht="15" hidden="1" customHeight="1" outlineLevel="2">
      <c r="A172">
        <v>15</v>
      </c>
      <c r="B172" s="262">
        <f t="shared" si="77"/>
        <v>7.1191308614214271E-2</v>
      </c>
      <c r="C172" s="331">
        <f t="shared" si="77"/>
        <v>7.1191308614214271E-2</v>
      </c>
      <c r="D172" s="262">
        <f t="shared" si="77"/>
        <v>7.1191308614214271E-2</v>
      </c>
      <c r="E172" s="262"/>
      <c r="F172" s="262">
        <f t="shared" si="77"/>
        <v>7.1191308614214271E-2</v>
      </c>
      <c r="G172" s="262">
        <f t="shared" si="77"/>
        <v>7.1191308614214271E-2</v>
      </c>
      <c r="H172" s="262">
        <f t="shared" si="77"/>
        <v>7.1191308614214271E-2</v>
      </c>
      <c r="I172" s="262">
        <f t="shared" si="77"/>
        <v>7.1191308614214271E-2</v>
      </c>
      <c r="J172" s="262">
        <f t="shared" si="77"/>
        <v>7.1191308614214271E-2</v>
      </c>
      <c r="K172" s="262">
        <f t="shared" si="77"/>
        <v>7.1191308614214271E-2</v>
      </c>
    </row>
    <row r="173" spans="1:11" ht="15" hidden="1" customHeight="1" outlineLevel="2">
      <c r="A173">
        <v>20</v>
      </c>
      <c r="B173" s="262">
        <f t="shared" si="77"/>
        <v>7.1191308614214271E-2</v>
      </c>
      <c r="C173" s="331">
        <f t="shared" si="77"/>
        <v>7.1191308614214271E-2</v>
      </c>
      <c r="D173" s="262">
        <f t="shared" si="77"/>
        <v>7.1191308614214271E-2</v>
      </c>
      <c r="E173" s="262"/>
      <c r="F173" s="262">
        <f t="shared" si="77"/>
        <v>7.1191308614214271E-2</v>
      </c>
      <c r="G173" s="262">
        <f t="shared" si="77"/>
        <v>7.1191308614214271E-2</v>
      </c>
      <c r="H173" s="262">
        <f t="shared" si="77"/>
        <v>7.1191308614214271E-2</v>
      </c>
      <c r="I173" s="262">
        <f t="shared" si="77"/>
        <v>7.1191308614214271E-2</v>
      </c>
      <c r="J173" s="262">
        <f t="shared" si="77"/>
        <v>7.1191308614214271E-2</v>
      </c>
      <c r="K173" s="262">
        <f t="shared" si="77"/>
        <v>7.1191308614214271E-2</v>
      </c>
    </row>
    <row r="174" spans="1:11" ht="15" hidden="1" customHeight="1" outlineLevel="1" collapsed="1">
      <c r="A174" s="190"/>
    </row>
    <row r="175" spans="1:11" ht="15" hidden="1" customHeight="1" outlineLevel="1">
      <c r="A175" s="272" t="s">
        <v>491</v>
      </c>
    </row>
    <row r="176" spans="1:11" ht="15" hidden="1" customHeight="1" outlineLevel="1">
      <c r="A176" t="s">
        <v>521</v>
      </c>
    </row>
    <row r="177" spans="1:11" ht="15" hidden="1" customHeight="1" outlineLevel="2">
      <c r="A177">
        <v>0.06</v>
      </c>
      <c r="B177" s="262">
        <v>1.7811871342984904</v>
      </c>
      <c r="C177" s="331"/>
      <c r="D177" s="262"/>
      <c r="E177" s="262"/>
      <c r="F177" s="262"/>
      <c r="G177" s="262"/>
      <c r="H177" s="262"/>
      <c r="I177" s="262"/>
      <c r="J177" s="262"/>
      <c r="K177" s="262"/>
    </row>
    <row r="178" spans="1:11" ht="15" hidden="1" customHeight="1" outlineLevel="2">
      <c r="A178">
        <v>0.1</v>
      </c>
      <c r="B178" s="262">
        <v>1.7868999999999999</v>
      </c>
      <c r="C178" s="331"/>
      <c r="D178" s="262"/>
      <c r="E178" s="262"/>
      <c r="F178" s="262"/>
      <c r="G178" s="262"/>
      <c r="H178" s="262"/>
      <c r="I178" s="262"/>
      <c r="J178" s="262"/>
      <c r="K178" s="262"/>
    </row>
    <row r="179" spans="1:11" ht="15" hidden="1" customHeight="1" outlineLevel="2">
      <c r="A179">
        <v>0.3</v>
      </c>
      <c r="B179" s="262">
        <v>1.8637999999999999</v>
      </c>
      <c r="C179" s="331"/>
      <c r="D179" s="262"/>
      <c r="E179" s="262"/>
      <c r="F179" s="262"/>
      <c r="G179" s="262"/>
      <c r="H179" s="262"/>
      <c r="I179" s="262"/>
      <c r="J179" s="262"/>
      <c r="K179" s="262"/>
    </row>
    <row r="180" spans="1:11" ht="15" hidden="1" customHeight="1" outlineLevel="2">
      <c r="A180">
        <v>0.5</v>
      </c>
      <c r="B180" s="262">
        <v>2.0529999999999999</v>
      </c>
      <c r="C180" s="331"/>
      <c r="D180" s="262"/>
      <c r="E180" s="262"/>
      <c r="F180" s="262"/>
      <c r="G180" s="262"/>
      <c r="H180" s="262"/>
      <c r="I180" s="262"/>
      <c r="J180" s="262"/>
      <c r="K180" s="262"/>
    </row>
    <row r="181" spans="1:11" ht="15" hidden="1" customHeight="1" outlineLevel="2">
      <c r="A181">
        <v>0.7</v>
      </c>
      <c r="B181" s="262">
        <v>2.4897</v>
      </c>
      <c r="C181" s="331"/>
      <c r="D181" s="262"/>
      <c r="E181" s="262"/>
      <c r="F181" s="262"/>
      <c r="G181" s="262"/>
      <c r="H181" s="262"/>
      <c r="I181" s="262"/>
      <c r="J181" s="262"/>
      <c r="K181" s="262"/>
    </row>
    <row r="182" spans="1:11" ht="15" hidden="1" customHeight="1" outlineLevel="2">
      <c r="A182">
        <v>1</v>
      </c>
      <c r="B182" s="262">
        <v>28.213824634343929</v>
      </c>
      <c r="C182" s="331"/>
      <c r="D182" s="262"/>
      <c r="E182" s="262"/>
      <c r="F182" s="262"/>
      <c r="G182" s="262"/>
      <c r="H182" s="262"/>
      <c r="I182" s="262"/>
      <c r="J182" s="262"/>
      <c r="K182" s="262"/>
    </row>
    <row r="183" spans="1:11" ht="15" hidden="1" customHeight="1" outlineLevel="2">
      <c r="A183">
        <v>1.5</v>
      </c>
      <c r="B183" s="262">
        <v>3.5777000000000001</v>
      </c>
      <c r="C183" s="331"/>
      <c r="D183" s="262"/>
      <c r="E183" s="262"/>
      <c r="F183" s="262"/>
      <c r="G183" s="262"/>
      <c r="H183" s="262"/>
      <c r="I183" s="262"/>
      <c r="J183" s="262"/>
      <c r="K183" s="262"/>
    </row>
    <row r="184" spans="1:11" ht="15" hidden="1" customHeight="1" outlineLevel="2">
      <c r="A184">
        <v>2</v>
      </c>
      <c r="B184" s="262">
        <v>2.3094000000000001</v>
      </c>
      <c r="C184" s="331"/>
      <c r="D184" s="262"/>
      <c r="E184" s="262"/>
      <c r="F184" s="262"/>
      <c r="G184" s="262"/>
      <c r="H184" s="262"/>
      <c r="I184" s="262"/>
      <c r="J184" s="262"/>
      <c r="K184" s="262"/>
    </row>
    <row r="185" spans="1:11" ht="15" hidden="1" customHeight="1" outlineLevel="2">
      <c r="A185">
        <v>3</v>
      </c>
      <c r="B185" s="262">
        <v>1.4141999999999999</v>
      </c>
      <c r="C185" s="331"/>
      <c r="D185" s="262"/>
      <c r="E185" s="262"/>
      <c r="F185" s="262"/>
      <c r="G185" s="262"/>
      <c r="H185" s="262"/>
      <c r="I185" s="262"/>
      <c r="J185" s="262"/>
      <c r="K185" s="262"/>
    </row>
    <row r="186" spans="1:11" ht="15" hidden="1" customHeight="1" outlineLevel="2">
      <c r="A186">
        <v>5</v>
      </c>
      <c r="B186" s="262">
        <v>0.8165</v>
      </c>
      <c r="C186" s="331"/>
      <c r="D186" s="262"/>
      <c r="E186" s="262"/>
      <c r="F186" s="262"/>
      <c r="G186" s="262"/>
      <c r="H186" s="262"/>
      <c r="I186" s="262"/>
      <c r="J186" s="262"/>
      <c r="K186" s="262"/>
    </row>
    <row r="187" spans="1:11" ht="15" hidden="1" customHeight="1" outlineLevel="1" collapsed="1"/>
    <row r="188" spans="1:11" ht="15" hidden="1" customHeight="1" outlineLevel="1">
      <c r="A188" s="282" t="s">
        <v>505</v>
      </c>
    </row>
    <row r="189" spans="1:11" ht="15" hidden="1" customHeight="1" outlineLevel="1">
      <c r="A189" s="289" t="s">
        <v>506</v>
      </c>
    </row>
    <row r="190" spans="1:11" ht="15" hidden="1" customHeight="1" outlineLevel="1">
      <c r="A190" t="s">
        <v>511</v>
      </c>
      <c r="B190" s="190">
        <f t="shared" ref="B190:K190" si="78">IF(B10&lt;1,B99,B100)</f>
        <v>2.0125011551487666</v>
      </c>
      <c r="C190" s="318">
        <f t="shared" si="78"/>
        <v>1.7516574184821574</v>
      </c>
      <c r="D190" s="190">
        <f t="shared" si="78"/>
        <v>1.8270316629357042</v>
      </c>
      <c r="F190" s="190">
        <f t="shared" si="78"/>
        <v>2.4405161277517413</v>
      </c>
      <c r="G190" s="190">
        <f t="shared" si="78"/>
        <v>28.213824634343929</v>
      </c>
      <c r="H190" s="190">
        <f t="shared" si="78"/>
        <v>3.5777087639996634</v>
      </c>
      <c r="I190" s="190">
        <f t="shared" si="78"/>
        <v>2.3094010767585034</v>
      </c>
      <c r="J190" s="190">
        <f t="shared" si="78"/>
        <v>1.4142135623730949</v>
      </c>
      <c r="K190" s="190">
        <f t="shared" si="78"/>
        <v>0.81649658092772615</v>
      </c>
    </row>
    <row r="191" spans="1:11" ht="15" hidden="1" customHeight="1" outlineLevel="1">
      <c r="A191" t="s">
        <v>507</v>
      </c>
      <c r="B191" s="190">
        <v>1.5</v>
      </c>
      <c r="C191" s="318">
        <v>1.5</v>
      </c>
      <c r="D191" s="190">
        <v>1.5</v>
      </c>
      <c r="F191" s="190">
        <v>1.5</v>
      </c>
      <c r="G191" s="190">
        <v>1.5</v>
      </c>
      <c r="H191" s="190">
        <v>1.5</v>
      </c>
      <c r="I191" s="190">
        <v>1.5</v>
      </c>
      <c r="J191" s="190">
        <v>1.5</v>
      </c>
      <c r="K191" s="190">
        <v>1.5</v>
      </c>
    </row>
    <row r="192" spans="1:11" ht="15" hidden="1" customHeight="1" outlineLevel="1">
      <c r="A192" t="s">
        <v>508</v>
      </c>
      <c r="B192" s="190">
        <f t="shared" ref="B192:K192" si="79">B40*B191</f>
        <v>0.12</v>
      </c>
      <c r="C192" s="318">
        <f t="shared" si="79"/>
        <v>0.12</v>
      </c>
      <c r="D192" s="190">
        <f t="shared" si="79"/>
        <v>0.12</v>
      </c>
      <c r="F192" s="190">
        <f t="shared" si="79"/>
        <v>0.12</v>
      </c>
      <c r="G192" s="190">
        <f t="shared" si="79"/>
        <v>0.12</v>
      </c>
      <c r="H192" s="190">
        <f t="shared" si="79"/>
        <v>0.12</v>
      </c>
      <c r="I192" s="190">
        <f t="shared" si="79"/>
        <v>0.12</v>
      </c>
      <c r="J192" s="190">
        <f t="shared" si="79"/>
        <v>0.12</v>
      </c>
      <c r="K192" s="190">
        <f t="shared" si="79"/>
        <v>0.12</v>
      </c>
    </row>
    <row r="193" spans="1:11" ht="15" hidden="1" customHeight="1" outlineLevel="1">
      <c r="A193" t="s">
        <v>512</v>
      </c>
      <c r="B193" s="286">
        <v>2</v>
      </c>
      <c r="C193" s="332">
        <v>2</v>
      </c>
      <c r="D193" s="286">
        <v>2</v>
      </c>
      <c r="E193" s="286"/>
      <c r="F193" s="286">
        <v>2</v>
      </c>
      <c r="G193" s="286">
        <v>2</v>
      </c>
      <c r="H193" s="286">
        <v>2</v>
      </c>
      <c r="I193" s="286">
        <v>2</v>
      </c>
      <c r="J193" s="286">
        <v>2</v>
      </c>
      <c r="K193" s="286">
        <v>2</v>
      </c>
    </row>
    <row r="194" spans="1:11" ht="15" hidden="1" customHeight="1" outlineLevel="2">
      <c r="A194">
        <v>0.1</v>
      </c>
      <c r="B194" s="190">
        <f t="shared" ref="B194:D202" si="80">ATAN((-B$192*$A194)/B$3)</f>
        <v>-7.3040923019922259E-5</v>
      </c>
      <c r="C194" s="318">
        <f t="shared" si="80"/>
        <v>-3.5264425116361204E-4</v>
      </c>
      <c r="D194" s="190">
        <f t="shared" si="80"/>
        <v>-1.1754808805247553E-4</v>
      </c>
      <c r="F194" s="190">
        <f t="shared" ref="F194:K202" si="81">ATAN((-F$192*$A194)/F$3)</f>
        <v>-5.0377752211903743E-5</v>
      </c>
      <c r="G194" s="190">
        <f t="shared" si="81"/>
        <v>-3.5264426563547315E-5</v>
      </c>
      <c r="H194" s="190">
        <f t="shared" si="81"/>
        <v>-2.3509617714445632E-5</v>
      </c>
      <c r="I194" s="190">
        <f t="shared" si="81"/>
        <v>-1.7632213287255421E-5</v>
      </c>
      <c r="J194" s="190">
        <f t="shared" si="81"/>
        <v>-1.1754808858847044E-5</v>
      </c>
      <c r="K194" s="190">
        <f t="shared" si="81"/>
        <v>-7.052885315516126E-6</v>
      </c>
    </row>
    <row r="195" spans="1:11" ht="15" hidden="1" customHeight="1" outlineLevel="2">
      <c r="A195">
        <v>0.5</v>
      </c>
      <c r="B195" s="190">
        <f t="shared" si="80"/>
        <v>-3.6520459951274836E-4</v>
      </c>
      <c r="C195" s="318">
        <f t="shared" si="80"/>
        <v>-1.7632195016563466E-3</v>
      </c>
      <c r="D195" s="190">
        <f t="shared" si="80"/>
        <v>-5.8774037529331325E-4</v>
      </c>
      <c r="F195" s="190">
        <f t="shared" si="81"/>
        <v>-2.5188875594533489E-4</v>
      </c>
      <c r="G195" s="190">
        <f t="shared" si="81"/>
        <v>-1.7632213106357145E-4</v>
      </c>
      <c r="H195" s="190">
        <f t="shared" si="81"/>
        <v>-1.1754808805247553E-4</v>
      </c>
      <c r="I195" s="190">
        <f t="shared" si="81"/>
        <v>-8.8161066217006459E-5</v>
      </c>
      <c r="J195" s="190">
        <f t="shared" si="81"/>
        <v>-5.8774044229266134E-5</v>
      </c>
      <c r="K195" s="190">
        <f t="shared" si="81"/>
        <v>-3.5264426563547315E-5</v>
      </c>
    </row>
    <row r="196" spans="1:11" ht="15" hidden="1" customHeight="1" outlineLevel="2">
      <c r="A196">
        <v>0.8</v>
      </c>
      <c r="B196" s="190">
        <f t="shared" si="80"/>
        <v>-5.84327318694562E-4</v>
      </c>
      <c r="C196" s="318">
        <f t="shared" si="80"/>
        <v>-2.8211466418511387E-3</v>
      </c>
      <c r="D196" s="190">
        <f t="shared" si="80"/>
        <v>-9.4038443154982208E-4</v>
      </c>
      <c r="F196" s="190">
        <f t="shared" si="81"/>
        <v>-4.0302199621565922E-4</v>
      </c>
      <c r="G196" s="190">
        <f t="shared" si="81"/>
        <v>-2.8211540514088535E-4</v>
      </c>
      <c r="H196" s="190">
        <f t="shared" si="81"/>
        <v>-1.8807693953260408E-4</v>
      </c>
      <c r="I196" s="190">
        <f t="shared" si="81"/>
        <v>-1.410577053771067E-4</v>
      </c>
      <c r="J196" s="190">
        <f t="shared" si="81"/>
        <v>-9.4038470597906221E-5</v>
      </c>
      <c r="K196" s="190">
        <f t="shared" si="81"/>
        <v>-5.6423082465189061E-5</v>
      </c>
    </row>
    <row r="197" spans="1:11" ht="15" hidden="1" customHeight="1" outlineLevel="2">
      <c r="A197">
        <v>1</v>
      </c>
      <c r="B197" s="190">
        <f t="shared" si="80"/>
        <v>-7.3040910160763431E-4</v>
      </c>
      <c r="C197" s="318">
        <f t="shared" si="80"/>
        <v>-3.5264280398829692E-3</v>
      </c>
      <c r="D197" s="190">
        <f t="shared" si="80"/>
        <v>-1.1754803445303073E-3</v>
      </c>
      <c r="F197" s="190">
        <f t="shared" si="81"/>
        <v>-5.0377747992702581E-4</v>
      </c>
      <c r="G197" s="190">
        <f t="shared" si="81"/>
        <v>-3.5264425116361198E-4</v>
      </c>
      <c r="H197" s="190">
        <f t="shared" si="81"/>
        <v>-2.3509617285649728E-4</v>
      </c>
      <c r="I197" s="190">
        <f t="shared" si="81"/>
        <v>-1.7632213106357145E-4</v>
      </c>
      <c r="J197" s="190">
        <f t="shared" si="81"/>
        <v>-1.1754808805247553E-4</v>
      </c>
      <c r="K197" s="190">
        <f t="shared" si="81"/>
        <v>-7.0528853039386374E-5</v>
      </c>
    </row>
    <row r="198" spans="1:11" ht="15" hidden="1" customHeight="1" outlineLevel="2">
      <c r="A198">
        <v>5</v>
      </c>
      <c r="B198" s="190">
        <f t="shared" si="80"/>
        <v>-3.6520299213036842E-3</v>
      </c>
      <c r="C198" s="318">
        <f t="shared" si="80"/>
        <v>-1.7630386374527986E-2</v>
      </c>
      <c r="D198" s="190">
        <f t="shared" si="80"/>
        <v>-5.8773367549735467E-3</v>
      </c>
      <c r="F198" s="190">
        <f t="shared" si="81"/>
        <v>-2.5188822854713636E-3</v>
      </c>
      <c r="G198" s="190">
        <f t="shared" si="81"/>
        <v>-1.7632195016563466E-3</v>
      </c>
      <c r="H198" s="190">
        <f t="shared" si="81"/>
        <v>-1.1754803445303075E-3</v>
      </c>
      <c r="I198" s="190">
        <f t="shared" si="81"/>
        <v>-8.8161043604732413E-4</v>
      </c>
      <c r="J198" s="190">
        <f t="shared" si="81"/>
        <v>-5.8774037529331336E-4</v>
      </c>
      <c r="K198" s="190">
        <f t="shared" si="81"/>
        <v>-3.5264425116361198E-4</v>
      </c>
    </row>
    <row r="199" spans="1:11" ht="15" hidden="1" customHeight="1" outlineLevel="2">
      <c r="A199">
        <v>10</v>
      </c>
      <c r="B199" s="190">
        <f t="shared" si="80"/>
        <v>-7.3039624286038232E-3</v>
      </c>
      <c r="C199" s="318">
        <f t="shared" si="80"/>
        <v>-3.5249819433070033E-2</v>
      </c>
      <c r="D199" s="190">
        <f t="shared" si="80"/>
        <v>-1.1754267495283133E-2</v>
      </c>
      <c r="F199" s="190">
        <f t="shared" si="81"/>
        <v>-5.0377326079010416E-3</v>
      </c>
      <c r="G199" s="190">
        <f t="shared" si="81"/>
        <v>-3.5264280398829692E-3</v>
      </c>
      <c r="H199" s="190">
        <f t="shared" si="81"/>
        <v>-2.3509574406201613E-3</v>
      </c>
      <c r="I199" s="190">
        <f t="shared" si="81"/>
        <v>-1.7632195016563466E-3</v>
      </c>
      <c r="J199" s="190">
        <f t="shared" si="81"/>
        <v>-1.1754803445303075E-3</v>
      </c>
      <c r="K199" s="190">
        <f t="shared" si="81"/>
        <v>-7.0528841461900079E-4</v>
      </c>
    </row>
    <row r="200" spans="1:11" ht="15" hidden="1" customHeight="1" outlineLevel="2">
      <c r="A200">
        <v>20</v>
      </c>
      <c r="B200" s="190">
        <f t="shared" si="80"/>
        <v>-1.4607145638710567E-2</v>
      </c>
      <c r="C200" s="318">
        <f t="shared" si="80"/>
        <v>-7.0412256610955959E-2</v>
      </c>
      <c r="D200" s="190">
        <f t="shared" si="80"/>
        <v>-2.3505287882659417E-2</v>
      </c>
      <c r="F200" s="190">
        <f t="shared" si="81"/>
        <v>-1.0075209526069015E-2</v>
      </c>
      <c r="G200" s="190">
        <f t="shared" si="81"/>
        <v>-7.0527683747821576E-3</v>
      </c>
      <c r="H200" s="190">
        <f t="shared" si="81"/>
        <v>-4.7018888940398625E-3</v>
      </c>
      <c r="I200" s="190">
        <f t="shared" si="81"/>
        <v>-3.5264280398829692E-3</v>
      </c>
      <c r="J200" s="190">
        <f t="shared" si="81"/>
        <v>-2.3509574406201613E-3</v>
      </c>
      <c r="K200" s="190">
        <f t="shared" si="81"/>
        <v>-1.4105761275730023E-3</v>
      </c>
    </row>
    <row r="201" spans="1:11" ht="15" hidden="1" customHeight="1" outlineLevel="2">
      <c r="A201">
        <v>50</v>
      </c>
      <c r="B201" s="190">
        <f t="shared" si="80"/>
        <v>-3.6504238238711947E-2</v>
      </c>
      <c r="C201" s="318">
        <f t="shared" si="80"/>
        <v>-0.17452822355748537</v>
      </c>
      <c r="D201" s="190">
        <f t="shared" si="80"/>
        <v>-5.8706508096212806E-2</v>
      </c>
      <c r="F201" s="190">
        <f t="shared" si="81"/>
        <v>-2.5183550879356673E-2</v>
      </c>
      <c r="G201" s="190">
        <f t="shared" si="81"/>
        <v>-1.7630386374527986E-2</v>
      </c>
      <c r="H201" s="190">
        <f t="shared" si="81"/>
        <v>-1.1754267495283134E-2</v>
      </c>
      <c r="I201" s="190">
        <f t="shared" si="81"/>
        <v>-8.8158782482761211E-3</v>
      </c>
      <c r="J201" s="190">
        <f t="shared" si="81"/>
        <v>-5.8773367549735476E-3</v>
      </c>
      <c r="K201" s="190">
        <f t="shared" si="81"/>
        <v>-3.5264280398829692E-3</v>
      </c>
    </row>
    <row r="202" spans="1:11" ht="15" hidden="1" customHeight="1" outlineLevel="2">
      <c r="A202">
        <v>100</v>
      </c>
      <c r="B202" s="190">
        <f t="shared" si="80"/>
        <v>-7.2911446814648145E-2</v>
      </c>
      <c r="C202" s="318">
        <f t="shared" si="80"/>
        <v>-0.33902856773486362</v>
      </c>
      <c r="D202" s="190">
        <f t="shared" si="80"/>
        <v>-0.11701112434581525</v>
      </c>
      <c r="F202" s="190">
        <f t="shared" si="81"/>
        <v>-5.0335198833895742E-2</v>
      </c>
      <c r="G202" s="190">
        <f t="shared" si="81"/>
        <v>-3.5249819433070033E-2</v>
      </c>
      <c r="H202" s="190">
        <f t="shared" si="81"/>
        <v>-2.3505287882659421E-2</v>
      </c>
      <c r="I202" s="190">
        <f t="shared" si="81"/>
        <v>-1.7630386374527986E-2</v>
      </c>
      <c r="J202" s="190">
        <f t="shared" si="81"/>
        <v>-1.1754267495283134E-2</v>
      </c>
      <c r="K202" s="190">
        <f t="shared" si="81"/>
        <v>-7.0527683747821576E-3</v>
      </c>
    </row>
    <row r="203" spans="1:11" ht="15" hidden="1" customHeight="1" outlineLevel="1" collapsed="1">
      <c r="A203" t="s">
        <v>513</v>
      </c>
    </row>
    <row r="204" spans="1:11" ht="15" hidden="1" customHeight="1" outlineLevel="2">
      <c r="A204">
        <v>0.1</v>
      </c>
      <c r="B204" s="190">
        <f>DEGREES(B194)</f>
        <v>-4.1849366207814846E-3</v>
      </c>
      <c r="C204" s="318">
        <f t="shared" ref="C204:K212" si="82">DEGREES(C194)</f>
        <v>-2.020502726122634E-2</v>
      </c>
      <c r="D204" s="190">
        <f t="shared" si="82"/>
        <v>-6.7350093352390242E-3</v>
      </c>
      <c r="F204" s="190">
        <f t="shared" si="82"/>
        <v>-2.8864325830979323E-3</v>
      </c>
      <c r="G204" s="190">
        <f t="shared" si="82"/>
        <v>-2.0205028090402905E-3</v>
      </c>
      <c r="H204" s="190">
        <f t="shared" si="82"/>
        <v>-1.3470018730037314E-3</v>
      </c>
      <c r="I204" s="190">
        <f t="shared" si="82"/>
        <v>-1.0102514048342271E-3</v>
      </c>
      <c r="J204" s="190">
        <f t="shared" si="82"/>
        <v>-6.735009365949271E-4</v>
      </c>
      <c r="K204" s="190">
        <f t="shared" si="82"/>
        <v>-4.0410056196886799E-4</v>
      </c>
    </row>
    <row r="205" spans="1:11" ht="15" hidden="1" customHeight="1" outlineLevel="2">
      <c r="A205">
        <v>0.5</v>
      </c>
      <c r="B205" s="190">
        <f t="shared" ref="B205:B212" si="83">DEGREES(B195)</f>
        <v>-2.0924682210845962E-2</v>
      </c>
      <c r="C205" s="318">
        <f t="shared" si="82"/>
        <v>-0.10102503580006893</v>
      </c>
      <c r="D205" s="190">
        <f t="shared" si="82"/>
        <v>-3.3675042953741935E-2</v>
      </c>
      <c r="F205" s="190">
        <f t="shared" si="82"/>
        <v>-1.4432162622468513E-2</v>
      </c>
      <c r="G205" s="190">
        <f t="shared" si="82"/>
        <v>-1.0102513944695194E-2</v>
      </c>
      <c r="H205" s="190">
        <f t="shared" si="82"/>
        <v>-6.7350093352390242E-3</v>
      </c>
      <c r="I205" s="190">
        <f t="shared" si="82"/>
        <v>-5.0512570116078527E-3</v>
      </c>
      <c r="J205" s="190">
        <f t="shared" si="82"/>
        <v>-3.3675046792521809E-3</v>
      </c>
      <c r="K205" s="190">
        <f t="shared" si="82"/>
        <v>-2.0205028090402905E-3</v>
      </c>
    </row>
    <row r="206" spans="1:11" ht="15" hidden="1" customHeight="1" outlineLevel="2">
      <c r="A206">
        <v>0.8</v>
      </c>
      <c r="B206" s="190">
        <f t="shared" si="83"/>
        <v>-3.3479489215394211E-2</v>
      </c>
      <c r="C206" s="318">
        <f t="shared" si="82"/>
        <v>-0.16163979596557546</v>
      </c>
      <c r="D206" s="190">
        <f t="shared" si="82"/>
        <v>-5.3880059047613865E-2</v>
      </c>
      <c r="F206" s="190">
        <f t="shared" si="82"/>
        <v>-2.309145943409471E-2</v>
      </c>
      <c r="G206" s="190">
        <f t="shared" si="82"/>
        <v>-1.6164022050196059E-2</v>
      </c>
      <c r="H206" s="190">
        <f t="shared" si="82"/>
        <v>-1.07760148589554E-2</v>
      </c>
      <c r="I206" s="190">
        <f t="shared" si="82"/>
        <v>-8.0820111859080321E-3</v>
      </c>
      <c r="J206" s="190">
        <f t="shared" si="82"/>
        <v>-5.3880074771251096E-3</v>
      </c>
      <c r="K206" s="190">
        <f t="shared" si="82"/>
        <v>-3.2328044923739339E-3</v>
      </c>
    </row>
    <row r="207" spans="1:11" ht="15" hidden="1" customHeight="1" outlineLevel="2">
      <c r="A207">
        <v>1</v>
      </c>
      <c r="B207" s="190">
        <f t="shared" si="83"/>
        <v>-4.184935884005956E-2</v>
      </c>
      <c r="C207" s="318">
        <f t="shared" si="82"/>
        <v>-0.20204944344188569</v>
      </c>
      <c r="D207" s="190">
        <f t="shared" si="82"/>
        <v>-6.7350062642170527E-2</v>
      </c>
      <c r="F207" s="190">
        <f t="shared" si="82"/>
        <v>-2.8864323413555128E-2</v>
      </c>
      <c r="G207" s="190">
        <f t="shared" si="82"/>
        <v>-2.0205027261226336E-2</v>
      </c>
      <c r="H207" s="190">
        <f t="shared" si="82"/>
        <v>-1.3470018484355356E-2</v>
      </c>
      <c r="I207" s="190">
        <f t="shared" si="82"/>
        <v>-1.0102513944695194E-2</v>
      </c>
      <c r="J207" s="190">
        <f t="shared" si="82"/>
        <v>-6.7350093352390242E-3</v>
      </c>
      <c r="K207" s="190">
        <f t="shared" si="82"/>
        <v>-4.0410056130552674E-3</v>
      </c>
    </row>
    <row r="208" spans="1:11" ht="15" hidden="1" customHeight="1" outlineLevel="2">
      <c r="A208">
        <v>5</v>
      </c>
      <c r="B208" s="190">
        <f t="shared" si="83"/>
        <v>-0.20924590114619526</v>
      </c>
      <c r="C208" s="318">
        <f t="shared" si="82"/>
        <v>-1.0101467304454064</v>
      </c>
      <c r="D208" s="190">
        <f t="shared" si="82"/>
        <v>-0.33674659083709907</v>
      </c>
      <c r="F208" s="190">
        <f t="shared" si="82"/>
        <v>-0.14432132404777614</v>
      </c>
      <c r="G208" s="190">
        <f t="shared" si="82"/>
        <v>-0.10102503580006893</v>
      </c>
      <c r="H208" s="190">
        <f t="shared" si="82"/>
        <v>-6.7350062642170541E-2</v>
      </c>
      <c r="I208" s="190">
        <f t="shared" si="82"/>
        <v>-5.0512557160199846E-2</v>
      </c>
      <c r="J208" s="190">
        <f t="shared" si="82"/>
        <v>-3.3675042953741942E-2</v>
      </c>
      <c r="K208" s="190">
        <f t="shared" si="82"/>
        <v>-2.0205027261226336E-2</v>
      </c>
    </row>
    <row r="209" spans="1:11" ht="15" hidden="1" customHeight="1" outlineLevel="2">
      <c r="A209">
        <v>10</v>
      </c>
      <c r="B209" s="190">
        <f t="shared" si="83"/>
        <v>-0.41848622088112192</v>
      </c>
      <c r="C209" s="318">
        <f t="shared" si="82"/>
        <v>-2.019665882113145</v>
      </c>
      <c r="D209" s="190">
        <f t="shared" si="82"/>
        <v>-0.67346991874753281</v>
      </c>
      <c r="F209" s="190">
        <f t="shared" si="82"/>
        <v>-0.28864081674816328</v>
      </c>
      <c r="G209" s="190">
        <f t="shared" si="82"/>
        <v>-0.20204944344188569</v>
      </c>
      <c r="H209" s="190">
        <f t="shared" si="82"/>
        <v>-0.1346999391624131</v>
      </c>
      <c r="I209" s="190">
        <f t="shared" si="82"/>
        <v>-0.10102503580006893</v>
      </c>
      <c r="J209" s="190">
        <f t="shared" si="82"/>
        <v>-6.7350062642170541E-2</v>
      </c>
      <c r="K209" s="190">
        <f t="shared" si="82"/>
        <v>-4.0410049497141658E-2</v>
      </c>
    </row>
    <row r="210" spans="1:11" ht="15" hidden="1" customHeight="1" outlineLevel="2">
      <c r="A210">
        <v>20</v>
      </c>
      <c r="B210" s="190">
        <f t="shared" si="83"/>
        <v>-0.83692779583104271</v>
      </c>
      <c r="C210" s="318">
        <f t="shared" si="82"/>
        <v>-4.0343251297999059</v>
      </c>
      <c r="D210" s="190">
        <f t="shared" si="82"/>
        <v>-1.3467537919163797</v>
      </c>
      <c r="F210" s="190">
        <f t="shared" si="82"/>
        <v>-0.57726698355375694</v>
      </c>
      <c r="G210" s="190">
        <f t="shared" si="82"/>
        <v>-0.40409386175835843</v>
      </c>
      <c r="H210" s="190">
        <f t="shared" si="82"/>
        <v>-0.26939838936791843</v>
      </c>
      <c r="I210" s="190">
        <f t="shared" si="82"/>
        <v>-0.20204944344188569</v>
      </c>
      <c r="J210" s="190">
        <f t="shared" si="82"/>
        <v>-0.1346999391624131</v>
      </c>
      <c r="K210" s="190">
        <f t="shared" si="82"/>
        <v>-8.0820058791840219E-2</v>
      </c>
    </row>
    <row r="211" spans="1:11" ht="15" hidden="1" customHeight="1" outlineLevel="2">
      <c r="A211">
        <v>50</v>
      </c>
      <c r="B211" s="190">
        <f t="shared" si="83"/>
        <v>-2.0915387854182685</v>
      </c>
      <c r="C211" s="318">
        <f t="shared" si="82"/>
        <v>-9.9997306157596224</v>
      </c>
      <c r="D211" s="190">
        <f t="shared" si="82"/>
        <v>-3.3636351438635912</v>
      </c>
      <c r="F211" s="190">
        <f t="shared" si="82"/>
        <v>-1.4429111785401103</v>
      </c>
      <c r="G211" s="190">
        <f t="shared" si="82"/>
        <v>-1.0101467304454064</v>
      </c>
      <c r="H211" s="190">
        <f t="shared" si="82"/>
        <v>-0.67346991874753293</v>
      </c>
      <c r="I211" s="190">
        <f t="shared" si="82"/>
        <v>-0.505112616327407</v>
      </c>
      <c r="J211" s="190">
        <f t="shared" si="82"/>
        <v>-0.33674659083709912</v>
      </c>
      <c r="K211" s="190">
        <f t="shared" si="82"/>
        <v>-0.20204944344188569</v>
      </c>
    </row>
    <row r="212" spans="1:11" ht="15" hidden="1" customHeight="1" outlineLevel="2">
      <c r="A212">
        <v>100</v>
      </c>
      <c r="B212" s="190">
        <f t="shared" si="83"/>
        <v>-4.1775181806719086</v>
      </c>
      <c r="C212" s="318">
        <f t="shared" si="82"/>
        <v>-19.424906065572841</v>
      </c>
      <c r="D212" s="190">
        <f t="shared" si="82"/>
        <v>-6.7042435810956897</v>
      </c>
      <c r="F212" s="190">
        <f t="shared" si="82"/>
        <v>-2.883994454134049</v>
      </c>
      <c r="G212" s="190">
        <f t="shared" si="82"/>
        <v>-2.019665882113145</v>
      </c>
      <c r="H212" s="190">
        <f t="shared" si="82"/>
        <v>-1.3467537919163799</v>
      </c>
      <c r="I212" s="190">
        <f t="shared" si="82"/>
        <v>-1.0101467304454064</v>
      </c>
      <c r="J212" s="190">
        <f t="shared" si="82"/>
        <v>-0.67346991874753293</v>
      </c>
      <c r="K212" s="190">
        <f t="shared" si="82"/>
        <v>-0.40409386175835843</v>
      </c>
    </row>
    <row r="213" spans="1:11" ht="15" hidden="1" customHeight="1" outlineLevel="1" collapsed="1"/>
    <row r="214" spans="1:11" ht="15" hidden="1" customHeight="1" outlineLevel="1">
      <c r="A214" t="s">
        <v>510</v>
      </c>
      <c r="B214" s="190">
        <v>20</v>
      </c>
      <c r="C214" s="318">
        <v>20</v>
      </c>
      <c r="D214" s="190">
        <v>20</v>
      </c>
      <c r="F214" s="190">
        <v>20</v>
      </c>
      <c r="G214" s="190">
        <v>20</v>
      </c>
      <c r="H214" s="190">
        <v>20</v>
      </c>
      <c r="I214" s="190">
        <v>20</v>
      </c>
      <c r="J214" s="190">
        <v>20</v>
      </c>
      <c r="K214" s="190">
        <v>20</v>
      </c>
    </row>
    <row r="215" spans="1:11" ht="15" hidden="1" customHeight="1" outlineLevel="1">
      <c r="A215" t="s">
        <v>519</v>
      </c>
      <c r="B215" s="190">
        <f>B$190*VLOOKUP(B$214,$A$194:B$202,B$193,FALSE)</f>
        <v>-2.9396897471331285E-2</v>
      </c>
      <c r="C215" s="318">
        <f>C$190*VLOOKUP(C$214,$A$194:C$202,C$193,FALSE)</f>
        <v>-2.5586715020896655E-2</v>
      </c>
      <c r="D215" s="190">
        <f>D$190*VLOOKUP(D$214,$A$194:D$202,D$193,FALSE)</f>
        <v>-2.6687717587037387E-2</v>
      </c>
      <c r="F215" s="190">
        <f>F$190*VLOOKUP(F$214,$A$194:F$202,F$193,FALSE)</f>
        <v>-3.5648974511691647E-2</v>
      </c>
      <c r="G215" s="190">
        <f>G$190*VLOOKUP(G$214,$A$194:G$202,G$193,FALSE)</f>
        <v>-0.41212344545890167</v>
      </c>
      <c r="H215" s="190">
        <f>H$190*VLOOKUP(H$214,$A$194:H$202,H$193,FALSE)</f>
        <v>-5.2260112968634261E-2</v>
      </c>
      <c r="I215" s="190">
        <f>I$190*VLOOKUP(I$214,$A$194:I$202,I$193,FALSE)</f>
        <v>-3.3733757866406464E-2</v>
      </c>
      <c r="J215" s="190">
        <f>J$190*VLOOKUP(J$214,$A$194:J$202,J$193,FALSE)</f>
        <v>-2.0657623469823489E-2</v>
      </c>
      <c r="K215" s="190">
        <f>K$190*VLOOKUP(K$214,$A$194:K$202,K$193,FALSE)</f>
        <v>-1.1926684471120524E-2</v>
      </c>
    </row>
    <row r="216" spans="1:11" ht="15" hidden="1" customHeight="1" outlineLevel="1">
      <c r="A216" t="s">
        <v>379</v>
      </c>
    </row>
    <row r="217" spans="1:11" ht="15" hidden="1" customHeight="1" outlineLevel="2">
      <c r="A217">
        <v>1</v>
      </c>
      <c r="B217" s="190">
        <f t="shared" ref="B217:K217" si="84">B$33*(B87)*B$215</f>
        <v>-1.0324001245971723</v>
      </c>
      <c r="C217" s="318">
        <f t="shared" si="84"/>
        <v>-3.6068368127604104E-2</v>
      </c>
      <c r="D217" s="190">
        <f t="shared" si="84"/>
        <v>-0.33858358897021068</v>
      </c>
      <c r="F217" s="190">
        <f t="shared" si="84"/>
        <v>-2.4623800443100539</v>
      </c>
      <c r="G217" s="190">
        <f t="shared" si="84"/>
        <v>-58.095070557859067</v>
      </c>
      <c r="H217" s="190">
        <f t="shared" si="84"/>
        <v>-16.575430768106667</v>
      </c>
      <c r="I217" s="190">
        <f t="shared" si="84"/>
        <v>-19.021145872915898</v>
      </c>
      <c r="J217" s="190">
        <f t="shared" si="84"/>
        <v>-26.208057212825654</v>
      </c>
      <c r="K217" s="190">
        <f t="shared" si="84"/>
        <v>-42.031191352116693</v>
      </c>
    </row>
    <row r="218" spans="1:11" ht="15" hidden="1" customHeight="1" outlineLevel="2">
      <c r="A218">
        <v>2</v>
      </c>
      <c r="B218" s="190">
        <f t="shared" ref="B218:K218" si="85">B$33*(B88)*B$215</f>
        <v>-1.0001376207035111</v>
      </c>
      <c r="C218" s="318">
        <f t="shared" si="85"/>
        <v>-3.4941231623616481E-2</v>
      </c>
      <c r="D218" s="190">
        <f t="shared" si="85"/>
        <v>-0.32800285181489169</v>
      </c>
      <c r="F218" s="190">
        <f t="shared" si="85"/>
        <v>-2.3854306679253647</v>
      </c>
      <c r="G218" s="190">
        <f t="shared" si="85"/>
        <v>-56.279599602925977</v>
      </c>
      <c r="H218" s="190">
        <f t="shared" si="85"/>
        <v>-16.05744855660334</v>
      </c>
      <c r="I218" s="190">
        <f t="shared" si="85"/>
        <v>-18.426735064387277</v>
      </c>
      <c r="J218" s="190">
        <f t="shared" si="85"/>
        <v>-25.389055424924862</v>
      </c>
      <c r="K218" s="190">
        <f t="shared" si="85"/>
        <v>-40.717716622363056</v>
      </c>
    </row>
    <row r="219" spans="1:11" ht="15" hidden="1" customHeight="1" outlineLevel="2">
      <c r="A219">
        <v>3</v>
      </c>
      <c r="B219" s="190">
        <f t="shared" ref="B219:K219" si="86">B$33*(B89)*B$215</f>
        <v>-0.96787511680984917</v>
      </c>
      <c r="C219" s="318">
        <f t="shared" si="86"/>
        <v>-3.3814095119628844E-2</v>
      </c>
      <c r="D219" s="190">
        <f t="shared" si="86"/>
        <v>-0.31742211465957254</v>
      </c>
      <c r="F219" s="190">
        <f t="shared" si="86"/>
        <v>-2.3084812915406756</v>
      </c>
      <c r="G219" s="190">
        <f t="shared" si="86"/>
        <v>-54.464128647992879</v>
      </c>
      <c r="H219" s="190">
        <f t="shared" si="86"/>
        <v>-15.539466345100001</v>
      </c>
      <c r="I219" s="190">
        <f t="shared" si="86"/>
        <v>-17.832324255858655</v>
      </c>
      <c r="J219" s="190">
        <f t="shared" si="86"/>
        <v>-24.570053637024053</v>
      </c>
      <c r="K219" s="190">
        <f t="shared" si="86"/>
        <v>-39.404241892609406</v>
      </c>
    </row>
    <row r="220" spans="1:11" ht="15" hidden="1" customHeight="1" outlineLevel="2">
      <c r="A220">
        <v>4</v>
      </c>
      <c r="B220" s="190">
        <f t="shared" ref="B220:K220" si="87">B$33*(B90)*B$215</f>
        <v>-0.93561261291618769</v>
      </c>
      <c r="C220" s="318">
        <f t="shared" si="87"/>
        <v>-3.2686958615641228E-2</v>
      </c>
      <c r="D220" s="190">
        <f t="shared" si="87"/>
        <v>-0.3068413775042535</v>
      </c>
      <c r="F220" s="190">
        <f t="shared" si="87"/>
        <v>-2.2315319151559869</v>
      </c>
      <c r="G220" s="190">
        <f t="shared" si="87"/>
        <v>-52.648657693059789</v>
      </c>
      <c r="H220" s="190">
        <f t="shared" si="87"/>
        <v>-15.021484133596671</v>
      </c>
      <c r="I220" s="190">
        <f t="shared" si="87"/>
        <v>-17.237913447330037</v>
      </c>
      <c r="J220" s="190">
        <f t="shared" si="87"/>
        <v>-23.751051849123254</v>
      </c>
      <c r="K220" s="190">
        <f t="shared" si="87"/>
        <v>-38.090767162855762</v>
      </c>
    </row>
    <row r="221" spans="1:11" ht="15" hidden="1" customHeight="1" outlineLevel="2">
      <c r="A221">
        <v>5</v>
      </c>
      <c r="B221" s="190">
        <f t="shared" ref="B221:K221" si="88">B$33*(B91)*B$215</f>
        <v>-0.90335010902252588</v>
      </c>
      <c r="C221" s="318">
        <f t="shared" si="88"/>
        <v>-3.155982211165359E-2</v>
      </c>
      <c r="D221" s="190">
        <f t="shared" si="88"/>
        <v>-0.2962606403489344</v>
      </c>
      <c r="F221" s="190">
        <f t="shared" si="88"/>
        <v>-2.1545825387712969</v>
      </c>
      <c r="G221" s="190">
        <f t="shared" si="88"/>
        <v>-50.833186738126685</v>
      </c>
      <c r="H221" s="190">
        <f t="shared" si="88"/>
        <v>-14.503501922093333</v>
      </c>
      <c r="I221" s="190">
        <f t="shared" si="88"/>
        <v>-16.643502638801408</v>
      </c>
      <c r="J221" s="190">
        <f t="shared" si="88"/>
        <v>-22.932050061222448</v>
      </c>
      <c r="K221" s="190">
        <f t="shared" si="88"/>
        <v>-36.777292433102104</v>
      </c>
    </row>
    <row r="222" spans="1:11" ht="15" hidden="1" customHeight="1" outlineLevel="2">
      <c r="A222">
        <v>6</v>
      </c>
      <c r="B222" s="190">
        <f t="shared" ref="B222:K222" si="89">B$33*(B92)*B$215</f>
        <v>-0.87108760512886418</v>
      </c>
      <c r="C222" s="318">
        <f t="shared" si="89"/>
        <v>-3.0432685607665964E-2</v>
      </c>
      <c r="D222" s="190">
        <f t="shared" si="89"/>
        <v>-0.2856799031936153</v>
      </c>
      <c r="F222" s="190">
        <f t="shared" si="89"/>
        <v>-2.0776331623866078</v>
      </c>
      <c r="G222" s="190">
        <f t="shared" si="89"/>
        <v>-49.017715783193587</v>
      </c>
      <c r="H222" s="190">
        <f t="shared" si="89"/>
        <v>-13.985519710590001</v>
      </c>
      <c r="I222" s="190">
        <f t="shared" si="89"/>
        <v>-16.04909183027279</v>
      </c>
      <c r="J222" s="190">
        <f t="shared" si="89"/>
        <v>-22.113048273321649</v>
      </c>
      <c r="K222" s="190">
        <f t="shared" si="89"/>
        <v>-35.463817703348461</v>
      </c>
    </row>
    <row r="223" spans="1:11" ht="15" hidden="1" customHeight="1" outlineLevel="2">
      <c r="A223">
        <v>7</v>
      </c>
      <c r="B223" s="190">
        <f t="shared" ref="B223:K223" si="90">B$33*(B93)*B$215</f>
        <v>-0.83882510123520271</v>
      </c>
      <c r="C223" s="318">
        <f t="shared" si="90"/>
        <v>-2.9305549103678333E-2</v>
      </c>
      <c r="D223" s="190">
        <f t="shared" si="90"/>
        <v>-0.27509916603829621</v>
      </c>
      <c r="F223" s="190">
        <f t="shared" si="90"/>
        <v>-2.0006837860019191</v>
      </c>
      <c r="G223" s="190">
        <f t="shared" si="90"/>
        <v>-47.202244828260497</v>
      </c>
      <c r="H223" s="190">
        <f t="shared" si="90"/>
        <v>-13.467537499086667</v>
      </c>
      <c r="I223" s="190">
        <f t="shared" si="90"/>
        <v>-15.454681021744168</v>
      </c>
      <c r="J223" s="190">
        <f t="shared" si="90"/>
        <v>-21.294046485420846</v>
      </c>
      <c r="K223" s="190">
        <f t="shared" si="90"/>
        <v>-34.150342973594817</v>
      </c>
    </row>
    <row r="224" spans="1:11" ht="15" hidden="1" customHeight="1" outlineLevel="2">
      <c r="A224">
        <v>8</v>
      </c>
      <c r="B224" s="190">
        <f t="shared" ref="B224:K224" si="91">B$33*(B94)*B$215</f>
        <v>-0.80656259734154101</v>
      </c>
      <c r="C224" s="318">
        <f t="shared" si="91"/>
        <v>-2.8178412599690703E-2</v>
      </c>
      <c r="D224" s="190">
        <f t="shared" si="91"/>
        <v>-0.26451842888297711</v>
      </c>
      <c r="F224" s="190">
        <f t="shared" si="91"/>
        <v>-1.9237344096172295</v>
      </c>
      <c r="G224" s="190">
        <f t="shared" si="91"/>
        <v>-45.3867738733274</v>
      </c>
      <c r="H224" s="190">
        <f t="shared" si="91"/>
        <v>-12.949555287583335</v>
      </c>
      <c r="I224" s="190">
        <f t="shared" si="91"/>
        <v>-14.860270213215546</v>
      </c>
      <c r="J224" s="190">
        <f t="shared" si="91"/>
        <v>-20.475044697520044</v>
      </c>
      <c r="K224" s="190">
        <f t="shared" si="91"/>
        <v>-32.836868243841174</v>
      </c>
    </row>
    <row r="225" spans="1:11" ht="15" hidden="1" customHeight="1" outlineLevel="2">
      <c r="A225">
        <v>9</v>
      </c>
      <c r="B225" s="190">
        <f t="shared" ref="B225:K225" si="92">B$33*(B95)*B$215</f>
        <v>-0.77430009344787931</v>
      </c>
      <c r="C225" s="318">
        <f t="shared" si="92"/>
        <v>-2.705127609570308E-2</v>
      </c>
      <c r="D225" s="190">
        <f t="shared" si="92"/>
        <v>-0.25393769172765807</v>
      </c>
      <c r="F225" s="190">
        <f t="shared" si="92"/>
        <v>-1.8467850332325406</v>
      </c>
      <c r="G225" s="190">
        <f t="shared" si="92"/>
        <v>-43.571302918394302</v>
      </c>
      <c r="H225" s="190">
        <f t="shared" si="92"/>
        <v>-12.431573076080001</v>
      </c>
      <c r="I225" s="190">
        <f t="shared" si="92"/>
        <v>-14.265859404686923</v>
      </c>
      <c r="J225" s="190">
        <f t="shared" si="92"/>
        <v>-19.656042909619245</v>
      </c>
      <c r="K225" s="190">
        <f t="shared" si="92"/>
        <v>-31.523393514087527</v>
      </c>
    </row>
    <row r="226" spans="1:11" ht="15" hidden="1" customHeight="1" outlineLevel="2">
      <c r="A226">
        <v>10</v>
      </c>
      <c r="B226" s="190">
        <f t="shared" ref="B226:K226" si="93">B$33*(B96)*B$215</f>
        <v>-0.74203758955421772</v>
      </c>
      <c r="C226" s="318">
        <f t="shared" si="93"/>
        <v>-2.592413959171545E-2</v>
      </c>
      <c r="D226" s="190">
        <f t="shared" si="93"/>
        <v>-0.24335695457233891</v>
      </c>
      <c r="F226" s="190">
        <f t="shared" si="93"/>
        <v>-1.7698356568478513</v>
      </c>
      <c r="G226" s="190">
        <f t="shared" si="93"/>
        <v>-41.755831963461205</v>
      </c>
      <c r="H226" s="190">
        <f t="shared" si="93"/>
        <v>-11.913590864576667</v>
      </c>
      <c r="I226" s="190">
        <f t="shared" si="93"/>
        <v>-13.671448596158301</v>
      </c>
      <c r="J226" s="190">
        <f t="shared" si="93"/>
        <v>-18.837041121718439</v>
      </c>
      <c r="K226" s="190">
        <f t="shared" si="93"/>
        <v>-30.209918784333876</v>
      </c>
    </row>
    <row r="227" spans="1:11" ht="15" hidden="1" customHeight="1" outlineLevel="1" collapsed="1">
      <c r="A227" t="s">
        <v>514</v>
      </c>
      <c r="B227" s="190">
        <f>SUM(B217:B226)</f>
        <v>-8.8721885707569506</v>
      </c>
      <c r="C227" s="318">
        <f t="shared" ref="C227:K227" si="94">SUM(C217:C226)</f>
        <v>-0.30996253859659778</v>
      </c>
      <c r="D227" s="190">
        <f t="shared" si="94"/>
        <v>-2.9097027177127481</v>
      </c>
      <c r="F227" s="190">
        <f t="shared" si="94"/>
        <v>-21.161078505789526</v>
      </c>
      <c r="G227" s="190">
        <f t="shared" si="94"/>
        <v>-499.25451260660139</v>
      </c>
      <c r="H227" s="190">
        <f t="shared" si="94"/>
        <v>-142.44510816341668</v>
      </c>
      <c r="I227" s="190">
        <f t="shared" si="94"/>
        <v>-163.46297234537101</v>
      </c>
      <c r="J227" s="190">
        <f t="shared" si="94"/>
        <v>-225.22549167272049</v>
      </c>
      <c r="K227" s="190">
        <f t="shared" si="94"/>
        <v>-361.20555068225286</v>
      </c>
    </row>
    <row r="228" spans="1:11" ht="15" hidden="1" customHeight="1" outlineLevel="1">
      <c r="A228" t="s">
        <v>515</v>
      </c>
      <c r="B228" s="190">
        <f>B227*B192</f>
        <v>-1.064662628490834</v>
      </c>
      <c r="C228" s="318">
        <f t="shared" ref="C228:K228" si="95">C227*C192</f>
        <v>-3.7195504631591735E-2</v>
      </c>
      <c r="D228" s="190">
        <f t="shared" si="95"/>
        <v>-0.34916432612552978</v>
      </c>
      <c r="F228" s="190">
        <f t="shared" si="95"/>
        <v>-2.539329420694743</v>
      </c>
      <c r="G228" s="190">
        <f t="shared" si="95"/>
        <v>-59.910541512792165</v>
      </c>
      <c r="H228" s="190">
        <f t="shared" si="95"/>
        <v>-17.093412979610001</v>
      </c>
      <c r="I228" s="190">
        <f t="shared" si="95"/>
        <v>-19.61555668144452</v>
      </c>
      <c r="J228" s="190">
        <f t="shared" si="95"/>
        <v>-27.027059000726457</v>
      </c>
      <c r="K228" s="190">
        <f t="shared" si="95"/>
        <v>-43.344666081870344</v>
      </c>
    </row>
    <row r="229" spans="1:11" ht="15" hidden="1" customHeight="1" outlineLevel="1">
      <c r="A229" t="s">
        <v>518</v>
      </c>
      <c r="B229" s="190">
        <f t="shared" ref="B229:K229" si="96">B44*(2/3)*((1+B50+B50^2)/(1+B50))</f>
        <v>0.12666666666666665</v>
      </c>
      <c r="C229" s="318">
        <f t="shared" si="96"/>
        <v>0.12666666666666665</v>
      </c>
      <c r="D229" s="190">
        <f t="shared" si="96"/>
        <v>0.12666666666666665</v>
      </c>
      <c r="F229" s="190">
        <f t="shared" si="96"/>
        <v>0.12666666666666665</v>
      </c>
      <c r="G229" s="190">
        <f t="shared" si="96"/>
        <v>0.12666666666666665</v>
      </c>
      <c r="H229" s="190">
        <f t="shared" si="96"/>
        <v>0.12666666666666665</v>
      </c>
      <c r="I229" s="190">
        <f t="shared" si="96"/>
        <v>0.12666666666666665</v>
      </c>
      <c r="J229" s="190">
        <f t="shared" si="96"/>
        <v>0.12666666666666665</v>
      </c>
      <c r="K229" s="190">
        <f t="shared" si="96"/>
        <v>0.12666666666666665</v>
      </c>
    </row>
    <row r="230" spans="1:11" ht="15" hidden="1" customHeight="1" outlineLevel="1">
      <c r="A230" t="s">
        <v>520</v>
      </c>
      <c r="B230" s="190">
        <v>0.8</v>
      </c>
      <c r="C230" s="318">
        <v>0.8</v>
      </c>
      <c r="D230" s="190">
        <v>0.8</v>
      </c>
      <c r="F230" s="190">
        <v>0.8</v>
      </c>
      <c r="G230" s="190">
        <v>0.8</v>
      </c>
      <c r="H230" s="190">
        <v>0.8</v>
      </c>
      <c r="I230" s="190">
        <v>0.8</v>
      </c>
      <c r="J230" s="190">
        <v>0.8</v>
      </c>
      <c r="K230" s="190">
        <v>0.8</v>
      </c>
    </row>
    <row r="231" spans="1:11" ht="15" hidden="1" customHeight="1" outlineLevel="1">
      <c r="A231" t="s">
        <v>517</v>
      </c>
      <c r="B231" s="190">
        <f t="shared" ref="B231:K231" si="97">B228/(B33*B97*B229)</f>
        <v>-2.7849692341261216E-2</v>
      </c>
      <c r="C231" s="318">
        <f t="shared" si="97"/>
        <v>-2.4240045809270517E-2</v>
      </c>
      <c r="D231" s="190">
        <f t="shared" si="97"/>
        <v>-2.5283100871930159E-2</v>
      </c>
      <c r="F231" s="190">
        <f t="shared" si="97"/>
        <v>-3.3772712695286831E-2</v>
      </c>
      <c r="G231" s="190">
        <f t="shared" si="97"/>
        <v>-0.39043273780317</v>
      </c>
      <c r="H231" s="190">
        <f t="shared" si="97"/>
        <v>-4.9509580707127195E-2</v>
      </c>
      <c r="I231" s="190">
        <f t="shared" si="97"/>
        <v>-3.1958296926069281E-2</v>
      </c>
      <c r="J231" s="190">
        <f t="shared" si="97"/>
        <v>-1.9570380129306463E-2</v>
      </c>
      <c r="K231" s="190">
        <f t="shared" si="97"/>
        <v>-1.1298964235798393E-2</v>
      </c>
    </row>
    <row r="232" spans="1:11" ht="15" hidden="1" customHeight="1" outlineLevel="1">
      <c r="A232" s="290" t="s">
        <v>522</v>
      </c>
      <c r="B232" s="288">
        <f t="shared" ref="B232:K232" si="98">(-B190*B192^2)/(B230*B3)</f>
        <v>-2.2049241331819578E-4</v>
      </c>
      <c r="C232" s="333">
        <f t="shared" si="98"/>
        <v>-9.2656791636244057E-4</v>
      </c>
      <c r="D232" s="288">
        <f t="shared" si="98"/>
        <v>-3.2214611966789743E-4</v>
      </c>
      <c r="E232" s="288"/>
      <c r="F232" s="288">
        <f t="shared" si="98"/>
        <v>-1.8442157528556364E-4</v>
      </c>
      <c r="G232" s="288">
        <f t="shared" si="98"/>
        <v>-1.4924165209605816E-3</v>
      </c>
      <c r="H232" s="288">
        <f t="shared" si="98"/>
        <v>-1.2616584802612485E-4</v>
      </c>
      <c r="I232" s="288">
        <f t="shared" si="98"/>
        <v>-6.1079778533164696E-5</v>
      </c>
      <c r="J232" s="288">
        <f t="shared" si="98"/>
        <v>-2.4935715168075836E-5</v>
      </c>
      <c r="K232" s="288">
        <f t="shared" si="98"/>
        <v>-8.6379851188346516E-6</v>
      </c>
    </row>
    <row r="233" spans="1:11" ht="15" hidden="1" customHeight="1" outlineLevel="2">
      <c r="A233">
        <v>0.06</v>
      </c>
      <c r="B233" s="288">
        <v>-3.957435565420617E-3</v>
      </c>
      <c r="C233" s="333"/>
      <c r="D233" s="288"/>
      <c r="E233" s="288"/>
      <c r="F233" s="288"/>
      <c r="G233" s="288"/>
      <c r="H233" s="288"/>
      <c r="I233" s="288"/>
      <c r="J233" s="288"/>
      <c r="K233" s="288"/>
    </row>
    <row r="234" spans="1:11" ht="15" hidden="1" customHeight="1" outlineLevel="2">
      <c r="A234">
        <v>0.1</v>
      </c>
      <c r="B234" s="288">
        <v>-1.0587217785124063E-3</v>
      </c>
      <c r="C234" s="333"/>
      <c r="D234" s="288"/>
      <c r="E234" s="288"/>
      <c r="F234" s="288"/>
      <c r="G234" s="288"/>
      <c r="H234" s="288"/>
      <c r="I234" s="288"/>
      <c r="J234" s="288"/>
      <c r="K234" s="288"/>
    </row>
    <row r="235" spans="1:11" ht="15" hidden="1" customHeight="1" outlineLevel="2">
      <c r="A235">
        <v>0.3</v>
      </c>
      <c r="B235" s="288">
        <v>-2.3663117870606997E-4</v>
      </c>
      <c r="C235" s="333"/>
      <c r="D235" s="288"/>
      <c r="E235" s="288"/>
      <c r="F235" s="288"/>
      <c r="G235" s="288"/>
      <c r="H235" s="288"/>
      <c r="I235" s="288"/>
      <c r="J235" s="288"/>
      <c r="K235" s="288"/>
    </row>
    <row r="236" spans="1:11" ht="15" hidden="1" customHeight="1" outlineLevel="2">
      <c r="A236">
        <v>0.5</v>
      </c>
      <c r="B236" s="288">
        <v>-1.1523587839424864E-4</v>
      </c>
      <c r="C236" s="333"/>
      <c r="D236" s="288"/>
      <c r="E236" s="288"/>
      <c r="F236" s="288"/>
      <c r="G236" s="288"/>
      <c r="H236" s="288"/>
      <c r="I236" s="288"/>
      <c r="J236" s="288"/>
      <c r="K236" s="288"/>
    </row>
    <row r="237" spans="1:11" ht="15" hidden="1" customHeight="1" outlineLevel="2">
      <c r="A237">
        <v>0.7</v>
      </c>
      <c r="B237" s="288">
        <v>-7.9021921140809409E-5</v>
      </c>
      <c r="C237" s="333"/>
      <c r="D237" s="288"/>
      <c r="E237" s="288"/>
      <c r="F237" s="288"/>
      <c r="G237" s="288"/>
      <c r="H237" s="288"/>
      <c r="I237" s="288"/>
      <c r="J237" s="288"/>
      <c r="K237" s="288"/>
    </row>
    <row r="238" spans="1:11" ht="15" hidden="1" customHeight="1" outlineLevel="2">
      <c r="A238">
        <v>1</v>
      </c>
      <c r="B238" s="288">
        <v>-5.1877556177959536E-4</v>
      </c>
      <c r="C238" s="333"/>
      <c r="D238" s="288"/>
      <c r="E238" s="288"/>
      <c r="F238" s="288"/>
      <c r="G238" s="288"/>
      <c r="H238" s="288"/>
      <c r="I238" s="288"/>
      <c r="J238" s="288"/>
      <c r="K238" s="288"/>
    </row>
    <row r="239" spans="1:11" ht="15" hidden="1" customHeight="1" outlineLevel="2">
      <c r="A239">
        <v>1.5</v>
      </c>
      <c r="B239" s="288">
        <v>-3.1795765043958875E-4</v>
      </c>
      <c r="C239" s="333"/>
      <c r="D239" s="288"/>
      <c r="E239" s="288"/>
      <c r="F239" s="288"/>
      <c r="G239" s="288"/>
      <c r="H239" s="288"/>
      <c r="I239" s="288"/>
      <c r="J239" s="288"/>
      <c r="K239" s="288"/>
    </row>
    <row r="240" spans="1:11" ht="15" hidden="1" customHeight="1" outlineLevel="2">
      <c r="A240">
        <v>2</v>
      </c>
      <c r="B240" s="288">
        <v>-6.841359360843149E-5</v>
      </c>
      <c r="C240" s="333"/>
      <c r="D240" s="288"/>
      <c r="E240" s="288"/>
      <c r="F240" s="288"/>
      <c r="G240" s="288"/>
      <c r="H240" s="288"/>
      <c r="I240" s="288"/>
      <c r="J240" s="288"/>
      <c r="K240" s="288"/>
    </row>
    <row r="241" spans="1:11" ht="15" hidden="1" customHeight="1" outlineLevel="2">
      <c r="A241">
        <v>3</v>
      </c>
      <c r="B241" s="288">
        <v>-1.795482812258461E-5</v>
      </c>
      <c r="C241" s="333"/>
      <c r="D241" s="288"/>
      <c r="E241" s="288"/>
      <c r="F241" s="288"/>
      <c r="G241" s="288"/>
      <c r="H241" s="288"/>
      <c r="I241" s="288"/>
      <c r="J241" s="288"/>
      <c r="K241" s="288"/>
    </row>
    <row r="242" spans="1:11" ht="15" hidden="1" customHeight="1" outlineLevel="2">
      <c r="A242">
        <v>5</v>
      </c>
      <c r="B242" s="288">
        <v>-4.5829625651869788E-6</v>
      </c>
      <c r="C242" s="333"/>
      <c r="D242" s="288"/>
      <c r="E242" s="288"/>
      <c r="F242" s="288"/>
      <c r="G242" s="288"/>
      <c r="H242" s="288"/>
      <c r="I242" s="288"/>
      <c r="J242" s="288"/>
      <c r="K242" s="288"/>
    </row>
    <row r="243" spans="1:11" ht="15" hidden="1" customHeight="1" outlineLevel="1" collapsed="1"/>
    <row r="244" spans="1:11" ht="15" hidden="1" customHeight="1" outlineLevel="1">
      <c r="A244" s="290" t="s">
        <v>523</v>
      </c>
      <c r="B244" s="190">
        <f>(B190*B192)/B230</f>
        <v>0.301875173272315</v>
      </c>
      <c r="C244" s="318">
        <f t="shared" ref="C244:K244" si="99">(C190*C192)/C230</f>
        <v>0.26274861277232359</v>
      </c>
      <c r="D244" s="190">
        <f t="shared" si="99"/>
        <v>0.27405474944035557</v>
      </c>
      <c r="F244" s="190">
        <f t="shared" si="99"/>
        <v>0.36607741916276115</v>
      </c>
      <c r="G244" s="190">
        <f t="shared" si="99"/>
        <v>4.2320736951515885</v>
      </c>
      <c r="H244" s="190">
        <f t="shared" si="99"/>
        <v>0.53665631459994945</v>
      </c>
      <c r="I244" s="190">
        <f t="shared" si="99"/>
        <v>0.34641016151377546</v>
      </c>
      <c r="J244" s="190">
        <f t="shared" si="99"/>
        <v>0.21213203435596423</v>
      </c>
      <c r="K244" s="190">
        <f t="shared" si="99"/>
        <v>0.1224744871391589</v>
      </c>
    </row>
    <row r="245" spans="1:11" ht="15" hidden="1" customHeight="1" outlineLevel="2">
      <c r="A245">
        <v>0.06</v>
      </c>
      <c r="B245" s="190">
        <v>0.42414518635482801</v>
      </c>
    </row>
    <row r="246" spans="1:11" ht="15" hidden="1" customHeight="1" outlineLevel="2">
      <c r="A246">
        <v>0.1</v>
      </c>
      <c r="B246" s="190">
        <v>0.42551395211156007</v>
      </c>
    </row>
    <row r="247" spans="1:11" ht="15" hidden="1" customHeight="1" outlineLevel="2">
      <c r="A247">
        <v>0.3</v>
      </c>
      <c r="B247" s="190">
        <v>0.4438239208910964</v>
      </c>
    </row>
    <row r="248" spans="1:11" ht="15" hidden="1" customHeight="1" outlineLevel="2">
      <c r="A248">
        <v>0.5</v>
      </c>
      <c r="B248" s="190">
        <v>0.48887831097616802</v>
      </c>
    </row>
    <row r="249" spans="1:11" ht="15" hidden="1" customHeight="1" outlineLevel="2">
      <c r="A249">
        <v>0.7</v>
      </c>
      <c r="B249" s="190">
        <v>0.59285203359655836</v>
      </c>
    </row>
    <row r="250" spans="1:11" ht="15" hidden="1" customHeight="1" outlineLevel="2">
      <c r="A250">
        <v>1</v>
      </c>
      <c r="B250" s="190">
        <v>6.7184169910531475</v>
      </c>
    </row>
    <row r="251" spans="1:11" ht="15" hidden="1" customHeight="1" outlineLevel="2">
      <c r="A251">
        <v>1.5</v>
      </c>
      <c r="B251" s="190">
        <v>0.85194189942741982</v>
      </c>
    </row>
    <row r="252" spans="1:11" ht="15" hidden="1" customHeight="1" outlineLevel="2">
      <c r="A252">
        <v>2</v>
      </c>
      <c r="B252" s="190">
        <v>0.54992613140311863</v>
      </c>
    </row>
    <row r="253" spans="1:11" ht="15" hidden="1" customHeight="1" outlineLevel="2">
      <c r="A253">
        <v>3</v>
      </c>
      <c r="B253" s="190">
        <v>0.33675960454009318</v>
      </c>
    </row>
    <row r="254" spans="1:11" ht="15" hidden="1" customHeight="1" outlineLevel="2">
      <c r="A254">
        <v>5</v>
      </c>
      <c r="B254" s="190">
        <v>0.19442824833341479</v>
      </c>
    </row>
    <row r="255" spans="1:11" ht="15" hidden="1" customHeight="1" outlineLevel="1" collapsed="1"/>
    <row r="256" spans="1:11" ht="15" hidden="1" customHeight="1" outlineLevel="1"/>
    <row r="257" spans="1:13" s="96" customFormat="1" ht="14.25" customHeight="1" collapsed="1">
      <c r="A257" s="317" t="s">
        <v>608</v>
      </c>
      <c r="B257" s="316"/>
      <c r="C257" s="323"/>
      <c r="D257" s="316"/>
      <c r="E257" s="316"/>
      <c r="F257" s="316"/>
      <c r="G257" s="316"/>
      <c r="H257" s="316"/>
      <c r="I257" s="316"/>
      <c r="J257" s="316"/>
      <c r="K257" s="316"/>
      <c r="M257" s="335"/>
    </row>
    <row r="258" spans="1:13" ht="15" customHeight="1" thickBot="1"/>
    <row r="259" spans="1:13" ht="15" customHeight="1" thickBot="1">
      <c r="A259" s="305" t="s">
        <v>559</v>
      </c>
    </row>
    <row r="260" spans="1:13" ht="15" customHeight="1">
      <c r="A260" t="s">
        <v>351</v>
      </c>
      <c r="B260" s="190">
        <f t="shared" ref="B260" si="100">DiameterRocket</f>
        <v>8</v>
      </c>
    </row>
    <row r="261" spans="1:13" ht="15" customHeight="1">
      <c r="A261" t="s">
        <v>352</v>
      </c>
      <c r="B261" s="190">
        <f t="shared" ref="B261" si="101">B260/100</f>
        <v>0.08</v>
      </c>
    </row>
    <row r="262" spans="1:13" ht="15" customHeight="1">
      <c r="A262" s="307" t="s">
        <v>572</v>
      </c>
      <c r="B262" s="260">
        <v>30</v>
      </c>
    </row>
    <row r="263" spans="1:13" ht="15" customHeight="1">
      <c r="A263" t="s">
        <v>354</v>
      </c>
      <c r="B263" s="190">
        <f>B262/100</f>
        <v>0.3</v>
      </c>
    </row>
    <row r="264" spans="1:13" ht="15" customHeight="1">
      <c r="A264" t="s">
        <v>567</v>
      </c>
      <c r="B264" s="190">
        <f>B262/B260</f>
        <v>3.75</v>
      </c>
    </row>
    <row r="265" spans="1:13" ht="15" customHeight="1">
      <c r="A265" s="307" t="s">
        <v>568</v>
      </c>
      <c r="B265" s="190">
        <v>120</v>
      </c>
    </row>
    <row r="266" spans="1:13" ht="15" customHeight="1">
      <c r="A266" t="s">
        <v>354</v>
      </c>
      <c r="B266" s="190">
        <f>B265/100</f>
        <v>1.2</v>
      </c>
    </row>
    <row r="267" spans="1:13" ht="15" customHeight="1">
      <c r="A267" s="307" t="s">
        <v>569</v>
      </c>
      <c r="B267" s="190">
        <v>0</v>
      </c>
    </row>
    <row r="268" spans="1:13" ht="15" customHeight="1">
      <c r="A268" t="s">
        <v>354</v>
      </c>
      <c r="B268" s="190">
        <f>B267/100</f>
        <v>0</v>
      </c>
    </row>
    <row r="269" spans="1:13" ht="15" customHeight="1">
      <c r="A269" s="307" t="s">
        <v>570</v>
      </c>
      <c r="B269" s="190">
        <v>0</v>
      </c>
    </row>
    <row r="270" spans="1:13" ht="15" customHeight="1">
      <c r="A270" t="s">
        <v>354</v>
      </c>
      <c r="B270" s="190">
        <f>B269/100</f>
        <v>0</v>
      </c>
    </row>
    <row r="271" spans="1:13" ht="15" customHeight="1">
      <c r="A271" s="306" t="s">
        <v>571</v>
      </c>
      <c r="B271" s="190">
        <f>B262+B265+B267</f>
        <v>150</v>
      </c>
    </row>
    <row r="272" spans="1:13" ht="15" customHeight="1">
      <c r="A272" t="s">
        <v>354</v>
      </c>
      <c r="B272" s="190">
        <f>B271/100</f>
        <v>1.5</v>
      </c>
    </row>
    <row r="273" spans="1:2" ht="15" customHeight="1">
      <c r="A273" t="s">
        <v>599</v>
      </c>
      <c r="B273" s="190">
        <f t="shared" ref="B273" si="102">CrossSecAreaRocket</f>
        <v>5.0265482457436689E-3</v>
      </c>
    </row>
    <row r="275" spans="1:2" ht="15" customHeight="1">
      <c r="A275" s="264" t="s">
        <v>371</v>
      </c>
    </row>
    <row r="276" spans="1:2" ht="15" customHeight="1">
      <c r="A276" t="s">
        <v>609</v>
      </c>
      <c r="B276" s="185">
        <f>(B20*B3*B271)/B23</f>
        <v>1643771199.1620688</v>
      </c>
    </row>
    <row r="277" spans="1:2" ht="15" customHeight="1">
      <c r="A277" s="274" t="s">
        <v>486</v>
      </c>
      <c r="B277" s="276">
        <v>-3355.4331999999999</v>
      </c>
    </row>
    <row r="278" spans="1:2" ht="15" customHeight="1">
      <c r="A278" s="274" t="s">
        <v>487</v>
      </c>
      <c r="B278" s="185">
        <f>B277/1000</f>
        <v>-3.3554331999999998</v>
      </c>
    </row>
    <row r="279" spans="1:2" ht="15" customHeight="1">
      <c r="A279" t="s">
        <v>488</v>
      </c>
      <c r="B279" s="190">
        <f>(B108*B3)/B23</f>
        <v>166.19760893838935</v>
      </c>
    </row>
    <row r="280" spans="1:2" ht="15" customHeight="1">
      <c r="A280" s="271" t="s">
        <v>493</v>
      </c>
      <c r="B280" s="277">
        <f>B292</f>
        <v>3.3786007844278205</v>
      </c>
    </row>
    <row r="281" spans="1:2" ht="15" hidden="1" customHeight="1" outlineLevel="1">
      <c r="A281" s="270" t="s">
        <v>525</v>
      </c>
      <c r="B281" s="190">
        <f>B271/$A286</f>
        <v>30</v>
      </c>
    </row>
    <row r="282" spans="1:2" ht="15" hidden="1" customHeight="1" outlineLevel="1">
      <c r="A282">
        <v>1</v>
      </c>
      <c r="B282" s="185">
        <f>(B$20*B$3*($A282*B$281))/B$23</f>
        <v>328754239.83241379</v>
      </c>
    </row>
    <row r="283" spans="1:2" ht="15" hidden="1" customHeight="1" outlineLevel="1">
      <c r="A283">
        <v>2</v>
      </c>
      <c r="B283" s="185">
        <f>(B$20*B$3*($A283*B$281))/B$23</f>
        <v>657508479.66482759</v>
      </c>
    </row>
    <row r="284" spans="1:2" ht="15" hidden="1" customHeight="1" outlineLevel="1">
      <c r="A284">
        <v>3</v>
      </c>
      <c r="B284" s="185">
        <f>(B$20*B$3*($A284*B$281))/B$23</f>
        <v>986262719.49724126</v>
      </c>
    </row>
    <row r="285" spans="1:2" ht="15" hidden="1" customHeight="1" outlineLevel="1">
      <c r="A285">
        <v>4</v>
      </c>
      <c r="B285" s="185">
        <f>(B$20*B$3*($A285*B$281))/B$23</f>
        <v>1315016959.3296552</v>
      </c>
    </row>
    <row r="286" spans="1:2" ht="15" hidden="1" customHeight="1" outlineLevel="1">
      <c r="A286">
        <v>5</v>
      </c>
      <c r="B286" s="185">
        <f>(B$20*B$3*($A286*B$281))/B$23</f>
        <v>1643771199.1620688</v>
      </c>
    </row>
    <row r="287" spans="1:2" ht="15" hidden="1" customHeight="1" outlineLevel="1">
      <c r="A287" s="270" t="s">
        <v>489</v>
      </c>
      <c r="B287" s="185"/>
    </row>
    <row r="288" spans="1:2" ht="15" hidden="1" customHeight="1" outlineLevel="1">
      <c r="A288">
        <v>1</v>
      </c>
      <c r="B288" s="185">
        <f>B$279*(SQRT(0.0576/(2*($B282^(1/5)))))</f>
        <v>3.9685684825209582</v>
      </c>
    </row>
    <row r="289" spans="1:2" ht="15" hidden="1" customHeight="1" outlineLevel="1">
      <c r="A289">
        <v>2</v>
      </c>
      <c r="B289" s="185">
        <f t="shared" ref="B289:B292" si="103">B$279*(SQRT(0.0576/(2*($B283^(1/5)))))</f>
        <v>3.7028053233652196</v>
      </c>
    </row>
    <row r="290" spans="1:2" ht="15" hidden="1" customHeight="1" outlineLevel="1">
      <c r="A290">
        <v>3</v>
      </c>
      <c r="B290" s="185">
        <f t="shared" si="103"/>
        <v>3.555672505372069</v>
      </c>
    </row>
    <row r="291" spans="1:2" ht="15" hidden="1" customHeight="1" outlineLevel="1">
      <c r="A291">
        <v>4</v>
      </c>
      <c r="B291" s="185">
        <f t="shared" si="103"/>
        <v>3.4548395279378643</v>
      </c>
    </row>
    <row r="292" spans="1:2" ht="15" hidden="1" customHeight="1" outlineLevel="1">
      <c r="A292">
        <v>5</v>
      </c>
      <c r="B292" s="185">
        <f t="shared" si="103"/>
        <v>3.3786007844278205</v>
      </c>
    </row>
    <row r="293" spans="1:2" ht="15" customHeight="1" collapsed="1">
      <c r="A293" s="271" t="s">
        <v>492</v>
      </c>
      <c r="B293" s="277">
        <f>B299</f>
        <v>3.3403284863135099</v>
      </c>
    </row>
    <row r="294" spans="1:2" ht="15" hidden="1" customHeight="1" outlineLevel="1">
      <c r="A294" s="270" t="s">
        <v>526</v>
      </c>
    </row>
    <row r="295" spans="1:2" ht="15" hidden="1" customHeight="1" outlineLevel="1">
      <c r="A295">
        <v>1</v>
      </c>
      <c r="B295" s="185">
        <f>B288*SQRT((1+0.2*B$11^2)^(-0.467))</f>
        <v>3.9236131161603773</v>
      </c>
    </row>
    <row r="296" spans="1:2" ht="15" hidden="1" customHeight="1" outlineLevel="1">
      <c r="A296">
        <v>2</v>
      </c>
      <c r="B296" s="185">
        <f t="shared" ref="B296:B299" si="104">B289*SQRT((1+0.2*B$11^2)^(-0.467))</f>
        <v>3.6608604834041736</v>
      </c>
    </row>
    <row r="297" spans="1:2" ht="15" hidden="1" customHeight="1" outlineLevel="1">
      <c r="A297">
        <v>3</v>
      </c>
      <c r="B297" s="185">
        <f t="shared" si="104"/>
        <v>3.5153943645660655</v>
      </c>
    </row>
    <row r="298" spans="1:2" ht="15" hidden="1" customHeight="1" outlineLevel="1">
      <c r="A298">
        <v>4</v>
      </c>
      <c r="B298" s="185">
        <f t="shared" si="104"/>
        <v>3.4157036084294767</v>
      </c>
    </row>
    <row r="299" spans="1:2" ht="15" hidden="1" customHeight="1" outlineLevel="1">
      <c r="A299">
        <v>5</v>
      </c>
      <c r="B299" s="185">
        <f t="shared" si="104"/>
        <v>3.3403284863135099</v>
      </c>
    </row>
    <row r="300" spans="1:2" ht="15" customHeight="1" collapsed="1"/>
    <row r="301" spans="1:2" ht="15" customHeight="1">
      <c r="A301" s="266" t="s">
        <v>672</v>
      </c>
      <c r="B301" s="190">
        <f>B8*B7*B302</f>
        <v>70.979990027230713</v>
      </c>
    </row>
    <row r="302" spans="1:2" ht="15" customHeight="1">
      <c r="A302" s="307" t="s">
        <v>578</v>
      </c>
      <c r="B302" s="310">
        <f>B304*B303+(4/PI())*(B265/B260)*B306*B310</f>
        <v>0.79752700839234758</v>
      </c>
    </row>
    <row r="303" spans="1:2" ht="15" customHeight="1">
      <c r="A303" t="s">
        <v>586</v>
      </c>
      <c r="B303" s="190">
        <f>SIN(RADIANS(B13))*COS(RADIANS(B13))</f>
        <v>0.24999999999999997</v>
      </c>
    </row>
    <row r="304" spans="1:2" ht="15" customHeight="1">
      <c r="A304" t="s">
        <v>581</v>
      </c>
      <c r="B304" s="190">
        <f>IF(B264&lt;=1.5,VLOOKUP(B10,$A$328:$B$352,2,TRUE),IF(B264&lt;=3,VLOOKUP(B10,A354:B378,2,TRUE),IF(B264&lt;=5,VLOOKUP(B10,$A$380:$B$404,2,TRUE),VLOOKUP(B10,$A$406:$B$430,2,TRUE))))</f>
        <v>2.0299999999999998</v>
      </c>
    </row>
    <row r="305" spans="1:2" ht="15" customHeight="1">
      <c r="A305" t="s">
        <v>577</v>
      </c>
      <c r="B305" s="190">
        <f>0.5 *(4*(B264^2)-1)</f>
        <v>27.625</v>
      </c>
    </row>
    <row r="306" spans="1:2" ht="15" customHeight="1">
      <c r="A306" t="s">
        <v>579</v>
      </c>
      <c r="B306" s="190">
        <f>IF(B10&lt;0.5,VLOOKUP(B13,$A$433:$B$439,2,TRUE),RADIANS(B13)*VLOOKUP(B10,A441:B453,2,TRUE))</f>
        <v>1.780235837034216E-2</v>
      </c>
    </row>
    <row r="307" spans="1:2" ht="15" customHeight="1">
      <c r="A307" t="s">
        <v>582</v>
      </c>
      <c r="B307" s="190">
        <f>0.5*(B308*B309-B305)</f>
        <v>0.66903105243725491</v>
      </c>
    </row>
    <row r="308" spans="1:2" ht="15" customHeight="1">
      <c r="A308" t="s">
        <v>583</v>
      </c>
      <c r="B308" s="190">
        <f>((B305+1)^2)/(SQRT(2*B305+1))</f>
        <v>109.25208333333333</v>
      </c>
    </row>
    <row r="309" spans="1:2" ht="15" customHeight="1">
      <c r="A309" t="s">
        <v>584</v>
      </c>
      <c r="B309" s="190">
        <f>ASIN((SQRT(2*B305+1))/(B305+1))</f>
        <v>0.26510306459334804</v>
      </c>
    </row>
    <row r="310" spans="1:2" ht="15" customHeight="1">
      <c r="A310" t="s">
        <v>585</v>
      </c>
      <c r="B310" s="190">
        <f>B309*(B262/B271)+(B267+B265)/B271</f>
        <v>0.85302061291866971</v>
      </c>
    </row>
    <row r="312" spans="1:2" ht="15" customHeight="1">
      <c r="A312" s="266" t="s">
        <v>598</v>
      </c>
      <c r="B312" s="190">
        <f>B313-B315</f>
        <v>-73.362903908042213</v>
      </c>
    </row>
    <row r="313" spans="1:2" ht="15" customHeight="1">
      <c r="A313" t="s">
        <v>597</v>
      </c>
      <c r="B313" s="190">
        <f>B314*B262</f>
        <v>13.98</v>
      </c>
    </row>
    <row r="314" spans="1:2" ht="15" customHeight="1">
      <c r="A314" t="s">
        <v>593</v>
      </c>
      <c r="B314" s="190">
        <f>IF(B264&lt;=1.5,VLOOKUP(B10,$A$457:$B$462,2,TRUE),IF(B264&lt;=2,VLOOKUP(B10,$A$464:$B$469,2,TRUE),IF(B264&lt;=3,VLOOKUP(B10,$A$470:$B$475,2,TRUE),IF(B264&lt;=5,VLOOKUP(B10,$A$476:$B$481,2,TRUE),IF(B264&lt;=7,VLOOKUP(B10,$A$482:$B$487,2,TRUE))))))</f>
        <v>0.46600000000000003</v>
      </c>
    </row>
    <row r="315" spans="1:2" ht="15" customHeight="1">
      <c r="A315" t="s">
        <v>589</v>
      </c>
      <c r="B315" s="190">
        <f>(B271/2)*B318</f>
        <v>87.342903908042217</v>
      </c>
    </row>
    <row r="316" spans="1:2" ht="15" customHeight="1">
      <c r="A316" t="s">
        <v>588</v>
      </c>
      <c r="B316" s="190">
        <f>(1/B307)*(B308*B309-B317)</f>
        <v>1.2482217960875066</v>
      </c>
    </row>
    <row r="317" spans="1:2" ht="15" customHeight="1">
      <c r="A317" t="s">
        <v>584</v>
      </c>
      <c r="B317" s="190">
        <f>(2/(2*B305+1))*(B305^2+B305+1/3)</f>
        <v>28.127962962962965</v>
      </c>
    </row>
    <row r="318" spans="1:2" ht="15" customHeight="1">
      <c r="A318" t="s">
        <v>587</v>
      </c>
      <c r="B318" s="190">
        <f>(1/B310)*(B319+B320+B321+B322-B323)</f>
        <v>1.1645720521072296</v>
      </c>
    </row>
    <row r="319" spans="1:2" ht="15" customHeight="1">
      <c r="A319" t="s">
        <v>583</v>
      </c>
      <c r="B319" s="190">
        <f>B307*B316*((B262/B271)^2)</f>
        <v>3.3403965676461811E-2</v>
      </c>
    </row>
    <row r="320" spans="1:2" ht="15" customHeight="1">
      <c r="A320" t="s">
        <v>584</v>
      </c>
      <c r="B320" s="190">
        <f>(B265/B271)^2</f>
        <v>0.64000000000000012</v>
      </c>
    </row>
    <row r="321" spans="1:2" ht="15" customHeight="1">
      <c r="A321" t="s">
        <v>590</v>
      </c>
      <c r="B321" s="190">
        <f>2*(B265*B262)/B271^2</f>
        <v>0.32</v>
      </c>
    </row>
    <row r="322" spans="1:2" ht="15" customHeight="1">
      <c r="A322" t="s">
        <v>591</v>
      </c>
      <c r="B322" s="190">
        <f>2*(B267/B271)</f>
        <v>0</v>
      </c>
    </row>
    <row r="323" spans="1:2" ht="15" customHeight="1">
      <c r="A323" t="s">
        <v>592</v>
      </c>
      <c r="B323" s="190">
        <f>(B267/B271)^2</f>
        <v>0</v>
      </c>
    </row>
    <row r="325" spans="1:2" ht="15" customHeight="1">
      <c r="A325" s="308" t="s">
        <v>574</v>
      </c>
    </row>
    <row r="326" spans="1:2" ht="15" customHeight="1">
      <c r="A326" s="265" t="s">
        <v>580</v>
      </c>
    </row>
    <row r="327" spans="1:2" ht="15" hidden="1" customHeight="1" outlineLevel="1">
      <c r="A327" t="s">
        <v>576</v>
      </c>
      <c r="B327">
        <v>1.5</v>
      </c>
    </row>
    <row r="328" spans="1:2" ht="15" hidden="1" customHeight="1" outlineLevel="1">
      <c r="A328">
        <v>0</v>
      </c>
      <c r="B328">
        <v>2</v>
      </c>
    </row>
    <row r="329" spans="1:2" ht="15" hidden="1" customHeight="1" outlineLevel="1">
      <c r="A329">
        <v>0.3</v>
      </c>
      <c r="B329">
        <v>2.0099999999999998</v>
      </c>
    </row>
    <row r="330" spans="1:2" ht="15" hidden="1" customHeight="1" outlineLevel="1">
      <c r="A330">
        <v>0.4</v>
      </c>
      <c r="B330">
        <v>2.02</v>
      </c>
    </row>
    <row r="331" spans="1:2" ht="15" hidden="1" customHeight="1" outlineLevel="1">
      <c r="A331">
        <v>0.5</v>
      </c>
      <c r="B331">
        <v>2.0299999999999998</v>
      </c>
    </row>
    <row r="332" spans="1:2" ht="15" hidden="1" customHeight="1" outlineLevel="1">
      <c r="A332">
        <v>0.6</v>
      </c>
      <c r="B332">
        <v>2.0499999999999998</v>
      </c>
    </row>
    <row r="333" spans="1:2" ht="15" hidden="1" customHeight="1" outlineLevel="1">
      <c r="A333">
        <v>0.7</v>
      </c>
      <c r="B333">
        <v>2.06</v>
      </c>
    </row>
    <row r="334" spans="1:2" ht="15" hidden="1" customHeight="1" outlineLevel="1">
      <c r="A334">
        <v>0.8</v>
      </c>
      <c r="B334">
        <v>2.1</v>
      </c>
    </row>
    <row r="335" spans="1:2" ht="15" hidden="1" customHeight="1" outlineLevel="1">
      <c r="A335">
        <v>0.9</v>
      </c>
      <c r="B335">
        <v>2.16</v>
      </c>
    </row>
    <row r="336" spans="1:2" ht="15" hidden="1" customHeight="1" outlineLevel="1">
      <c r="A336">
        <v>1</v>
      </c>
      <c r="B336">
        <v>2.2999999999999998</v>
      </c>
    </row>
    <row r="337" spans="1:2" ht="15" hidden="1" customHeight="1" outlineLevel="1">
      <c r="A337">
        <v>1.05</v>
      </c>
      <c r="B337">
        <v>2.36</v>
      </c>
    </row>
    <row r="338" spans="1:2" ht="15" hidden="1" customHeight="1" outlineLevel="1">
      <c r="A338">
        <v>1.1000000000000001</v>
      </c>
      <c r="B338">
        <v>2.4</v>
      </c>
    </row>
    <row r="339" spans="1:2" ht="15" hidden="1" customHeight="1" outlineLevel="1">
      <c r="A339">
        <v>1.1499999999999999</v>
      </c>
      <c r="B339">
        <v>2.38</v>
      </c>
    </row>
    <row r="340" spans="1:2" ht="15" hidden="1" customHeight="1" outlineLevel="1">
      <c r="A340">
        <v>1.2</v>
      </c>
      <c r="B340">
        <v>2.37</v>
      </c>
    </row>
    <row r="341" spans="1:2" ht="15" hidden="1" customHeight="1" outlineLevel="1">
      <c r="A341">
        <v>1.3</v>
      </c>
      <c r="B341">
        <v>2.35</v>
      </c>
    </row>
    <row r="342" spans="1:2" ht="15" hidden="1" customHeight="1" outlineLevel="1">
      <c r="A342">
        <v>1.4</v>
      </c>
      <c r="B342">
        <v>2.35</v>
      </c>
    </row>
    <row r="343" spans="1:2" ht="15" hidden="1" customHeight="1" outlineLevel="1">
      <c r="A343">
        <v>1.5</v>
      </c>
      <c r="B343">
        <v>2.35</v>
      </c>
    </row>
    <row r="344" spans="1:2" ht="15" hidden="1" customHeight="1" outlineLevel="1">
      <c r="A344">
        <v>1.75</v>
      </c>
      <c r="B344">
        <v>2.37</v>
      </c>
    </row>
    <row r="345" spans="1:2" ht="15" hidden="1" customHeight="1" outlineLevel="1">
      <c r="A345">
        <v>2</v>
      </c>
      <c r="B345">
        <v>2.4</v>
      </c>
    </row>
    <row r="346" spans="1:2" ht="15" hidden="1" customHeight="1" outlineLevel="1">
      <c r="A346">
        <v>2.25</v>
      </c>
      <c r="B346">
        <v>2.42</v>
      </c>
    </row>
    <row r="347" spans="1:2" ht="15" hidden="1" customHeight="1" outlineLevel="1">
      <c r="A347">
        <v>2.5</v>
      </c>
      <c r="B347">
        <v>2.4500000000000002</v>
      </c>
    </row>
    <row r="348" spans="1:2" ht="15" hidden="1" customHeight="1" outlineLevel="1">
      <c r="A348">
        <v>3</v>
      </c>
      <c r="B348">
        <v>2.48</v>
      </c>
    </row>
    <row r="349" spans="1:2" ht="15" hidden="1" customHeight="1" outlineLevel="1">
      <c r="A349">
        <v>3.5</v>
      </c>
      <c r="B349">
        <v>2.5099999999999998</v>
      </c>
    </row>
    <row r="350" spans="1:2" ht="15" hidden="1" customHeight="1" outlineLevel="1">
      <c r="A350">
        <v>4</v>
      </c>
      <c r="B350">
        <v>2.5299999999999998</v>
      </c>
    </row>
    <row r="351" spans="1:2" ht="15" hidden="1" customHeight="1" outlineLevel="1">
      <c r="A351">
        <v>4.5</v>
      </c>
      <c r="B351">
        <v>2.56</v>
      </c>
    </row>
    <row r="352" spans="1:2" ht="15" hidden="1" customHeight="1" outlineLevel="1">
      <c r="A352" s="186">
        <v>5</v>
      </c>
      <c r="B352" s="186">
        <v>2.57</v>
      </c>
    </row>
    <row r="353" spans="1:2" ht="15" hidden="1" customHeight="1" outlineLevel="1">
      <c r="A353" s="309" t="s">
        <v>575</v>
      </c>
      <c r="B353" s="309">
        <v>3</v>
      </c>
    </row>
    <row r="354" spans="1:2" ht="15" hidden="1" customHeight="1" outlineLevel="1">
      <c r="A354">
        <v>0</v>
      </c>
      <c r="B354">
        <v>2</v>
      </c>
    </row>
    <row r="355" spans="1:2" ht="15" hidden="1" customHeight="1" outlineLevel="1">
      <c r="A355">
        <v>0.3</v>
      </c>
      <c r="B355">
        <v>2.0099999999999998</v>
      </c>
    </row>
    <row r="356" spans="1:2" ht="15" hidden="1" customHeight="1" outlineLevel="1">
      <c r="A356">
        <v>0.4</v>
      </c>
      <c r="B356">
        <v>2.02</v>
      </c>
    </row>
    <row r="357" spans="1:2" ht="15" hidden="1" customHeight="1" outlineLevel="1">
      <c r="A357">
        <v>0.5</v>
      </c>
      <c r="B357">
        <v>2.0299999999999998</v>
      </c>
    </row>
    <row r="358" spans="1:2" ht="15" hidden="1" customHeight="1" outlineLevel="1">
      <c r="A358">
        <v>0.6</v>
      </c>
      <c r="B358">
        <v>2.0499999999999998</v>
      </c>
    </row>
    <row r="359" spans="1:2" ht="15" hidden="1" customHeight="1" outlineLevel="1">
      <c r="A359">
        <v>0.7</v>
      </c>
      <c r="B359">
        <v>2.06</v>
      </c>
    </row>
    <row r="360" spans="1:2" ht="15" hidden="1" customHeight="1" outlineLevel="1">
      <c r="A360">
        <v>0.8</v>
      </c>
      <c r="B360">
        <v>2.1</v>
      </c>
    </row>
    <row r="361" spans="1:2" ht="15" hidden="1" customHeight="1" outlineLevel="1">
      <c r="A361">
        <v>0.9</v>
      </c>
      <c r="B361">
        <v>2.16</v>
      </c>
    </row>
    <row r="362" spans="1:2" ht="15" hidden="1" customHeight="1" outlineLevel="1">
      <c r="A362">
        <v>1</v>
      </c>
      <c r="B362">
        <v>2.2999999999999998</v>
      </c>
    </row>
    <row r="363" spans="1:2" ht="15" hidden="1" customHeight="1" outlineLevel="1">
      <c r="A363">
        <v>1.05</v>
      </c>
      <c r="B363">
        <v>2.36</v>
      </c>
    </row>
    <row r="364" spans="1:2" ht="15" hidden="1" customHeight="1" outlineLevel="1">
      <c r="A364">
        <v>1.1000000000000001</v>
      </c>
      <c r="B364">
        <v>2.4</v>
      </c>
    </row>
    <row r="365" spans="1:2" ht="15" hidden="1" customHeight="1" outlineLevel="1">
      <c r="A365">
        <v>1.1499999999999999</v>
      </c>
      <c r="B365">
        <v>2.37</v>
      </c>
    </row>
    <row r="366" spans="1:2" ht="15" hidden="1" customHeight="1" outlineLevel="1">
      <c r="A366">
        <v>1.2</v>
      </c>
      <c r="B366">
        <v>2.3199999999999998</v>
      </c>
    </row>
    <row r="367" spans="1:2" ht="15" hidden="1" customHeight="1" outlineLevel="1">
      <c r="A367">
        <v>1.3</v>
      </c>
      <c r="B367">
        <v>2.27</v>
      </c>
    </row>
    <row r="368" spans="1:2" ht="15" hidden="1" customHeight="1" outlineLevel="1">
      <c r="A368">
        <v>1.4</v>
      </c>
      <c r="B368">
        <v>2.25</v>
      </c>
    </row>
    <row r="369" spans="1:2" ht="15" hidden="1" customHeight="1" outlineLevel="1">
      <c r="A369">
        <v>1.5</v>
      </c>
      <c r="B369">
        <v>2.2400000000000002</v>
      </c>
    </row>
    <row r="370" spans="1:2" ht="15" hidden="1" customHeight="1" outlineLevel="1">
      <c r="A370">
        <v>1.75</v>
      </c>
      <c r="B370">
        <v>2.2599999999999998</v>
      </c>
    </row>
    <row r="371" spans="1:2" ht="15" hidden="1" customHeight="1" outlineLevel="1">
      <c r="A371">
        <v>2</v>
      </c>
      <c r="B371">
        <v>2.31</v>
      </c>
    </row>
    <row r="372" spans="1:2" ht="15" hidden="1" customHeight="1" outlineLevel="1">
      <c r="A372">
        <v>2.25</v>
      </c>
      <c r="B372">
        <v>2.36</v>
      </c>
    </row>
    <row r="373" spans="1:2" ht="15" hidden="1" customHeight="1" outlineLevel="1">
      <c r="A373">
        <v>2.5</v>
      </c>
      <c r="B373">
        <v>2.4</v>
      </c>
    </row>
    <row r="374" spans="1:2" ht="15" hidden="1" customHeight="1" outlineLevel="1">
      <c r="A374">
        <v>3</v>
      </c>
      <c r="B374">
        <v>2.4900000000000002</v>
      </c>
    </row>
    <row r="375" spans="1:2" ht="15" hidden="1" customHeight="1" outlineLevel="1">
      <c r="A375">
        <v>3.5</v>
      </c>
      <c r="B375">
        <v>2.57</v>
      </c>
    </row>
    <row r="376" spans="1:2" ht="15" hidden="1" customHeight="1" outlineLevel="1">
      <c r="A376">
        <v>4</v>
      </c>
      <c r="B376">
        <v>2.63</v>
      </c>
    </row>
    <row r="377" spans="1:2" ht="15" hidden="1" customHeight="1" outlineLevel="1">
      <c r="A377">
        <v>4.5</v>
      </c>
      <c r="B377">
        <v>2.67</v>
      </c>
    </row>
    <row r="378" spans="1:2" ht="15" hidden="1" customHeight="1" outlineLevel="1">
      <c r="A378" s="186">
        <v>5</v>
      </c>
      <c r="B378" s="186">
        <v>2.7</v>
      </c>
    </row>
    <row r="379" spans="1:2" ht="15" hidden="1" customHeight="1" outlineLevel="1">
      <c r="A379" s="309" t="s">
        <v>575</v>
      </c>
      <c r="B379">
        <v>5</v>
      </c>
    </row>
    <row r="380" spans="1:2" ht="15" hidden="1" customHeight="1" outlineLevel="1">
      <c r="A380">
        <v>0</v>
      </c>
      <c r="B380">
        <v>2</v>
      </c>
    </row>
    <row r="381" spans="1:2" ht="15" hidden="1" customHeight="1" outlineLevel="1">
      <c r="A381">
        <v>0.3</v>
      </c>
      <c r="B381">
        <v>2.0099999999999998</v>
      </c>
    </row>
    <row r="382" spans="1:2" ht="15" hidden="1" customHeight="1" outlineLevel="1">
      <c r="A382">
        <v>0.4</v>
      </c>
      <c r="B382">
        <v>2.02</v>
      </c>
    </row>
    <row r="383" spans="1:2" ht="15" hidden="1" customHeight="1" outlineLevel="1">
      <c r="A383">
        <v>0.5</v>
      </c>
      <c r="B383">
        <v>2.0299999999999998</v>
      </c>
    </row>
    <row r="384" spans="1:2" ht="15" hidden="1" customHeight="1" outlineLevel="1">
      <c r="A384">
        <v>0.6</v>
      </c>
      <c r="B384">
        <v>2.0499999999999998</v>
      </c>
    </row>
    <row r="385" spans="1:2" ht="15" hidden="1" customHeight="1" outlineLevel="1">
      <c r="A385">
        <v>0.7</v>
      </c>
      <c r="B385">
        <v>2.06</v>
      </c>
    </row>
    <row r="386" spans="1:2" ht="15" hidden="1" customHeight="1" outlineLevel="1">
      <c r="A386">
        <v>0.8</v>
      </c>
      <c r="B386">
        <v>2.1</v>
      </c>
    </row>
    <row r="387" spans="1:2" ht="15" hidden="1" customHeight="1" outlineLevel="1">
      <c r="A387">
        <v>0.9</v>
      </c>
      <c r="B387">
        <v>2.16</v>
      </c>
    </row>
    <row r="388" spans="1:2" ht="15" hidden="1" customHeight="1" outlineLevel="1">
      <c r="A388">
        <v>1</v>
      </c>
      <c r="B388">
        <v>2.2999999999999998</v>
      </c>
    </row>
    <row r="389" spans="1:2" ht="15" hidden="1" customHeight="1" outlineLevel="1">
      <c r="A389">
        <v>1.05</v>
      </c>
      <c r="B389">
        <v>2.36</v>
      </c>
    </row>
    <row r="390" spans="1:2" ht="15" hidden="1" customHeight="1" outlineLevel="1">
      <c r="A390">
        <v>1.1000000000000001</v>
      </c>
      <c r="B390">
        <v>2.4</v>
      </c>
    </row>
    <row r="391" spans="1:2" ht="15" hidden="1" customHeight="1" outlineLevel="1">
      <c r="A391">
        <v>1.1499999999999999</v>
      </c>
      <c r="B391">
        <v>2.37</v>
      </c>
    </row>
    <row r="392" spans="1:2" ht="15" hidden="1" customHeight="1" outlineLevel="1">
      <c r="A392">
        <v>1.2</v>
      </c>
      <c r="B392">
        <v>2.2999999999999998</v>
      </c>
    </row>
    <row r="393" spans="1:2" ht="15" hidden="1" customHeight="1" outlineLevel="1">
      <c r="A393">
        <v>1.3</v>
      </c>
      <c r="B393">
        <v>2.21</v>
      </c>
    </row>
    <row r="394" spans="1:2" ht="15" hidden="1" customHeight="1" outlineLevel="1">
      <c r="A394">
        <v>1.4</v>
      </c>
      <c r="B394">
        <v>2.16</v>
      </c>
    </row>
    <row r="395" spans="1:2" ht="15" hidden="1" customHeight="1" outlineLevel="1">
      <c r="A395">
        <v>1.5</v>
      </c>
      <c r="B395">
        <v>2.12</v>
      </c>
    </row>
    <row r="396" spans="1:2" ht="15" hidden="1" customHeight="1" outlineLevel="1">
      <c r="A396">
        <v>1.75</v>
      </c>
      <c r="B396">
        <v>2.08</v>
      </c>
    </row>
    <row r="397" spans="1:2" ht="15" hidden="1" customHeight="1" outlineLevel="1">
      <c r="A397">
        <v>2</v>
      </c>
      <c r="B397">
        <v>2.08</v>
      </c>
    </row>
    <row r="398" spans="1:2" ht="15" hidden="1" customHeight="1" outlineLevel="1">
      <c r="A398">
        <v>2.25</v>
      </c>
      <c r="B398">
        <v>2.12</v>
      </c>
    </row>
    <row r="399" spans="1:2" ht="15" hidden="1" customHeight="1" outlineLevel="1">
      <c r="A399">
        <v>2.5</v>
      </c>
      <c r="B399">
        <v>2.15</v>
      </c>
    </row>
    <row r="400" spans="1:2" ht="15" hidden="1" customHeight="1" outlineLevel="1">
      <c r="A400">
        <v>3</v>
      </c>
      <c r="B400">
        <v>2.2200000000000002</v>
      </c>
    </row>
    <row r="401" spans="1:2" ht="15" hidden="1" customHeight="1" outlineLevel="1">
      <c r="A401">
        <v>3.5</v>
      </c>
      <c r="B401">
        <v>2.2799999999999998</v>
      </c>
    </row>
    <row r="402" spans="1:2" ht="15" hidden="1" customHeight="1" outlineLevel="1">
      <c r="A402">
        <v>4</v>
      </c>
      <c r="B402">
        <v>2.34</v>
      </c>
    </row>
    <row r="403" spans="1:2" ht="15" hidden="1" customHeight="1" outlineLevel="1">
      <c r="A403">
        <v>4.5</v>
      </c>
      <c r="B403">
        <v>2.39</v>
      </c>
    </row>
    <row r="404" spans="1:2" ht="15" hidden="1" customHeight="1" outlineLevel="1">
      <c r="A404" s="186">
        <v>5</v>
      </c>
      <c r="B404" s="186">
        <v>2.4300000000000002</v>
      </c>
    </row>
    <row r="405" spans="1:2" ht="15" hidden="1" customHeight="1" outlineLevel="1">
      <c r="A405" t="s">
        <v>575</v>
      </c>
      <c r="B405">
        <v>7</v>
      </c>
    </row>
    <row r="406" spans="1:2" ht="15" hidden="1" customHeight="1" outlineLevel="1">
      <c r="A406">
        <v>0</v>
      </c>
      <c r="B406">
        <v>2</v>
      </c>
    </row>
    <row r="407" spans="1:2" ht="15" hidden="1" customHeight="1" outlineLevel="1">
      <c r="A407">
        <v>0.3</v>
      </c>
      <c r="B407">
        <v>2.0099999999999998</v>
      </c>
    </row>
    <row r="408" spans="1:2" ht="15" hidden="1" customHeight="1" outlineLevel="1">
      <c r="A408">
        <v>0.4</v>
      </c>
      <c r="B408">
        <v>2.02</v>
      </c>
    </row>
    <row r="409" spans="1:2" ht="15" hidden="1" customHeight="1" outlineLevel="1">
      <c r="A409">
        <v>0.5</v>
      </c>
      <c r="B409">
        <v>2.0299999999999998</v>
      </c>
    </row>
    <row r="410" spans="1:2" ht="15" hidden="1" customHeight="1" outlineLevel="1">
      <c r="A410">
        <v>0.6</v>
      </c>
      <c r="B410">
        <v>2.0499999999999998</v>
      </c>
    </row>
    <row r="411" spans="1:2" ht="15" hidden="1" customHeight="1" outlineLevel="1">
      <c r="A411">
        <v>0.7</v>
      </c>
      <c r="B411">
        <v>2.06</v>
      </c>
    </row>
    <row r="412" spans="1:2" ht="15" hidden="1" customHeight="1" outlineLevel="1">
      <c r="A412">
        <v>0.8</v>
      </c>
      <c r="B412">
        <v>2.1</v>
      </c>
    </row>
    <row r="413" spans="1:2" ht="15" hidden="1" customHeight="1" outlineLevel="1">
      <c r="A413">
        <v>0.9</v>
      </c>
      <c r="B413">
        <v>2.16</v>
      </c>
    </row>
    <row r="414" spans="1:2" ht="15" hidden="1" customHeight="1" outlineLevel="1">
      <c r="A414">
        <v>1</v>
      </c>
      <c r="B414">
        <v>2.2999999999999998</v>
      </c>
    </row>
    <row r="415" spans="1:2" ht="15" hidden="1" customHeight="1" outlineLevel="1">
      <c r="A415">
        <v>1.05</v>
      </c>
      <c r="B415">
        <v>2.36</v>
      </c>
    </row>
    <row r="416" spans="1:2" ht="15" hidden="1" customHeight="1" outlineLevel="1">
      <c r="A416">
        <v>1.1000000000000001</v>
      </c>
      <c r="B416">
        <v>2.4</v>
      </c>
    </row>
    <row r="417" spans="1:2" ht="15" hidden="1" customHeight="1" outlineLevel="1">
      <c r="A417">
        <v>1.1499999999999999</v>
      </c>
      <c r="B417">
        <v>2.38</v>
      </c>
    </row>
    <row r="418" spans="1:2" ht="15" hidden="1" customHeight="1" outlineLevel="1">
      <c r="A418">
        <v>1.2</v>
      </c>
      <c r="B418">
        <v>2.2999999999999998</v>
      </c>
    </row>
    <row r="419" spans="1:2" ht="15" hidden="1" customHeight="1" outlineLevel="1">
      <c r="A419">
        <v>1.3</v>
      </c>
      <c r="B419">
        <v>2.21</v>
      </c>
    </row>
    <row r="420" spans="1:2" ht="15" hidden="1" customHeight="1" outlineLevel="1">
      <c r="A420">
        <v>1.4</v>
      </c>
      <c r="B420">
        <v>2.13</v>
      </c>
    </row>
    <row r="421" spans="1:2" ht="15" hidden="1" customHeight="1" outlineLevel="1">
      <c r="A421">
        <v>1.5</v>
      </c>
      <c r="B421">
        <v>2.08</v>
      </c>
    </row>
    <row r="422" spans="1:2" ht="15" hidden="1" customHeight="1" outlineLevel="1">
      <c r="A422">
        <v>1.75</v>
      </c>
      <c r="B422">
        <v>2.0299999999999998</v>
      </c>
    </row>
    <row r="423" spans="1:2" ht="15" hidden="1" customHeight="1" outlineLevel="1">
      <c r="A423">
        <v>2</v>
      </c>
      <c r="B423">
        <v>2.0099999999999998</v>
      </c>
    </row>
    <row r="424" spans="1:2" ht="15" hidden="1" customHeight="1" outlineLevel="1">
      <c r="A424">
        <v>2.25</v>
      </c>
      <c r="B424">
        <v>2.0299999999999998</v>
      </c>
    </row>
    <row r="425" spans="1:2" ht="15" hidden="1" customHeight="1" outlineLevel="1">
      <c r="A425">
        <v>2.5</v>
      </c>
      <c r="B425">
        <v>2.06</v>
      </c>
    </row>
    <row r="426" spans="1:2" ht="15" hidden="1" customHeight="1" outlineLevel="1">
      <c r="A426">
        <v>3</v>
      </c>
      <c r="B426">
        <v>2.1</v>
      </c>
    </row>
    <row r="427" spans="1:2" ht="15" hidden="1" customHeight="1" outlineLevel="1">
      <c r="A427">
        <v>3.5</v>
      </c>
      <c r="B427">
        <v>2.14</v>
      </c>
    </row>
    <row r="428" spans="1:2" ht="15" hidden="1" customHeight="1" outlineLevel="1">
      <c r="A428">
        <v>4</v>
      </c>
      <c r="B428">
        <v>2.1800000000000002</v>
      </c>
    </row>
    <row r="429" spans="1:2" ht="15" hidden="1" customHeight="1" outlineLevel="1">
      <c r="A429">
        <v>4.5</v>
      </c>
      <c r="B429">
        <v>2.21</v>
      </c>
    </row>
    <row r="430" spans="1:2" ht="15" hidden="1" customHeight="1" outlineLevel="1">
      <c r="A430" s="186">
        <v>5</v>
      </c>
      <c r="B430" s="186">
        <v>2.2400000000000002</v>
      </c>
    </row>
    <row r="431" spans="1:2" ht="15" customHeight="1" collapsed="1">
      <c r="A431" s="306" t="s">
        <v>594</v>
      </c>
    </row>
    <row r="432" spans="1:2" ht="15" hidden="1" customHeight="1" outlineLevel="1">
      <c r="A432" t="s">
        <v>84</v>
      </c>
      <c r="B432" t="s">
        <v>389</v>
      </c>
    </row>
    <row r="433" spans="1:2" ht="15" hidden="1" customHeight="1" outlineLevel="1">
      <c r="A433">
        <v>0</v>
      </c>
      <c r="B433">
        <v>0</v>
      </c>
    </row>
    <row r="434" spans="1:2" ht="15" hidden="1" customHeight="1" outlineLevel="1">
      <c r="A434">
        <v>5</v>
      </c>
      <c r="B434">
        <v>5.0000000000000001E-3</v>
      </c>
    </row>
    <row r="435" spans="1:2" ht="15" hidden="1" customHeight="1" outlineLevel="1">
      <c r="A435">
        <v>10</v>
      </c>
      <c r="B435">
        <v>1.4999999999999999E-2</v>
      </c>
    </row>
    <row r="436" spans="1:2" ht="15" hidden="1" customHeight="1" outlineLevel="1">
      <c r="A436">
        <v>15</v>
      </c>
      <c r="B436">
        <v>3.5000000000000003E-2</v>
      </c>
    </row>
    <row r="437" spans="1:2" ht="15" hidden="1" customHeight="1" outlineLevel="1">
      <c r="A437">
        <v>20</v>
      </c>
      <c r="B437">
        <v>6.5000000000000002E-2</v>
      </c>
    </row>
    <row r="438" spans="1:2" ht="15" hidden="1" customHeight="1" outlineLevel="1">
      <c r="A438">
        <v>25</v>
      </c>
      <c r="B438">
        <v>0.11</v>
      </c>
    </row>
    <row r="439" spans="1:2" ht="15" hidden="1" customHeight="1" outlineLevel="1">
      <c r="A439">
        <v>30</v>
      </c>
      <c r="B439">
        <v>0.17499999999999999</v>
      </c>
    </row>
    <row r="440" spans="1:2" ht="15" customHeight="1" collapsed="1">
      <c r="A440" s="306" t="s">
        <v>595</v>
      </c>
      <c r="B440" s="306" t="s">
        <v>394</v>
      </c>
    </row>
    <row r="441" spans="1:2" ht="15" hidden="1" customHeight="1" outlineLevel="1">
      <c r="A441">
        <v>0</v>
      </c>
      <c r="B441">
        <v>6.3E-2</v>
      </c>
    </row>
    <row r="442" spans="1:2" ht="15" hidden="1" customHeight="1" outlineLevel="1">
      <c r="A442">
        <v>0.5</v>
      </c>
      <c r="B442">
        <v>6.8000000000000005E-2</v>
      </c>
    </row>
    <row r="443" spans="1:2" ht="15" hidden="1" customHeight="1" outlineLevel="1">
      <c r="A443">
        <v>0.7</v>
      </c>
      <c r="B443">
        <v>6.9000000000000006E-2</v>
      </c>
    </row>
    <row r="444" spans="1:2" ht="15" hidden="1" customHeight="1" outlineLevel="1">
      <c r="A444">
        <v>0.8</v>
      </c>
      <c r="B444">
        <v>6.9000000000000006E-2</v>
      </c>
    </row>
    <row r="445" spans="1:2" ht="15" hidden="1" customHeight="1" outlineLevel="1">
      <c r="A445">
        <v>0.9</v>
      </c>
      <c r="B445">
        <v>6.7000000000000004E-2</v>
      </c>
    </row>
    <row r="446" spans="1:2" ht="15" hidden="1" customHeight="1" outlineLevel="1">
      <c r="A446">
        <v>1</v>
      </c>
      <c r="B446">
        <v>6.6000000000000003E-2</v>
      </c>
    </row>
    <row r="447" spans="1:2" ht="15" hidden="1" customHeight="1" outlineLevel="1">
      <c r="A447">
        <v>1.2</v>
      </c>
      <c r="B447">
        <v>6.3E-2</v>
      </c>
    </row>
    <row r="448" spans="1:2" ht="15" hidden="1" customHeight="1" outlineLevel="1">
      <c r="A448">
        <v>1.5</v>
      </c>
      <c r="B448">
        <v>5.7000000000000002E-2</v>
      </c>
    </row>
    <row r="449" spans="1:2" ht="15" hidden="1" customHeight="1" outlineLevel="1">
      <c r="A449">
        <v>2</v>
      </c>
      <c r="B449">
        <v>0.06</v>
      </c>
    </row>
    <row r="450" spans="1:2" ht="15" hidden="1" customHeight="1" outlineLevel="1">
      <c r="A450">
        <v>2.5</v>
      </c>
      <c r="B450">
        <v>6.6000000000000003E-2</v>
      </c>
    </row>
    <row r="451" spans="1:2" ht="15" hidden="1" customHeight="1" outlineLevel="1">
      <c r="A451">
        <v>3</v>
      </c>
      <c r="B451">
        <v>7.6999999999999999E-2</v>
      </c>
    </row>
    <row r="452" spans="1:2" ht="15" hidden="1" customHeight="1" outlineLevel="1">
      <c r="A452">
        <v>3.5</v>
      </c>
      <c r="B452">
        <v>9.1999999999999998E-2</v>
      </c>
    </row>
    <row r="453" spans="1:2" ht="15" hidden="1" customHeight="1" outlineLevel="1">
      <c r="A453">
        <v>4</v>
      </c>
      <c r="B453">
        <v>0.115</v>
      </c>
    </row>
    <row r="454" spans="1:2" ht="15" hidden="1" customHeight="1" outlineLevel="1"/>
    <row r="455" spans="1:2" ht="15" customHeight="1" collapsed="1">
      <c r="A455" s="265" t="s">
        <v>596</v>
      </c>
    </row>
    <row r="456" spans="1:2" ht="15" hidden="1" customHeight="1" outlineLevel="1">
      <c r="A456" t="s">
        <v>384</v>
      </c>
      <c r="B456">
        <v>1.5</v>
      </c>
    </row>
    <row r="457" spans="1:2" ht="15" hidden="1" customHeight="1" outlineLevel="1">
      <c r="A457">
        <v>0</v>
      </c>
      <c r="B457">
        <v>0.46600000000000003</v>
      </c>
    </row>
    <row r="458" spans="1:2" ht="15" hidden="1" customHeight="1" outlineLevel="1">
      <c r="A458">
        <v>1</v>
      </c>
      <c r="B458">
        <v>0.46600000000000003</v>
      </c>
    </row>
    <row r="459" spans="1:2" ht="15" hidden="1" customHeight="1" outlineLevel="1">
      <c r="A459">
        <v>2</v>
      </c>
      <c r="B459">
        <v>0.75</v>
      </c>
    </row>
    <row r="460" spans="1:2" ht="15" hidden="1" customHeight="1" outlineLevel="1">
      <c r="A460">
        <v>3</v>
      </c>
      <c r="B460">
        <v>0.93</v>
      </c>
    </row>
    <row r="461" spans="1:2" ht="15" hidden="1" customHeight="1" outlineLevel="1">
      <c r="A461">
        <v>4</v>
      </c>
      <c r="B461">
        <v>1.2</v>
      </c>
    </row>
    <row r="462" spans="1:2" ht="15" hidden="1" customHeight="1" outlineLevel="1">
      <c r="A462" s="186">
        <v>5</v>
      </c>
      <c r="B462" s="186">
        <v>1.35</v>
      </c>
    </row>
    <row r="463" spans="1:2" ht="15" hidden="1" customHeight="1" outlineLevel="1">
      <c r="B463">
        <v>2</v>
      </c>
    </row>
    <row r="464" spans="1:2" ht="15" hidden="1" customHeight="1" outlineLevel="1">
      <c r="A464">
        <v>0</v>
      </c>
      <c r="B464">
        <v>0.46600000000000003</v>
      </c>
    </row>
    <row r="465" spans="1:2" ht="15" hidden="1" customHeight="1" outlineLevel="1">
      <c r="A465">
        <v>1</v>
      </c>
      <c r="B465">
        <v>0.46600000000000003</v>
      </c>
    </row>
    <row r="466" spans="1:2" ht="15" hidden="1" customHeight="1" outlineLevel="1">
      <c r="A466">
        <v>2</v>
      </c>
      <c r="B466">
        <v>1.02</v>
      </c>
    </row>
    <row r="467" spans="1:2" ht="15" hidden="1" customHeight="1" outlineLevel="1">
      <c r="A467">
        <v>3</v>
      </c>
      <c r="B467">
        <v>1.25</v>
      </c>
    </row>
    <row r="468" spans="1:2" ht="15" hidden="1" customHeight="1" outlineLevel="1">
      <c r="A468">
        <v>4</v>
      </c>
      <c r="B468">
        <v>1.52</v>
      </c>
    </row>
    <row r="469" spans="1:2" ht="15" hidden="1" customHeight="1" outlineLevel="1">
      <c r="A469" s="186">
        <v>5</v>
      </c>
      <c r="B469" s="186">
        <v>1.62</v>
      </c>
    </row>
    <row r="470" spans="1:2" ht="15" hidden="1" customHeight="1" outlineLevel="1">
      <c r="B470">
        <v>3</v>
      </c>
    </row>
    <row r="471" spans="1:2" ht="15" hidden="1" customHeight="1" outlineLevel="1">
      <c r="A471">
        <v>0</v>
      </c>
      <c r="B471">
        <v>0.46600000000000003</v>
      </c>
    </row>
    <row r="472" spans="1:2" ht="15" hidden="1" customHeight="1" outlineLevel="1">
      <c r="A472">
        <v>1</v>
      </c>
      <c r="B472">
        <v>0.46600000000000003</v>
      </c>
    </row>
    <row r="473" spans="1:2" ht="15" hidden="1" customHeight="1" outlineLevel="1">
      <c r="A473">
        <v>2</v>
      </c>
      <c r="B473">
        <v>1.59</v>
      </c>
    </row>
    <row r="474" spans="1:2" ht="15" hidden="1" customHeight="1" outlineLevel="1">
      <c r="A474">
        <v>3</v>
      </c>
      <c r="B474">
        <v>1.84</v>
      </c>
    </row>
    <row r="475" spans="1:2" ht="15" hidden="1" customHeight="1" outlineLevel="1">
      <c r="A475">
        <v>4</v>
      </c>
      <c r="B475">
        <v>2.08</v>
      </c>
    </row>
    <row r="476" spans="1:2" ht="15" hidden="1" customHeight="1" outlineLevel="1">
      <c r="A476" s="186">
        <v>5</v>
      </c>
      <c r="B476" s="186">
        <v>2.12</v>
      </c>
    </row>
    <row r="477" spans="1:2" ht="15" hidden="1" customHeight="1" outlineLevel="1">
      <c r="B477">
        <v>5</v>
      </c>
    </row>
    <row r="478" spans="1:2" ht="15" hidden="1" customHeight="1" outlineLevel="1">
      <c r="A478">
        <v>0</v>
      </c>
      <c r="B478">
        <v>0.46600000000000003</v>
      </c>
    </row>
    <row r="479" spans="1:2" ht="15" hidden="1" customHeight="1" outlineLevel="1">
      <c r="A479">
        <v>1</v>
      </c>
      <c r="B479">
        <v>0.46600000000000003</v>
      </c>
    </row>
    <row r="480" spans="1:2" ht="15" hidden="1" customHeight="1" outlineLevel="1">
      <c r="A480">
        <v>2</v>
      </c>
      <c r="B480">
        <v>2.1</v>
      </c>
    </row>
    <row r="481" spans="1:2" ht="15" hidden="1" customHeight="1" outlineLevel="1">
      <c r="A481">
        <v>3</v>
      </c>
      <c r="B481">
        <v>2.4</v>
      </c>
    </row>
    <row r="482" spans="1:2" ht="15" hidden="1" customHeight="1" outlineLevel="1">
      <c r="A482">
        <v>4</v>
      </c>
      <c r="B482">
        <v>2.6</v>
      </c>
    </row>
    <row r="483" spans="1:2" ht="15" hidden="1" customHeight="1" outlineLevel="1">
      <c r="A483" s="186">
        <v>5</v>
      </c>
      <c r="B483" s="186">
        <v>2.6</v>
      </c>
    </row>
    <row r="484" spans="1:2" ht="15" hidden="1" customHeight="1" outlineLevel="1">
      <c r="B484">
        <v>6</v>
      </c>
    </row>
    <row r="485" spans="1:2" ht="15" hidden="1" customHeight="1" outlineLevel="1">
      <c r="A485">
        <v>0</v>
      </c>
      <c r="B485">
        <v>0.46600000000000003</v>
      </c>
    </row>
    <row r="486" spans="1:2" ht="15" hidden="1" customHeight="1" outlineLevel="1">
      <c r="A486">
        <v>1</v>
      </c>
      <c r="B486">
        <v>0.46600000000000003</v>
      </c>
    </row>
    <row r="487" spans="1:2" ht="15" hidden="1" customHeight="1" outlineLevel="1">
      <c r="A487">
        <v>2</v>
      </c>
      <c r="B487">
        <v>3.02</v>
      </c>
    </row>
    <row r="488" spans="1:2" ht="15" hidden="1" customHeight="1" outlineLevel="1">
      <c r="A488">
        <v>3</v>
      </c>
      <c r="B488">
        <v>3.23</v>
      </c>
    </row>
    <row r="489" spans="1:2" ht="15" hidden="1" customHeight="1" outlineLevel="1">
      <c r="A489">
        <v>4</v>
      </c>
      <c r="B489">
        <v>3.43</v>
      </c>
    </row>
    <row r="490" spans="1:2" ht="15" hidden="1" customHeight="1" outlineLevel="1">
      <c r="A490" s="186">
        <v>5</v>
      </c>
      <c r="B490" s="186">
        <v>3.43</v>
      </c>
    </row>
    <row r="491" spans="1:2" ht="15" customHeight="1" collapsed="1">
      <c r="B491"/>
    </row>
    <row r="492" spans="1:2" ht="15" customHeight="1">
      <c r="A492" s="265" t="s">
        <v>600</v>
      </c>
    </row>
    <row r="493" spans="1:2" ht="15" hidden="1" customHeight="1" outlineLevel="1">
      <c r="A493">
        <v>0</v>
      </c>
      <c r="B493">
        <v>0</v>
      </c>
    </row>
    <row r="494" spans="1:2" ht="15" hidden="1" customHeight="1" outlineLevel="1">
      <c r="A494">
        <v>5</v>
      </c>
      <c r="B494">
        <v>0.26219036222454678</v>
      </c>
    </row>
    <row r="495" spans="1:2" ht="15" hidden="1" customHeight="1" outlineLevel="1">
      <c r="A495">
        <v>10</v>
      </c>
      <c r="B495">
        <v>0.5182866995796318</v>
      </c>
    </row>
    <row r="496" spans="1:2" ht="15" hidden="1" customHeight="1" outlineLevel="1">
      <c r="A496">
        <v>15</v>
      </c>
      <c r="B496">
        <v>0.76238015105772672</v>
      </c>
    </row>
    <row r="497" spans="1:2" ht="15" hidden="1" customHeight="1" outlineLevel="1">
      <c r="A497">
        <v>20</v>
      </c>
      <c r="B497">
        <v>0.98892655726492207</v>
      </c>
    </row>
    <row r="498" spans="1:2" ht="15" hidden="1" customHeight="1" outlineLevel="1">
      <c r="A498">
        <v>25</v>
      </c>
      <c r="B498">
        <v>1.1929149168986308</v>
      </c>
    </row>
    <row r="499" spans="1:2" ht="15" hidden="1" customHeight="1" outlineLevel="1">
      <c r="A499">
        <v>30</v>
      </c>
      <c r="B499">
        <v>1.3700196434864802</v>
      </c>
    </row>
    <row r="500" spans="1:2" ht="15" hidden="1" customHeight="1" outlineLevel="1">
      <c r="A500" t="s">
        <v>601</v>
      </c>
    </row>
    <row r="501" spans="1:2" ht="15" hidden="1" customHeight="1" outlineLevel="1">
      <c r="A501">
        <v>0</v>
      </c>
      <c r="B501" s="190">
        <f t="shared" ref="B501:B506" si="105">(B494-B493)/(RADIANS(A494-A493))</f>
        <v>3.004480236894564</v>
      </c>
    </row>
    <row r="502" spans="1:2" ht="15" hidden="1" customHeight="1" outlineLevel="1">
      <c r="A502">
        <v>5</v>
      </c>
      <c r="B502" s="190">
        <f t="shared" si="105"/>
        <v>2.9346478558409799</v>
      </c>
    </row>
    <row r="503" spans="1:2" ht="15" hidden="1" customHeight="1" outlineLevel="1">
      <c r="A503">
        <v>10</v>
      </c>
      <c r="B503" s="190">
        <f t="shared" si="105"/>
        <v>2.797104915295237</v>
      </c>
    </row>
    <row r="504" spans="1:2" ht="15" hidden="1" customHeight="1" outlineLevel="1">
      <c r="A504">
        <v>15</v>
      </c>
      <c r="B504" s="190">
        <f t="shared" si="105"/>
        <v>2.5960305879057297</v>
      </c>
    </row>
    <row r="505" spans="1:2" ht="15" hidden="1" customHeight="1" outlineLevel="1">
      <c r="A505">
        <v>20</v>
      </c>
      <c r="B505" s="190">
        <f t="shared" si="105"/>
        <v>2.337534415361664</v>
      </c>
    </row>
    <row r="506" spans="1:2" ht="15" hidden="1" customHeight="1" outlineLevel="1">
      <c r="A506">
        <v>25</v>
      </c>
      <c r="B506" s="190">
        <f t="shared" si="105"/>
        <v>2.0294706730604291</v>
      </c>
    </row>
    <row r="507" spans="1:2" ht="15" hidden="1" customHeight="1" outlineLevel="1">
      <c r="A507" s="166">
        <v>30</v>
      </c>
      <c r="B507" s="310">
        <f>(B499-B493)/(RADIANS(A499-A493))</f>
        <v>2.6165447807264344</v>
      </c>
    </row>
    <row r="508" spans="1:2" ht="15" hidden="1" customHeight="1" outlineLevel="1">
      <c r="A508" s="314" t="s">
        <v>603</v>
      </c>
      <c r="B508" s="315">
        <f>(B496-B493)/(RADIANS(A496-A493))</f>
        <v>2.9120776693435939</v>
      </c>
    </row>
    <row r="509" spans="1:2" ht="15" hidden="1" customHeight="1" outlineLevel="1">
      <c r="A509" s="311" t="s">
        <v>606</v>
      </c>
      <c r="B509" s="310">
        <f>(B499-B496)/(RADIANS(A499-A496))</f>
        <v>2.3210118921092744</v>
      </c>
    </row>
    <row r="510" spans="1:2" ht="15" hidden="1" customHeight="1" outlineLevel="1">
      <c r="A510" t="s">
        <v>602</v>
      </c>
    </row>
    <row r="511" spans="1:2" ht="15" hidden="1" customHeight="1" outlineLevel="1">
      <c r="A511">
        <v>0</v>
      </c>
      <c r="B511" s="190">
        <f>B$289*RADIANS(A511)</f>
        <v>0</v>
      </c>
    </row>
    <row r="512" spans="1:2" ht="15" hidden="1" customHeight="1" outlineLevel="1">
      <c r="A512">
        <v>5</v>
      </c>
      <c r="B512" s="190">
        <f>B$289*RADIANS(A512)</f>
        <v>0.32313072226548201</v>
      </c>
    </row>
    <row r="513" spans="1:2" ht="15" hidden="1" customHeight="1" outlineLevel="1">
      <c r="A513">
        <v>10</v>
      </c>
      <c r="B513" s="190">
        <f t="shared" ref="B513:B517" si="106">B$289*RADIANS(A513)</f>
        <v>0.64626144453096401</v>
      </c>
    </row>
    <row r="514" spans="1:2" ht="15" hidden="1" customHeight="1" outlineLevel="1">
      <c r="A514">
        <v>15</v>
      </c>
      <c r="B514" s="190">
        <f t="shared" si="106"/>
        <v>0.96939216679644591</v>
      </c>
    </row>
    <row r="515" spans="1:2" ht="15" hidden="1" customHeight="1" outlineLevel="1">
      <c r="A515">
        <v>20</v>
      </c>
      <c r="B515" s="190">
        <f t="shared" si="106"/>
        <v>1.292522889061928</v>
      </c>
    </row>
    <row r="516" spans="1:2" ht="15" hidden="1" customHeight="1" outlineLevel="1">
      <c r="A516">
        <v>25</v>
      </c>
      <c r="B516" s="190">
        <f t="shared" si="106"/>
        <v>1.61565361132741</v>
      </c>
    </row>
    <row r="517" spans="1:2" ht="15" hidden="1" customHeight="1" outlineLevel="1">
      <c r="A517">
        <v>30</v>
      </c>
      <c r="B517" s="190">
        <f t="shared" si="106"/>
        <v>1.9387843335928918</v>
      </c>
    </row>
    <row r="518" spans="1:2" ht="15" hidden="1" customHeight="1" outlineLevel="1">
      <c r="A518" t="s">
        <v>604</v>
      </c>
    </row>
    <row r="519" spans="1:2" ht="15" hidden="1" customHeight="1" outlineLevel="1">
      <c r="A519">
        <v>0</v>
      </c>
      <c r="B519" s="190">
        <f>B$290*RADIANS(A519)</f>
        <v>0</v>
      </c>
    </row>
    <row r="520" spans="1:2" ht="15" hidden="1" customHeight="1" outlineLevel="1">
      <c r="A520">
        <v>5</v>
      </c>
      <c r="B520" s="190">
        <f t="shared" ref="B520:B522" si="107">B$290*RADIANS(A520)</f>
        <v>0.31029096170689185</v>
      </c>
    </row>
    <row r="521" spans="1:2" ht="15" hidden="1" customHeight="1" outlineLevel="1">
      <c r="A521">
        <v>10</v>
      </c>
      <c r="B521" s="190">
        <f t="shared" si="107"/>
        <v>0.62058192341378371</v>
      </c>
    </row>
    <row r="522" spans="1:2" ht="15" hidden="1" customHeight="1" outlineLevel="1">
      <c r="A522">
        <v>15</v>
      </c>
      <c r="B522" s="190">
        <f t="shared" si="107"/>
        <v>0.93087288512067545</v>
      </c>
    </row>
    <row r="523" spans="1:2" ht="15" hidden="1" customHeight="1" outlineLevel="1">
      <c r="A523" s="312" t="s">
        <v>605</v>
      </c>
      <c r="B523" s="313"/>
    </row>
    <row r="524" spans="1:2" ht="15" hidden="1" customHeight="1" outlineLevel="1">
      <c r="A524" s="312">
        <v>15</v>
      </c>
      <c r="B524" s="313">
        <f>B$291*RADIANS(A524)</f>
        <v>0.90447487335843524</v>
      </c>
    </row>
    <row r="525" spans="1:2" ht="15" hidden="1" customHeight="1" outlineLevel="1">
      <c r="A525" s="312">
        <v>20</v>
      </c>
      <c r="B525" s="313">
        <f t="shared" ref="B525:B527" si="108">B$291*RADIANS(A525)</f>
        <v>1.205966497811247</v>
      </c>
    </row>
    <row r="526" spans="1:2" ht="15" hidden="1" customHeight="1" outlineLevel="1">
      <c r="A526" s="312">
        <v>25</v>
      </c>
      <c r="B526" s="313">
        <f t="shared" si="108"/>
        <v>1.5074581222640588</v>
      </c>
    </row>
    <row r="527" spans="1:2" ht="15" hidden="1" customHeight="1" outlineLevel="1">
      <c r="A527" s="312">
        <v>30</v>
      </c>
      <c r="B527" s="313">
        <f t="shared" si="108"/>
        <v>1.8089497467168705</v>
      </c>
    </row>
    <row r="528" spans="1:2" ht="15" customHeight="1" collapsed="1"/>
    <row r="529" spans="1:26" ht="15" customHeight="1">
      <c r="A529" t="s">
        <v>607</v>
      </c>
    </row>
    <row r="530" spans="1:26" ht="15" hidden="1" customHeight="1" outlineLevel="1">
      <c r="A530">
        <v>0.06</v>
      </c>
      <c r="B530" s="190">
        <v>3.4833704790227635</v>
      </c>
    </row>
    <row r="531" spans="1:26" ht="15" hidden="1" customHeight="1" outlineLevel="1">
      <c r="A531">
        <v>0.1</v>
      </c>
      <c r="B531" s="190">
        <v>3.4833704790227635</v>
      </c>
    </row>
    <row r="532" spans="1:26" ht="15" hidden="1" customHeight="1" outlineLevel="1">
      <c r="A532">
        <v>0.3</v>
      </c>
      <c r="B532" s="190">
        <v>3.4929197756082773</v>
      </c>
    </row>
    <row r="533" spans="1:26" ht="15" hidden="1" customHeight="1" outlineLevel="1">
      <c r="A533">
        <v>0.5</v>
      </c>
      <c r="B533" s="190">
        <v>2.7388560526945325</v>
      </c>
    </row>
    <row r="534" spans="1:26" ht="15" hidden="1" customHeight="1" outlineLevel="1">
      <c r="A534">
        <v>0.7</v>
      </c>
      <c r="B534" s="190">
        <v>2.7792737784192396</v>
      </c>
    </row>
    <row r="535" spans="1:26" ht="15" hidden="1" customHeight="1" outlineLevel="1">
      <c r="A535">
        <v>1</v>
      </c>
      <c r="B535" s="190">
        <v>2.9731473885670701</v>
      </c>
    </row>
    <row r="536" spans="1:26" ht="15" hidden="1" customHeight="1" outlineLevel="1">
      <c r="A536">
        <v>1.5</v>
      </c>
      <c r="B536" s="190">
        <v>2.8099230853405017</v>
      </c>
    </row>
    <row r="537" spans="1:26" ht="15" hidden="1" customHeight="1" outlineLevel="1">
      <c r="A537">
        <v>2</v>
      </c>
      <c r="B537" s="190">
        <v>2.9120776693435939</v>
      </c>
    </row>
    <row r="538" spans="1:26" ht="15" customHeight="1" collapsed="1"/>
    <row r="540" spans="1:26" s="96" customFormat="1" ht="15" customHeight="1">
      <c r="A540" s="317" t="s">
        <v>618</v>
      </c>
      <c r="B540" s="316"/>
      <c r="C540" s="323"/>
      <c r="D540" s="316"/>
      <c r="E540" s="316"/>
      <c r="F540" s="316"/>
      <c r="G540" s="316"/>
      <c r="H540" s="316"/>
      <c r="I540" s="316"/>
      <c r="J540" s="316"/>
      <c r="K540" s="316"/>
      <c r="M540" s="335"/>
    </row>
    <row r="542" spans="1:26" ht="15" customHeight="1" thickBot="1">
      <c r="A542" t="s">
        <v>615</v>
      </c>
      <c r="B542" s="190">
        <v>15</v>
      </c>
      <c r="N542" t="s">
        <v>252</v>
      </c>
      <c r="R542" t="s">
        <v>625</v>
      </c>
    </row>
    <row r="543" spans="1:26" ht="15" customHeight="1">
      <c r="A543" t="s">
        <v>354</v>
      </c>
      <c r="B543" s="190">
        <f>B542/100</f>
        <v>0.15</v>
      </c>
      <c r="N543" s="31" t="s">
        <v>271</v>
      </c>
      <c r="O543" s="32" t="s">
        <v>272</v>
      </c>
      <c r="P543" s="33" t="s">
        <v>273</v>
      </c>
      <c r="R543" s="344" t="s">
        <v>624</v>
      </c>
      <c r="S543" s="344" t="s">
        <v>626</v>
      </c>
      <c r="T543" s="344" t="s">
        <v>627</v>
      </c>
      <c r="U543" s="344" t="s">
        <v>628</v>
      </c>
      <c r="W543" s="30" t="s">
        <v>632</v>
      </c>
      <c r="X543" s="344" t="s">
        <v>669</v>
      </c>
      <c r="Z543" t="s">
        <v>630</v>
      </c>
    </row>
    <row r="544" spans="1:26" ht="15" customHeight="1">
      <c r="A544" s="265" t="s">
        <v>614</v>
      </c>
      <c r="B544" s="190">
        <f>B271-B542</f>
        <v>135</v>
      </c>
      <c r="N544" s="34" t="s">
        <v>275</v>
      </c>
      <c r="O544" s="30" t="s">
        <v>276</v>
      </c>
      <c r="P544" s="35" t="s">
        <v>277</v>
      </c>
      <c r="R544" s="344" t="s">
        <v>633</v>
      </c>
      <c r="S544" s="344" t="s">
        <v>634</v>
      </c>
      <c r="T544" s="344" t="s">
        <v>635</v>
      </c>
      <c r="U544" s="344" t="s">
        <v>636</v>
      </c>
      <c r="W544" s="30" t="s">
        <v>642</v>
      </c>
      <c r="X544" s="344" t="s">
        <v>670</v>
      </c>
      <c r="Z544" t="s">
        <v>629</v>
      </c>
    </row>
    <row r="545" spans="1:26" ht="15" customHeight="1" thickBot="1">
      <c r="A545" s="270" t="s">
        <v>354</v>
      </c>
      <c r="B545" s="190">
        <f>B544/100</f>
        <v>1.35</v>
      </c>
      <c r="N545" s="36" t="s">
        <v>280</v>
      </c>
      <c r="O545" s="37" t="s">
        <v>277</v>
      </c>
      <c r="P545" s="38" t="s">
        <v>281</v>
      </c>
      <c r="R545" s="344" t="s">
        <v>637</v>
      </c>
      <c r="S545" s="344" t="s">
        <v>638</v>
      </c>
      <c r="T545" s="344" t="s">
        <v>639</v>
      </c>
      <c r="U545" s="344" t="s">
        <v>640</v>
      </c>
      <c r="W545" s="30" t="s">
        <v>643</v>
      </c>
      <c r="X545" s="344" t="s">
        <v>671</v>
      </c>
      <c r="Z545" s="342" t="s">
        <v>631</v>
      </c>
    </row>
    <row r="546" spans="1:26" ht="15" customHeight="1">
      <c r="N546" s="341"/>
      <c r="O546" s="341"/>
      <c r="P546" s="341"/>
      <c r="R546" s="340">
        <v>0</v>
      </c>
      <c r="S546" s="340">
        <v>0</v>
      </c>
      <c r="T546" s="345" t="s">
        <v>641</v>
      </c>
      <c r="U546" s="340">
        <v>0</v>
      </c>
      <c r="W546" s="340">
        <v>0</v>
      </c>
      <c r="X546" s="340">
        <v>0</v>
      </c>
    </row>
    <row r="547" spans="1:26" ht="15" customHeight="1">
      <c r="A547" t="s">
        <v>616</v>
      </c>
      <c r="N547" s="340"/>
      <c r="O547" s="340"/>
      <c r="P547" s="340"/>
    </row>
    <row r="548" spans="1:26" ht="15" customHeight="1">
      <c r="A548" t="s">
        <v>620</v>
      </c>
      <c r="N548" s="340"/>
      <c r="O548" s="340"/>
      <c r="P548" s="340"/>
      <c r="R548" s="340"/>
      <c r="S548" s="340"/>
      <c r="T548" s="340"/>
      <c r="U548" s="340"/>
      <c r="W548" s="340"/>
    </row>
    <row r="549" spans="1:26" ht="15" customHeight="1">
      <c r="A549" t="s">
        <v>619</v>
      </c>
      <c r="R549" s="340"/>
      <c r="S549" s="340"/>
      <c r="T549" s="340"/>
      <c r="U549" s="340"/>
      <c r="W549" s="340"/>
    </row>
    <row r="550" spans="1:26" ht="15" customHeight="1">
      <c r="A550" t="s">
        <v>617</v>
      </c>
      <c r="R550" s="340"/>
      <c r="S550" s="340"/>
      <c r="T550" s="340"/>
      <c r="U550" s="340"/>
      <c r="W550" s="340"/>
    </row>
    <row r="551" spans="1:26" ht="15" customHeight="1">
      <c r="A551" t="s">
        <v>354</v>
      </c>
      <c r="R551" s="340"/>
      <c r="S551" s="340"/>
      <c r="T551" s="340"/>
      <c r="U551" s="340"/>
      <c r="W551" s="340"/>
    </row>
    <row r="552" spans="1:26" ht="15" customHeight="1">
      <c r="A552" t="s">
        <v>622</v>
      </c>
    </row>
    <row r="553" spans="1:26" ht="15" customHeight="1">
      <c r="A553" t="s">
        <v>354</v>
      </c>
    </row>
    <row r="574" spans="28:28" ht="15" customHeight="1">
      <c r="AB574" t="s">
        <v>630</v>
      </c>
    </row>
    <row r="575" spans="28:28" ht="15" customHeight="1">
      <c r="AB575" s="343" t="s">
        <v>656</v>
      </c>
    </row>
    <row r="576" spans="28:28" ht="15" customHeight="1">
      <c r="AB576" t="s">
        <v>657</v>
      </c>
    </row>
    <row r="577" spans="14:28" ht="15" customHeight="1">
      <c r="AB577" t="s">
        <v>629</v>
      </c>
    </row>
    <row r="578" spans="14:28" ht="15" customHeight="1">
      <c r="AB578" s="342" t="s">
        <v>631</v>
      </c>
    </row>
    <row r="579" spans="14:28" ht="15" customHeight="1">
      <c r="N579" t="s">
        <v>644</v>
      </c>
    </row>
    <row r="581" spans="14:28" ht="15" customHeight="1">
      <c r="N581" s="340" t="s">
        <v>645</v>
      </c>
      <c r="O581" s="340" t="s">
        <v>648</v>
      </c>
      <c r="P581" s="340" t="s">
        <v>651</v>
      </c>
      <c r="Q581" s="340" t="s">
        <v>658</v>
      </c>
      <c r="R581" s="340" t="s">
        <v>659</v>
      </c>
      <c r="T581" s="340" t="s">
        <v>664</v>
      </c>
      <c r="U581" s="340">
        <v>0</v>
      </c>
    </row>
    <row r="582" spans="14:28" ht="15" customHeight="1">
      <c r="N582" s="340" t="s">
        <v>646</v>
      </c>
      <c r="O582" s="340" t="s">
        <v>649</v>
      </c>
      <c r="P582" s="340" t="s">
        <v>652</v>
      </c>
      <c r="Q582" s="340" t="s">
        <v>660</v>
      </c>
      <c r="R582" s="340" t="s">
        <v>662</v>
      </c>
      <c r="T582" s="340" t="s">
        <v>665</v>
      </c>
      <c r="U582" s="340" t="s">
        <v>667</v>
      </c>
    </row>
    <row r="583" spans="14:28" ht="15" customHeight="1">
      <c r="N583" s="340" t="s">
        <v>647</v>
      </c>
      <c r="O583" s="340" t="s">
        <v>650</v>
      </c>
      <c r="P583" s="340" t="s">
        <v>653</v>
      </c>
      <c r="Q583" s="340" t="s">
        <v>661</v>
      </c>
      <c r="R583" s="340" t="s">
        <v>663</v>
      </c>
      <c r="T583" s="340" t="s">
        <v>666</v>
      </c>
      <c r="U583" s="340" t="s">
        <v>668</v>
      </c>
    </row>
    <row r="584" spans="14:28" ht="15" customHeight="1">
      <c r="N584" s="340">
        <v>0</v>
      </c>
      <c r="O584" s="340">
        <v>1</v>
      </c>
      <c r="P584" s="340" t="s">
        <v>654</v>
      </c>
      <c r="Q584" s="340">
        <v>0</v>
      </c>
      <c r="R584" s="340">
        <v>0</v>
      </c>
      <c r="T584" s="340">
        <v>0</v>
      </c>
      <c r="U584" s="340">
        <v>0</v>
      </c>
    </row>
    <row r="585" spans="14:28" ht="15" customHeight="1">
      <c r="N585" s="340">
        <v>0</v>
      </c>
      <c r="O585" s="340">
        <v>0</v>
      </c>
      <c r="P585" s="340" t="s">
        <v>655</v>
      </c>
      <c r="Q585" s="340">
        <v>0</v>
      </c>
      <c r="R585" s="340">
        <v>0</v>
      </c>
      <c r="T585" s="340">
        <v>0</v>
      </c>
      <c r="U585" s="340">
        <v>0</v>
      </c>
    </row>
    <row r="587" spans="14:28" ht="15" customHeight="1">
      <c r="N587" s="340"/>
      <c r="O587" s="340"/>
      <c r="P587" s="340"/>
      <c r="Q587" s="340"/>
      <c r="R587" s="340"/>
      <c r="T587" s="340"/>
      <c r="U587" s="340"/>
    </row>
    <row r="588" spans="14:28" ht="15" customHeight="1">
      <c r="N588" s="340"/>
      <c r="O588" s="340"/>
      <c r="P588" s="340"/>
      <c r="Q588" s="340"/>
      <c r="R588" s="340"/>
      <c r="T588" s="340"/>
      <c r="U588" s="340"/>
    </row>
    <row r="589" spans="14:28" ht="15" customHeight="1">
      <c r="N589" s="340"/>
      <c r="O589" s="340"/>
      <c r="P589" s="340"/>
      <c r="Q589" s="340"/>
      <c r="R589" s="340"/>
      <c r="T589" s="340"/>
      <c r="U589" s="340"/>
    </row>
    <row r="590" spans="14:28" ht="15" customHeight="1">
      <c r="N590" s="340"/>
      <c r="O590" s="340"/>
      <c r="P590" s="340"/>
      <c r="Q590" s="340"/>
      <c r="R590" s="340"/>
      <c r="T590" s="340"/>
      <c r="U590" s="340"/>
    </row>
    <row r="591" spans="14:28" ht="15" customHeight="1">
      <c r="N591" s="340"/>
      <c r="O591" s="340"/>
      <c r="P591" s="340"/>
      <c r="Q591" s="340"/>
      <c r="R591" s="340"/>
      <c r="T591" s="340"/>
      <c r="U591" s="340"/>
    </row>
  </sheetData>
  <scenarios current="1" show="0">
    <scenario name="AoA 0deg" locked="1" count="1" user="Leonardo Valadez Ortiz" comment="Created by Leonardo Valadez Ortiz on 08/07/2025_x000a_Modified by Leonardo Valadez Ortiz on 08/07/2025">
      <inputCells r="B13" val="0" numFmtId="165"/>
    </scenario>
    <scenario name="AoA 5deg" locked="1" count="1" user="Leonardo Valadez Ortiz" comment="Created by Leonardo Valadez Ortiz on 08/07/2025">
      <inputCells r="B13" val="5" numFmtId="165"/>
    </scenario>
  </scenarios>
  <conditionalFormatting sqref="B204:K212">
    <cfRule type="cellIs" dxfId="0" priority="1" operator="greaterThan">
      <formula>15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zoomScale="85" zoomScaleNormal="85" workbookViewId="0">
      <pane ySplit="3" topLeftCell="A4" activePane="bottomLeft" state="frozen"/>
      <selection pane="bottomLeft" activeCell="E62" sqref="E62"/>
    </sheetView>
  </sheetViews>
  <sheetFormatPr defaultColWidth="9.125" defaultRowHeight="14.25"/>
  <cols>
    <col min="1" max="1" width="44.75" style="279" customWidth="1"/>
    <col min="2" max="4" width="9.375" style="280" customWidth="1"/>
    <col min="5" max="5" width="12.5" style="280" customWidth="1"/>
    <col min="6" max="6" width="13.375" style="280" bestFit="1" customWidth="1"/>
    <col min="7" max="7" width="9.375" style="280" customWidth="1"/>
    <col min="8" max="8" width="13.375" style="280" bestFit="1" customWidth="1"/>
    <col min="9" max="9" width="12.25" style="280" customWidth="1"/>
    <col min="10" max="12" width="9.375" style="280" customWidth="1"/>
    <col min="14" max="14" width="17.125" customWidth="1"/>
  </cols>
  <sheetData>
    <row r="1" spans="1:14" ht="15">
      <c r="A1" s="278" t="s">
        <v>503</v>
      </c>
      <c r="B1" s="280">
        <v>0.06</v>
      </c>
      <c r="C1" s="280">
        <v>0.1</v>
      </c>
      <c r="D1" s="280">
        <v>0.3</v>
      </c>
      <c r="E1" s="280">
        <v>0.5</v>
      </c>
      <c r="F1" s="280">
        <v>0.7</v>
      </c>
      <c r="G1" s="280">
        <v>0.85</v>
      </c>
      <c r="H1" s="280">
        <v>1</v>
      </c>
      <c r="I1" s="280">
        <v>1.5</v>
      </c>
      <c r="J1" s="280">
        <v>2</v>
      </c>
      <c r="K1" s="280">
        <v>3</v>
      </c>
      <c r="L1" s="280">
        <v>5</v>
      </c>
    </row>
    <row r="2" spans="1:14">
      <c r="A2" s="279" t="s">
        <v>524</v>
      </c>
      <c r="B2" s="280">
        <f t="shared" ref="B2:L2" si="0">B1*$O$22</f>
        <v>20.435320012174994</v>
      </c>
      <c r="C2" s="280">
        <f t="shared" si="0"/>
        <v>34.058866686958332</v>
      </c>
      <c r="D2" s="280">
        <f t="shared" si="0"/>
        <v>102.17660006087497</v>
      </c>
      <c r="E2" s="280">
        <f t="shared" si="0"/>
        <v>170.29433343479164</v>
      </c>
      <c r="F2" s="280">
        <f t="shared" si="0"/>
        <v>238.41206680870829</v>
      </c>
      <c r="G2" s="280">
        <f t="shared" si="0"/>
        <v>289.50036683914578</v>
      </c>
      <c r="H2" s="280">
        <f t="shared" si="0"/>
        <v>340.58866686958328</v>
      </c>
      <c r="I2" s="280">
        <f t="shared" si="0"/>
        <v>510.88300030437495</v>
      </c>
      <c r="J2" s="280">
        <f t="shared" si="0"/>
        <v>681.17733373916656</v>
      </c>
      <c r="K2" s="280">
        <f t="shared" si="0"/>
        <v>1021.7660006087499</v>
      </c>
      <c r="L2" s="280">
        <f t="shared" si="0"/>
        <v>1702.9433343479163</v>
      </c>
      <c r="N2" t="s">
        <v>502</v>
      </c>
    </row>
    <row r="3" spans="1:14">
      <c r="A3" s="279" t="s">
        <v>534</v>
      </c>
      <c r="B3" s="280">
        <f t="shared" ref="B3:L3" si="1">0.5*$O$25*B2^2</f>
        <v>255.57261004799989</v>
      </c>
      <c r="C3" s="280">
        <f t="shared" si="1"/>
        <v>709.92391680000003</v>
      </c>
      <c r="D3" s="280">
        <f t="shared" si="1"/>
        <v>6389.3152511999979</v>
      </c>
      <c r="E3" s="280">
        <f t="shared" si="1"/>
        <v>17748.097919999997</v>
      </c>
      <c r="F3" s="280">
        <f t="shared" si="1"/>
        <v>34786.271923199994</v>
      </c>
      <c r="G3" s="280">
        <f t="shared" si="1"/>
        <v>51292.002988799984</v>
      </c>
      <c r="H3" s="280">
        <f t="shared" si="1"/>
        <v>70992.391679999986</v>
      </c>
      <c r="I3" s="280">
        <f t="shared" si="1"/>
        <v>159732.88127999997</v>
      </c>
      <c r="J3" s="280">
        <f t="shared" si="1"/>
        <v>283969.56671999994</v>
      </c>
      <c r="K3" s="280">
        <f t="shared" si="1"/>
        <v>638931.52511999989</v>
      </c>
      <c r="L3" s="280">
        <f t="shared" si="1"/>
        <v>1774809.7919999994</v>
      </c>
    </row>
    <row r="4" spans="1:14">
      <c r="A4" s="279" t="s">
        <v>499</v>
      </c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</row>
    <row r="5" spans="1:14">
      <c r="A5" s="279">
        <v>0</v>
      </c>
      <c r="B5" s="292">
        <v>7.8450769E-4</v>
      </c>
      <c r="C5">
        <v>3.1759599999999999E-2</v>
      </c>
      <c r="D5" s="292">
        <v>0.26043301000000002</v>
      </c>
      <c r="E5" s="292">
        <v>0.56825183999999995</v>
      </c>
      <c r="F5" s="292">
        <v>0.82876609000000001</v>
      </c>
      <c r="G5" s="292"/>
      <c r="H5" s="292">
        <v>5.2529211999999999E-3</v>
      </c>
      <c r="I5" s="292">
        <v>3.6308104999999999</v>
      </c>
      <c r="J5" s="292"/>
      <c r="K5" s="292"/>
      <c r="L5" s="292"/>
    </row>
    <row r="6" spans="1:14">
      <c r="A6" s="279">
        <v>5</v>
      </c>
      <c r="B6" s="292">
        <v>0.19458151000000001</v>
      </c>
      <c r="C6">
        <v>0.52755589000000003</v>
      </c>
      <c r="D6" s="292">
        <v>4.5966256000000003</v>
      </c>
      <c r="E6" s="292">
        <v>12.268511</v>
      </c>
      <c r="F6" s="292">
        <v>29.241693999999999</v>
      </c>
      <c r="G6" s="292"/>
      <c r="H6" s="292"/>
      <c r="I6" s="292"/>
      <c r="J6" s="292"/>
      <c r="K6" s="292"/>
      <c r="L6" s="292"/>
    </row>
    <row r="7" spans="1:14">
      <c r="A7" s="279">
        <v>10</v>
      </c>
      <c r="B7" s="292">
        <v>0.42862950999999999</v>
      </c>
      <c r="C7">
        <v>1.1841634999999999</v>
      </c>
      <c r="D7" s="292">
        <v>9.8018798999999994</v>
      </c>
      <c r="E7" s="292">
        <v>26.248533999999999</v>
      </c>
      <c r="F7" s="292">
        <v>64.390786000000006</v>
      </c>
      <c r="G7" s="292"/>
      <c r="H7" s="292"/>
      <c r="I7" s="292"/>
      <c r="J7" s="292"/>
      <c r="K7" s="292"/>
      <c r="L7" s="292"/>
    </row>
    <row r="8" spans="1:14">
      <c r="A8" s="279">
        <v>15</v>
      </c>
      <c r="B8" s="292">
        <v>0.79119804999999999</v>
      </c>
      <c r="C8">
        <v>2.1524812999999998</v>
      </c>
      <c r="D8" s="292">
        <v>17.881902</v>
      </c>
      <c r="E8" s="292">
        <v>47.922269999999997</v>
      </c>
      <c r="F8" s="292">
        <v>119.26938</v>
      </c>
      <c r="G8" s="292"/>
      <c r="H8" s="292"/>
      <c r="I8" s="292"/>
      <c r="J8" s="292"/>
      <c r="K8" s="292"/>
      <c r="L8" s="292"/>
    </row>
    <row r="9" spans="1:14">
      <c r="A9" s="279">
        <v>20</v>
      </c>
      <c r="B9" s="292">
        <v>1.2914511</v>
      </c>
      <c r="C9">
        <v>3.5853510000000002</v>
      </c>
      <c r="D9" s="292">
        <v>29.276669999999999</v>
      </c>
      <c r="E9" s="292">
        <v>78.625001999999995</v>
      </c>
      <c r="F9" s="292">
        <v>198.89642000000001</v>
      </c>
      <c r="G9" s="292"/>
      <c r="H9" s="292"/>
      <c r="I9" s="292"/>
      <c r="J9" s="292"/>
      <c r="K9" s="292"/>
      <c r="L9" s="292"/>
    </row>
    <row r="10" spans="1:14">
      <c r="A10" s="279">
        <v>25</v>
      </c>
      <c r="B10" s="292">
        <v>1.8725259999999999</v>
      </c>
      <c r="C10">
        <v>5.1210000999999998</v>
      </c>
      <c r="D10" s="292">
        <v>41.888305000000003</v>
      </c>
      <c r="E10" s="292">
        <v>113.86475</v>
      </c>
      <c r="F10" s="292">
        <v>293.72726</v>
      </c>
      <c r="G10" s="292"/>
      <c r="H10" s="292"/>
      <c r="I10" s="292"/>
      <c r="J10" s="292"/>
      <c r="K10" s="292"/>
      <c r="L10" s="292"/>
    </row>
    <row r="11" spans="1:14">
      <c r="A11" s="279">
        <v>30</v>
      </c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14">
      <c r="A12" s="279" t="s">
        <v>500</v>
      </c>
      <c r="B12" s="292"/>
      <c r="C12" s="292"/>
      <c r="D12" s="292"/>
      <c r="E12" s="292"/>
      <c r="F12" s="292"/>
      <c r="G12" s="292"/>
      <c r="H12" s="292"/>
      <c r="I12" s="292"/>
      <c r="J12" s="292"/>
      <c r="K12" s="292"/>
      <c r="L12" s="292"/>
    </row>
    <row r="13" spans="1:14">
      <c r="A13" s="279">
        <v>0</v>
      </c>
      <c r="B13" s="280">
        <v>3.0247540000000002E-3</v>
      </c>
      <c r="C13" s="280">
        <v>7.5993731999999996E-3</v>
      </c>
      <c r="D13" s="280">
        <v>4.7434295999999997E-3</v>
      </c>
      <c r="E13" s="280">
        <v>8.7547752000000003E-3</v>
      </c>
      <c r="F13" s="280">
        <v>4.0891260000000002E-3</v>
      </c>
      <c r="H13" s="280">
        <v>3.6209692000000002E-2</v>
      </c>
      <c r="I13" s="280">
        <v>1.7392082</v>
      </c>
      <c r="J13" s="292"/>
      <c r="K13" s="292"/>
      <c r="L13" s="292"/>
    </row>
    <row r="14" spans="1:14">
      <c r="A14" s="279">
        <v>5</v>
      </c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</row>
    <row r="15" spans="1:14">
      <c r="A15" s="279">
        <v>10</v>
      </c>
      <c r="B15" s="292"/>
      <c r="C15" s="292"/>
      <c r="D15" s="292"/>
      <c r="E15" s="292"/>
      <c r="F15" s="292"/>
      <c r="G15" s="292"/>
      <c r="H15" s="292"/>
      <c r="I15" s="292"/>
      <c r="J15" s="292"/>
      <c r="K15" s="292"/>
      <c r="L15" s="292"/>
    </row>
    <row r="16" spans="1:14">
      <c r="A16" s="279">
        <v>15</v>
      </c>
      <c r="B16" s="292"/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1:16">
      <c r="A17" s="279">
        <v>20</v>
      </c>
      <c r="B17" s="292"/>
      <c r="C17" s="292"/>
      <c r="D17" s="292"/>
      <c r="E17" s="292"/>
      <c r="F17" s="292"/>
      <c r="G17" s="292"/>
      <c r="H17" s="292"/>
      <c r="I17" s="292"/>
      <c r="J17" s="292"/>
      <c r="K17" s="292"/>
      <c r="L17" s="292"/>
    </row>
    <row r="18" spans="1:16">
      <c r="A18" s="279">
        <v>25</v>
      </c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1:16">
      <c r="A19" s="279">
        <v>30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</row>
    <row r="20" spans="1:16">
      <c r="A20" s="279" t="s">
        <v>501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</row>
    <row r="21" spans="1:16">
      <c r="A21" s="279">
        <v>0</v>
      </c>
      <c r="B21" s="292">
        <v>0.29641506000000001</v>
      </c>
      <c r="C21" s="292">
        <v>0.81477829999999996</v>
      </c>
      <c r="D21" s="292">
        <v>6.9074483999999998</v>
      </c>
      <c r="E21" s="292">
        <v>17.254064</v>
      </c>
      <c r="F21" s="292">
        <v>54.863151999999999</v>
      </c>
      <c r="G21" s="292"/>
      <c r="H21" s="292">
        <v>188.40852000000001</v>
      </c>
      <c r="I21" s="292">
        <v>573.49603999999999</v>
      </c>
      <c r="J21" s="292"/>
      <c r="K21" s="292"/>
      <c r="L21" s="292"/>
    </row>
    <row r="22" spans="1:16">
      <c r="A22" s="279">
        <v>5</v>
      </c>
      <c r="B22" s="292">
        <v>0.37801504000000002</v>
      </c>
      <c r="C22" s="292">
        <v>0.98497402000000001</v>
      </c>
      <c r="D22" s="292">
        <v>8.5914915999999995</v>
      </c>
      <c r="E22" s="292">
        <v>21.475949</v>
      </c>
      <c r="F22" s="292">
        <v>63.763761000000002</v>
      </c>
      <c r="G22" s="292"/>
      <c r="H22" s="292"/>
      <c r="I22" s="292"/>
      <c r="J22" s="292"/>
      <c r="K22" s="292"/>
      <c r="L22" s="292"/>
      <c r="N22" t="s">
        <v>528</v>
      </c>
      <c r="O22">
        <f>SQRT(1.4*287.7*O23)</f>
        <v>340.58866686958328</v>
      </c>
      <c r="P22" t="s">
        <v>116</v>
      </c>
    </row>
    <row r="23" spans="1:16">
      <c r="A23" s="279">
        <v>10</v>
      </c>
      <c r="B23" s="292">
        <v>0.48563795999999998</v>
      </c>
      <c r="C23" s="292">
        <v>1.2745839000000001</v>
      </c>
      <c r="D23" s="292">
        <v>10.927485000000001</v>
      </c>
      <c r="E23" s="292">
        <v>27.565342999999999</v>
      </c>
      <c r="F23" s="292">
        <v>77.973401999999993</v>
      </c>
      <c r="G23" s="292"/>
      <c r="H23" s="292"/>
      <c r="I23" s="292"/>
      <c r="J23" s="292"/>
      <c r="K23" s="292"/>
      <c r="L23" s="292"/>
      <c r="N23" t="s">
        <v>529</v>
      </c>
      <c r="O23">
        <v>288</v>
      </c>
      <c r="P23" t="s">
        <v>119</v>
      </c>
    </row>
    <row r="24" spans="1:16">
      <c r="A24" s="279">
        <v>15</v>
      </c>
      <c r="B24" s="292">
        <v>0.64891173999999996</v>
      </c>
      <c r="C24" s="292">
        <v>1.7166106999999999</v>
      </c>
      <c r="D24" s="292">
        <v>14.520640999999999</v>
      </c>
      <c r="E24" s="292">
        <v>37.188338000000002</v>
      </c>
      <c r="F24" s="292">
        <v>101.77215</v>
      </c>
      <c r="G24" s="292"/>
      <c r="H24" s="292"/>
      <c r="I24" s="292"/>
      <c r="J24" s="292"/>
      <c r="K24" s="292"/>
      <c r="L24" s="292"/>
      <c r="N24" t="s">
        <v>533</v>
      </c>
      <c r="O24">
        <f>CrossSecAreaRocket</f>
        <v>5.0265482457436689E-3</v>
      </c>
      <c r="P24" t="s">
        <v>223</v>
      </c>
    </row>
    <row r="25" spans="1:16">
      <c r="A25" s="279">
        <v>20</v>
      </c>
      <c r="B25" s="292">
        <v>0.91188782000000002</v>
      </c>
      <c r="C25" s="292">
        <v>2.4546416999999998</v>
      </c>
      <c r="D25" s="292">
        <v>20.384616999999999</v>
      </c>
      <c r="E25" s="292">
        <v>52.879199</v>
      </c>
      <c r="F25" s="292">
        <v>141.97888</v>
      </c>
      <c r="G25" s="292"/>
      <c r="H25" s="292"/>
      <c r="I25" s="292"/>
      <c r="J25" s="292"/>
      <c r="K25" s="292"/>
      <c r="L25" s="292"/>
      <c r="N25" t="s">
        <v>535</v>
      </c>
      <c r="O25">
        <v>1.224</v>
      </c>
      <c r="P25" t="s">
        <v>314</v>
      </c>
    </row>
    <row r="26" spans="1:16">
      <c r="A26" s="279">
        <v>25</v>
      </c>
      <c r="B26" s="292">
        <v>1.2971326000000001</v>
      </c>
      <c r="C26" s="292">
        <v>3.4645633999999998</v>
      </c>
      <c r="D26" s="292">
        <v>28.749558</v>
      </c>
      <c r="E26" s="292">
        <v>75.871988999999999</v>
      </c>
      <c r="F26" s="292">
        <v>202.97076999999999</v>
      </c>
      <c r="G26" s="292"/>
      <c r="H26" s="292"/>
      <c r="I26" s="292"/>
      <c r="J26" s="292"/>
      <c r="K26" s="292"/>
      <c r="L26" s="292"/>
      <c r="N26" t="s">
        <v>536</v>
      </c>
      <c r="O26">
        <f>'FinAeroDesign 2.0'!B225</f>
        <v>0.8</v>
      </c>
      <c r="P26" t="s">
        <v>197</v>
      </c>
    </row>
    <row r="27" spans="1:16">
      <c r="A27" s="279">
        <v>30</v>
      </c>
      <c r="B27" s="292"/>
      <c r="C27" s="292"/>
      <c r="D27" s="292"/>
      <c r="E27" s="292"/>
      <c r="F27" s="292"/>
      <c r="G27" s="292"/>
      <c r="H27" s="292"/>
      <c r="I27" s="292"/>
      <c r="J27" s="292"/>
      <c r="K27" s="292"/>
      <c r="L27" s="292"/>
    </row>
    <row r="28" spans="1:16">
      <c r="A28" s="279" t="s">
        <v>532</v>
      </c>
    </row>
    <row r="29" spans="1:16">
      <c r="A29" s="279">
        <v>0</v>
      </c>
      <c r="B29" s="293">
        <v>3.9376972E-7</v>
      </c>
      <c r="C29" s="293">
        <v>1.0719754999999999E-6</v>
      </c>
      <c r="D29" s="293">
        <v>3.4923999999999998E-6</v>
      </c>
      <c r="E29" s="293">
        <v>6.2106154000000003E-6</v>
      </c>
      <c r="F29" s="293">
        <v>1.0547894E-5</v>
      </c>
      <c r="G29" s="293">
        <v>1.0547894E-5</v>
      </c>
      <c r="H29" s="293">
        <v>3.5391137000000002E-5</v>
      </c>
      <c r="I29" s="293">
        <v>-4.6915793999999999E-5</v>
      </c>
    </row>
    <row r="30" spans="1:16">
      <c r="A30" s="279">
        <v>5</v>
      </c>
    </row>
    <row r="31" spans="1:16">
      <c r="A31" s="279">
        <v>10</v>
      </c>
    </row>
    <row r="32" spans="1:16">
      <c r="A32" s="279">
        <v>15</v>
      </c>
    </row>
    <row r="33" spans="1:16">
      <c r="A33" s="279">
        <v>20</v>
      </c>
    </row>
    <row r="34" spans="1:16">
      <c r="A34" s="279">
        <v>25</v>
      </c>
    </row>
    <row r="35" spans="1:16">
      <c r="A35" s="279">
        <v>30</v>
      </c>
    </row>
    <row r="36" spans="1:16">
      <c r="A36" s="279" t="s">
        <v>531</v>
      </c>
      <c r="P36">
        <f>42*3</f>
        <v>126</v>
      </c>
    </row>
    <row r="37" spans="1:16">
      <c r="A37" s="279">
        <v>0</v>
      </c>
      <c r="B37" s="280">
        <v>-8.4067850000000004E-4</v>
      </c>
      <c r="C37" s="293">
        <v>-9.9430001999999994E-6</v>
      </c>
      <c r="D37" s="280">
        <v>-2.8579856000000002E-3</v>
      </c>
      <c r="E37" s="280">
        <v>-2.7765043000000001E-3</v>
      </c>
      <c r="F37" s="280">
        <v>-3.5801428E-3</v>
      </c>
      <c r="G37" s="280">
        <v>-3.5801428E-3</v>
      </c>
      <c r="H37" s="280">
        <v>-1.2667222000000001E-2</v>
      </c>
      <c r="I37" s="280">
        <v>1.9839978</v>
      </c>
    </row>
    <row r="38" spans="1:16">
      <c r="A38" s="279">
        <v>5</v>
      </c>
    </row>
    <row r="39" spans="1:16">
      <c r="A39" s="279">
        <v>10</v>
      </c>
    </row>
    <row r="40" spans="1:16">
      <c r="A40" s="279">
        <v>15</v>
      </c>
    </row>
    <row r="41" spans="1:16">
      <c r="A41" s="279">
        <v>20</v>
      </c>
    </row>
    <row r="42" spans="1:16">
      <c r="A42" s="279">
        <v>25</v>
      </c>
    </row>
    <row r="43" spans="1:16">
      <c r="A43" s="279">
        <v>30</v>
      </c>
    </row>
    <row r="44" spans="1:16">
      <c r="A44" s="279" t="s">
        <v>530</v>
      </c>
    </row>
    <row r="45" spans="1:16">
      <c r="A45" s="279">
        <v>0</v>
      </c>
      <c r="B45" s="280">
        <v>-1.254186E-3</v>
      </c>
      <c r="C45" s="280">
        <v>-3.3242160000000001E-3</v>
      </c>
      <c r="D45" s="280">
        <v>-2.7258663000000001E-3</v>
      </c>
      <c r="E45" s="280">
        <v>-5.7863556000000002E-3</v>
      </c>
      <c r="F45" s="280">
        <v>-6.2785508000000002E-3</v>
      </c>
      <c r="H45" s="280">
        <v>2.9580740000000001E-2</v>
      </c>
      <c r="I45" s="280">
        <v>-1.2803529</v>
      </c>
    </row>
    <row r="46" spans="1:16">
      <c r="A46" s="279">
        <v>5</v>
      </c>
    </row>
    <row r="47" spans="1:16">
      <c r="A47" s="279">
        <v>10</v>
      </c>
    </row>
    <row r="48" spans="1:16">
      <c r="A48" s="279">
        <v>15</v>
      </c>
    </row>
    <row r="49" spans="1:12">
      <c r="A49" s="279">
        <v>20</v>
      </c>
    </row>
    <row r="50" spans="1:12">
      <c r="A50" s="279">
        <v>25</v>
      </c>
    </row>
    <row r="51" spans="1:12">
      <c r="A51" s="279">
        <v>30</v>
      </c>
    </row>
    <row r="52" spans="1:12"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</row>
    <row r="53" spans="1:12" s="297" customFormat="1" ht="15">
      <c r="A53" s="278" t="s">
        <v>504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</row>
    <row r="54" spans="1:12">
      <c r="A54" s="279" t="s">
        <v>499</v>
      </c>
      <c r="B54" s="346"/>
      <c r="C54" s="346"/>
      <c r="D54" s="346"/>
      <c r="E54" s="346"/>
      <c r="F54" s="346"/>
      <c r="G54" s="346"/>
      <c r="H54" s="346"/>
      <c r="I54" s="346"/>
    </row>
    <row r="55" spans="1:12">
      <c r="A55" s="279">
        <v>0</v>
      </c>
      <c r="B55" s="346">
        <f t="shared" ref="B55:I55" si="2">B5/(B$3*$O$24)</f>
        <v>6.1067907831386086E-4</v>
      </c>
      <c r="C55" s="346">
        <f t="shared" si="2"/>
        <v>8.9000687450521716E-3</v>
      </c>
      <c r="D55" s="346">
        <f t="shared" si="2"/>
        <v>8.1090851007109693E-3</v>
      </c>
      <c r="E55" s="346">
        <f t="shared" si="2"/>
        <v>6.3697029439947466E-3</v>
      </c>
      <c r="F55" s="346">
        <f t="shared" si="2"/>
        <v>4.7397368486932169E-3</v>
      </c>
      <c r="G55" s="346">
        <f t="shared" si="2"/>
        <v>0</v>
      </c>
      <c r="H55" s="346">
        <f t="shared" si="2"/>
        <v>1.4720386841251768E-5</v>
      </c>
      <c r="I55" s="346">
        <f t="shared" si="2"/>
        <v>4.5220920848789391E-3</v>
      </c>
    </row>
    <row r="56" spans="1:12">
      <c r="A56" s="279">
        <v>5</v>
      </c>
      <c r="B56" s="346">
        <f t="shared" ref="B56:I56" si="3">B6/(B$3*$O$24)</f>
        <v>0.15146678445397943</v>
      </c>
      <c r="C56" s="346">
        <f t="shared" si="3"/>
        <v>0.14783825009940876</v>
      </c>
      <c r="D56" s="346">
        <f t="shared" si="3"/>
        <v>0.1431248218745643</v>
      </c>
      <c r="E56" s="346">
        <f t="shared" si="3"/>
        <v>0.13752136840442425</v>
      </c>
      <c r="F56" s="346">
        <f t="shared" si="3"/>
        <v>0.16723407996822282</v>
      </c>
      <c r="G56" s="346">
        <f t="shared" si="3"/>
        <v>0</v>
      </c>
      <c r="H56" s="346">
        <f t="shared" si="3"/>
        <v>0</v>
      </c>
      <c r="I56" s="346">
        <f t="shared" si="3"/>
        <v>0</v>
      </c>
    </row>
    <row r="57" spans="1:12">
      <c r="A57" s="279">
        <v>10</v>
      </c>
      <c r="B57" s="346">
        <f t="shared" ref="B57:I57" si="4">B7/(B$3*$O$24)</f>
        <v>0.33365520496672479</v>
      </c>
      <c r="C57" s="346">
        <f t="shared" si="4"/>
        <v>0.33184097266280393</v>
      </c>
      <c r="D57" s="346">
        <f t="shared" si="4"/>
        <v>0.3052004746097598</v>
      </c>
      <c r="E57" s="346">
        <f t="shared" si="4"/>
        <v>0.29422758102348812</v>
      </c>
      <c r="F57" s="346">
        <f t="shared" si="4"/>
        <v>0.36825273717523765</v>
      </c>
      <c r="G57" s="346">
        <f t="shared" si="4"/>
        <v>0</v>
      </c>
      <c r="H57" s="346">
        <f t="shared" si="4"/>
        <v>0</v>
      </c>
      <c r="I57" s="346">
        <f t="shared" si="4"/>
        <v>0</v>
      </c>
    </row>
    <row r="58" spans="1:12">
      <c r="A58" s="279">
        <v>15</v>
      </c>
      <c r="B58" s="346">
        <f t="shared" ref="B58:I58" si="5">B8/(B$3*$O$24)</f>
        <v>0.61588701053742889</v>
      </c>
      <c r="C58" s="346">
        <f t="shared" si="5"/>
        <v>0.60319498804894478</v>
      </c>
      <c r="D58" s="346">
        <f t="shared" si="5"/>
        <v>0.55678757881181684</v>
      </c>
      <c r="E58" s="346">
        <f t="shared" si="5"/>
        <v>0.53717489819638975</v>
      </c>
      <c r="F58" s="346">
        <f t="shared" si="5"/>
        <v>0.68210497766238698</v>
      </c>
      <c r="G58" s="346">
        <f t="shared" si="5"/>
        <v>0</v>
      </c>
      <c r="H58" s="346">
        <f t="shared" si="5"/>
        <v>0</v>
      </c>
      <c r="I58" s="346">
        <f t="shared" si="5"/>
        <v>0</v>
      </c>
    </row>
    <row r="59" spans="1:12">
      <c r="A59" s="279">
        <v>20</v>
      </c>
      <c r="B59" s="346">
        <f t="shared" ref="B59:I59" si="6">B9/(B$3*$O$24)</f>
        <v>1.0052956490909881</v>
      </c>
      <c r="C59" s="346">
        <f t="shared" si="6"/>
        <v>1.0047314945761772</v>
      </c>
      <c r="D59" s="346">
        <f t="shared" si="6"/>
        <v>0.91158570296227726</v>
      </c>
      <c r="E59" s="346">
        <f t="shared" si="6"/>
        <v>0.8813309020011143</v>
      </c>
      <c r="F59" s="346">
        <f t="shared" si="6"/>
        <v>1.1374942849642442</v>
      </c>
      <c r="G59" s="346">
        <f t="shared" si="6"/>
        <v>0</v>
      </c>
      <c r="H59" s="346">
        <f t="shared" si="6"/>
        <v>0</v>
      </c>
      <c r="I59" s="346">
        <f t="shared" si="6"/>
        <v>0</v>
      </c>
    </row>
    <row r="60" spans="1:12">
      <c r="A60" s="279">
        <v>25</v>
      </c>
      <c r="B60" s="346">
        <f t="shared" ref="B60:I60" si="7">B10/(B$3*$O$24)</f>
        <v>1.4576179002129865</v>
      </c>
      <c r="C60" s="346">
        <f t="shared" si="7"/>
        <v>1.4350701184340813</v>
      </c>
      <c r="D60" s="346">
        <f t="shared" si="7"/>
        <v>1.3042733329754812</v>
      </c>
      <c r="E60" s="346">
        <f t="shared" si="7"/>
        <v>1.2763436600438036</v>
      </c>
      <c r="F60" s="346">
        <f t="shared" si="7"/>
        <v>1.6798345570433428</v>
      </c>
      <c r="G60" s="346">
        <f t="shared" si="7"/>
        <v>0</v>
      </c>
      <c r="H60" s="346">
        <f t="shared" si="7"/>
        <v>0</v>
      </c>
      <c r="I60" s="346">
        <f t="shared" si="7"/>
        <v>0</v>
      </c>
    </row>
    <row r="61" spans="1:12">
      <c r="A61" s="279">
        <v>30</v>
      </c>
      <c r="B61" s="346">
        <f t="shared" ref="B61:I61" si="8">B11/(B$3*$O$24)</f>
        <v>0</v>
      </c>
      <c r="C61" s="346">
        <f t="shared" si="8"/>
        <v>0</v>
      </c>
      <c r="D61" s="346">
        <f t="shared" si="8"/>
        <v>0</v>
      </c>
      <c r="E61" s="346">
        <f t="shared" si="8"/>
        <v>0</v>
      </c>
      <c r="F61" s="346">
        <f t="shared" si="8"/>
        <v>0</v>
      </c>
      <c r="G61" s="346">
        <f t="shared" si="8"/>
        <v>0</v>
      </c>
      <c r="H61" s="346">
        <f t="shared" si="8"/>
        <v>0</v>
      </c>
      <c r="I61" s="346">
        <f t="shared" si="8"/>
        <v>0</v>
      </c>
    </row>
    <row r="62" spans="1:12" s="263" customFormat="1" ht="15">
      <c r="A62" s="294" t="s">
        <v>673</v>
      </c>
      <c r="B62" s="295">
        <f>(B70-B64)/(RADIANS(A70))</f>
        <v>-35.202057862501682</v>
      </c>
      <c r="C62" s="295">
        <f t="shared" ref="C62:E62" si="9">(C70-C64)/(RADIANS(B70))</f>
        <v>61.87083218672209</v>
      </c>
      <c r="D62" s="295">
        <f t="shared" si="9"/>
        <v>57.464222923080257</v>
      </c>
      <c r="E62" s="295">
        <f t="shared" si="9"/>
        <v>61.830246618482832</v>
      </c>
      <c r="F62" s="295">
        <f>(F70-F64)/(RADIANS(E70))</f>
        <v>82.70317294535603</v>
      </c>
      <c r="G62" s="295"/>
      <c r="H62" s="295"/>
      <c r="I62" s="295"/>
      <c r="J62" s="295"/>
      <c r="K62" s="295"/>
      <c r="L62" s="295"/>
    </row>
    <row r="63" spans="1:12" s="263" customFormat="1" ht="15">
      <c r="A63" s="294" t="s">
        <v>674</v>
      </c>
      <c r="B63" s="295">
        <f>MEDIAN(B64:B70)</f>
        <v>2.0877255143069968</v>
      </c>
      <c r="C63" s="295">
        <f t="shared" ref="C63:F63" si="10">MEDIAN(C64:C70)</f>
        <v>2.1085158843598295</v>
      </c>
      <c r="D63" s="295">
        <f t="shared" si="10"/>
        <v>1.8572501727109318</v>
      </c>
      <c r="E63" s="295">
        <f t="shared" si="10"/>
        <v>1.7957209213104164</v>
      </c>
      <c r="F63" s="295">
        <f t="shared" si="10"/>
        <v>2.3035041322697998</v>
      </c>
      <c r="G63" s="295"/>
      <c r="H63" s="295"/>
      <c r="I63" s="295"/>
      <c r="J63" s="295"/>
      <c r="K63" s="295"/>
      <c r="L63" s="295"/>
    </row>
    <row r="64" spans="1:12">
      <c r="A64" s="349">
        <v>0</v>
      </c>
      <c r="B64" s="292">
        <f t="shared" ref="B64:I65" si="11">(B56-B55)/(RADIANS($A56-$A55))</f>
        <v>1.7286836303612896</v>
      </c>
      <c r="C64" s="292">
        <f t="shared" si="11"/>
        <v>1.5921142809655722</v>
      </c>
      <c r="D64" s="292">
        <f t="shared" si="11"/>
        <v>1.547166376998212</v>
      </c>
      <c r="E64" s="292">
        <f t="shared" si="11"/>
        <v>1.5028873813988606</v>
      </c>
      <c r="F64" s="292">
        <f t="shared" si="11"/>
        <v>1.8620480110999427</v>
      </c>
      <c r="G64" s="292">
        <f t="shared" si="11"/>
        <v>0</v>
      </c>
      <c r="H64" s="292">
        <f t="shared" si="11"/>
        <v>-1.6868320776072793E-4</v>
      </c>
      <c r="I64" s="292">
        <f t="shared" si="11"/>
        <v>-5.1819358206615693E-2</v>
      </c>
      <c r="J64" s="292"/>
      <c r="K64" s="292"/>
      <c r="L64" s="292"/>
    </row>
    <row r="65" spans="1:12">
      <c r="A65" s="349">
        <v>5</v>
      </c>
      <c r="B65" s="292">
        <f t="shared" si="11"/>
        <v>2.0877255143069968</v>
      </c>
      <c r="C65" s="292">
        <f t="shared" si="11"/>
        <v>2.1085158843598295</v>
      </c>
      <c r="D65" s="292">
        <f t="shared" si="11"/>
        <v>1.8572501727109318</v>
      </c>
      <c r="E65" s="292">
        <f t="shared" si="11"/>
        <v>1.7957209213104164</v>
      </c>
      <c r="F65" s="292">
        <f t="shared" si="11"/>
        <v>2.3035041322697998</v>
      </c>
      <c r="G65" s="292">
        <f t="shared" si="11"/>
        <v>0</v>
      </c>
      <c r="H65" s="292">
        <f t="shared" si="11"/>
        <v>0</v>
      </c>
      <c r="I65" s="292">
        <f t="shared" si="11"/>
        <v>0</v>
      </c>
      <c r="J65" s="292"/>
      <c r="K65" s="292"/>
      <c r="L65" s="292"/>
    </row>
    <row r="66" spans="1:12">
      <c r="A66" s="349">
        <v>10</v>
      </c>
      <c r="B66" s="292">
        <f t="shared" ref="B66:I66" si="12">(B58-B57)/(RADIANS($A58-$A57))</f>
        <v>3.2341382607116365</v>
      </c>
      <c r="C66" s="292">
        <f t="shared" si="12"/>
        <v>3.1094879671107747</v>
      </c>
      <c r="D66" s="292">
        <f t="shared" si="12"/>
        <v>2.8829758501391858</v>
      </c>
      <c r="E66" s="292">
        <f t="shared" si="12"/>
        <v>2.78397118360669</v>
      </c>
      <c r="F66" s="292">
        <f t="shared" si="12"/>
        <v>3.5964817541277192</v>
      </c>
      <c r="G66" s="292">
        <f t="shared" si="12"/>
        <v>0</v>
      </c>
      <c r="H66" s="292">
        <f t="shared" si="12"/>
        <v>0</v>
      </c>
      <c r="I66" s="292">
        <f t="shared" si="12"/>
        <v>0</v>
      </c>
      <c r="J66" s="292"/>
      <c r="K66" s="292"/>
      <c r="L66" s="292"/>
    </row>
    <row r="67" spans="1:12">
      <c r="A67" s="349">
        <v>15</v>
      </c>
      <c r="B67" s="292">
        <f t="shared" ref="B67:I67" si="13">(B59-B58)/(RADIANS($A59-$A58))</f>
        <v>4.4622942990108596</v>
      </c>
      <c r="C67" s="292">
        <f t="shared" si="13"/>
        <v>4.6012694288875293</v>
      </c>
      <c r="D67" s="292">
        <f t="shared" si="13"/>
        <v>4.0656870185959981</v>
      </c>
      <c r="E67" s="292">
        <f t="shared" si="13"/>
        <v>3.9437373024198039</v>
      </c>
      <c r="F67" s="292">
        <f t="shared" si="13"/>
        <v>5.2183770687565003</v>
      </c>
      <c r="G67" s="292">
        <f t="shared" si="13"/>
        <v>0</v>
      </c>
      <c r="H67" s="292">
        <f t="shared" si="13"/>
        <v>0</v>
      </c>
      <c r="I67" s="292">
        <f t="shared" si="13"/>
        <v>0</v>
      </c>
      <c r="J67" s="292"/>
      <c r="K67" s="292"/>
      <c r="L67" s="292"/>
    </row>
    <row r="68" spans="1:12">
      <c r="A68" s="349">
        <v>20</v>
      </c>
      <c r="B68" s="292">
        <f t="shared" ref="B68:I68" si="14">(B60-B59)/(RADIANS($A60-$A59))</f>
        <v>5.1832311938294149</v>
      </c>
      <c r="C68" s="292">
        <f t="shared" si="14"/>
        <v>4.9313173817051483</v>
      </c>
      <c r="D68" s="292">
        <f t="shared" si="14"/>
        <v>4.4998687733502765</v>
      </c>
      <c r="E68" s="292">
        <f t="shared" si="14"/>
        <v>4.5265127779336929</v>
      </c>
      <c r="F68" s="292">
        <f t="shared" si="14"/>
        <v>6.2147617300218227</v>
      </c>
      <c r="G68" s="292">
        <f t="shared" si="14"/>
        <v>0</v>
      </c>
      <c r="H68" s="292">
        <f t="shared" si="14"/>
        <v>0</v>
      </c>
      <c r="I68" s="292">
        <f t="shared" si="14"/>
        <v>0</v>
      </c>
      <c r="J68" s="292"/>
      <c r="K68" s="292"/>
      <c r="L68" s="292"/>
    </row>
    <row r="69" spans="1:12">
      <c r="A69" s="349">
        <v>25</v>
      </c>
      <c r="B69" s="292">
        <f>(B61-B60)/(RADIANS($A61-$A60))</f>
        <v>-16.70307076498506</v>
      </c>
      <c r="C69" s="292">
        <f t="shared" ref="C69:I69" si="15">(C61-C60)/(RADIANS($A61-$A60))</f>
        <v>-16.444692218322412</v>
      </c>
      <c r="D69" s="292">
        <f t="shared" si="15"/>
        <v>-14.945871462191235</v>
      </c>
      <c r="E69" s="292">
        <f t="shared" si="15"/>
        <v>-14.625820985758056</v>
      </c>
      <c r="F69" s="292">
        <f t="shared" si="15"/>
        <v>-19.249486079762338</v>
      </c>
      <c r="G69" s="292">
        <f t="shared" si="15"/>
        <v>0</v>
      </c>
      <c r="H69" s="292">
        <f t="shared" si="15"/>
        <v>0</v>
      </c>
      <c r="I69" s="292">
        <f t="shared" si="15"/>
        <v>0</v>
      </c>
      <c r="J69" s="292"/>
      <c r="K69" s="292"/>
      <c r="L69" s="292"/>
    </row>
    <row r="70" spans="1:12">
      <c r="A70" s="349">
        <v>30</v>
      </c>
      <c r="B70" s="292">
        <f>IF($A70=30,B69,0)</f>
        <v>-16.70307076498506</v>
      </c>
      <c r="C70" s="292">
        <f t="shared" ref="C70:I70" si="16">IF($A70=30,C69,0)</f>
        <v>-16.444692218322412</v>
      </c>
      <c r="D70" s="292">
        <f t="shared" si="16"/>
        <v>-14.945871462191235</v>
      </c>
      <c r="E70" s="292">
        <f t="shared" si="16"/>
        <v>-14.625820985758056</v>
      </c>
      <c r="F70" s="292">
        <f t="shared" si="16"/>
        <v>-19.249486079762338</v>
      </c>
      <c r="G70" s="292">
        <f t="shared" si="16"/>
        <v>0</v>
      </c>
      <c r="H70" s="292">
        <f t="shared" si="16"/>
        <v>0</v>
      </c>
      <c r="I70" s="292">
        <f t="shared" si="16"/>
        <v>0</v>
      </c>
      <c r="J70" s="292"/>
      <c r="K70" s="292"/>
      <c r="L70" s="292"/>
    </row>
    <row r="71" spans="1:12">
      <c r="A71" s="279" t="s">
        <v>677</v>
      </c>
    </row>
    <row r="72" spans="1:12">
      <c r="A72" s="279">
        <v>0</v>
      </c>
      <c r="B72" s="280">
        <f t="shared" ref="B72:I72" si="17">B13/(B$3*$O$24)</f>
        <v>2.3545390419897148E-3</v>
      </c>
      <c r="C72" s="280">
        <f t="shared" si="17"/>
        <v>2.1295905458288866E-3</v>
      </c>
      <c r="D72" s="280">
        <f t="shared" si="17"/>
        <v>1.4769584814010862E-4</v>
      </c>
      <c r="E72" s="280">
        <f t="shared" si="17"/>
        <v>9.813486457950088E-5</v>
      </c>
      <c r="F72" s="280">
        <f t="shared" si="17"/>
        <v>2.3385827937469665E-5</v>
      </c>
      <c r="G72" s="280">
        <f t="shared" si="17"/>
        <v>0</v>
      </c>
      <c r="H72" s="280">
        <f t="shared" si="17"/>
        <v>1.0147128680372731E-4</v>
      </c>
      <c r="I72" s="280">
        <f t="shared" si="17"/>
        <v>2.1661443457807964E-3</v>
      </c>
    </row>
    <row r="73" spans="1:12">
      <c r="A73" s="279">
        <v>5</v>
      </c>
    </row>
    <row r="74" spans="1:12">
      <c r="A74" s="279">
        <v>10</v>
      </c>
    </row>
    <row r="75" spans="1:12">
      <c r="A75" s="279">
        <v>15</v>
      </c>
    </row>
    <row r="76" spans="1:12">
      <c r="A76" s="279">
        <v>20</v>
      </c>
    </row>
    <row r="77" spans="1:12">
      <c r="A77" s="279">
        <v>25</v>
      </c>
    </row>
    <row r="78" spans="1:12">
      <c r="A78" s="279">
        <v>30</v>
      </c>
    </row>
    <row r="79" spans="1:12" s="263" customFormat="1" ht="15">
      <c r="A79" s="294" t="s">
        <v>675</v>
      </c>
      <c r="B79" s="295">
        <f>(B87-B81)/(RADIANS(A87))</f>
        <v>5.1529971455962699E-2</v>
      </c>
      <c r="C79" s="295"/>
      <c r="D79" s="295"/>
      <c r="E79" s="295"/>
      <c r="F79" s="295"/>
      <c r="G79" s="295"/>
      <c r="H79" s="295"/>
      <c r="I79" s="295"/>
      <c r="J79" s="295"/>
      <c r="K79" s="295"/>
      <c r="L79" s="295"/>
    </row>
    <row r="80" spans="1:12" s="263" customFormat="1" ht="15">
      <c r="A80" s="294" t="s">
        <v>676</v>
      </c>
      <c r="B80" s="295">
        <f>MEDIAN(B81:B87)</f>
        <v>0</v>
      </c>
      <c r="C80" s="295"/>
      <c r="D80" s="295"/>
      <c r="E80" s="295"/>
      <c r="F80" s="295"/>
      <c r="G80" s="295"/>
      <c r="H80" s="295"/>
      <c r="I80" s="295"/>
      <c r="J80" s="295"/>
      <c r="K80" s="295"/>
      <c r="L80" s="295"/>
    </row>
    <row r="81" spans="1:12">
      <c r="A81" s="349">
        <v>0</v>
      </c>
      <c r="B81" s="292">
        <f t="shared" ref="B81:I82" si="18">(B73-B72)/(RADIANS($A73-$A72))</f>
        <v>-2.6981029960957355E-2</v>
      </c>
      <c r="C81" s="292">
        <f t="shared" si="18"/>
        <v>-2.4403310073391304E-2</v>
      </c>
      <c r="D81" s="292">
        <f t="shared" si="18"/>
        <v>-1.6924697500066707E-3</v>
      </c>
      <c r="E81" s="292">
        <f t="shared" si="18"/>
        <v>-1.1245427126986549E-3</v>
      </c>
      <c r="F81" s="292">
        <f t="shared" si="18"/>
        <v>-2.6798184824722851E-4</v>
      </c>
      <c r="G81" s="292">
        <f t="shared" si="18"/>
        <v>0</v>
      </c>
      <c r="H81" s="292">
        <f t="shared" si="18"/>
        <v>-1.16277529512302E-3</v>
      </c>
      <c r="I81" s="292">
        <f t="shared" si="18"/>
        <v>-2.4822185765873295E-2</v>
      </c>
      <c r="J81" s="292"/>
      <c r="K81" s="292"/>
      <c r="L81" s="292"/>
    </row>
    <row r="82" spans="1:12">
      <c r="A82" s="349">
        <v>5</v>
      </c>
      <c r="B82" s="292">
        <f t="shared" si="18"/>
        <v>0</v>
      </c>
      <c r="C82" s="292">
        <f t="shared" si="18"/>
        <v>0</v>
      </c>
      <c r="D82" s="292">
        <f t="shared" si="18"/>
        <v>0</v>
      </c>
      <c r="E82" s="292">
        <f t="shared" si="18"/>
        <v>0</v>
      </c>
      <c r="F82" s="292">
        <f t="shared" si="18"/>
        <v>0</v>
      </c>
      <c r="G82" s="292">
        <f t="shared" si="18"/>
        <v>0</v>
      </c>
      <c r="H82" s="292">
        <f t="shared" si="18"/>
        <v>0</v>
      </c>
      <c r="I82" s="292">
        <f t="shared" si="18"/>
        <v>0</v>
      </c>
      <c r="J82" s="292"/>
      <c r="K82" s="292"/>
      <c r="L82" s="292"/>
    </row>
    <row r="83" spans="1:12">
      <c r="A83" s="349">
        <v>10</v>
      </c>
      <c r="B83" s="292">
        <f t="shared" ref="B83:I83" si="19">(B75-B74)/(RADIANS($A75-$A74))</f>
        <v>0</v>
      </c>
      <c r="C83" s="292">
        <f t="shared" si="19"/>
        <v>0</v>
      </c>
      <c r="D83" s="292">
        <f t="shared" si="19"/>
        <v>0</v>
      </c>
      <c r="E83" s="292">
        <f t="shared" si="19"/>
        <v>0</v>
      </c>
      <c r="F83" s="292">
        <f t="shared" si="19"/>
        <v>0</v>
      </c>
      <c r="G83" s="292">
        <f t="shared" si="19"/>
        <v>0</v>
      </c>
      <c r="H83" s="292">
        <f t="shared" si="19"/>
        <v>0</v>
      </c>
      <c r="I83" s="292">
        <f t="shared" si="19"/>
        <v>0</v>
      </c>
      <c r="J83" s="292"/>
      <c r="K83" s="292"/>
      <c r="L83" s="292"/>
    </row>
    <row r="84" spans="1:12">
      <c r="A84" s="349">
        <v>15</v>
      </c>
      <c r="B84" s="292">
        <f t="shared" ref="B84:I84" si="20">(B76-B75)/(RADIANS($A76-$A75))</f>
        <v>0</v>
      </c>
      <c r="C84" s="292">
        <f t="shared" si="20"/>
        <v>0</v>
      </c>
      <c r="D84" s="292">
        <f t="shared" si="20"/>
        <v>0</v>
      </c>
      <c r="E84" s="292">
        <f t="shared" si="20"/>
        <v>0</v>
      </c>
      <c r="F84" s="292">
        <f t="shared" si="20"/>
        <v>0</v>
      </c>
      <c r="G84" s="292">
        <f t="shared" si="20"/>
        <v>0</v>
      </c>
      <c r="H84" s="292">
        <f t="shared" si="20"/>
        <v>0</v>
      </c>
      <c r="I84" s="292">
        <f t="shared" si="20"/>
        <v>0</v>
      </c>
      <c r="J84" s="292"/>
      <c r="K84" s="292"/>
      <c r="L84" s="292"/>
    </row>
    <row r="85" spans="1:12">
      <c r="A85" s="349">
        <v>20</v>
      </c>
      <c r="B85" s="292">
        <f t="shared" ref="B85:I85" si="21">(B77-B76)/(RADIANS($A77-$A76))</f>
        <v>0</v>
      </c>
      <c r="C85" s="292">
        <f t="shared" si="21"/>
        <v>0</v>
      </c>
      <c r="D85" s="292">
        <f t="shared" si="21"/>
        <v>0</v>
      </c>
      <c r="E85" s="292">
        <f t="shared" si="21"/>
        <v>0</v>
      </c>
      <c r="F85" s="292">
        <f t="shared" si="21"/>
        <v>0</v>
      </c>
      <c r="G85" s="292">
        <f t="shared" si="21"/>
        <v>0</v>
      </c>
      <c r="H85" s="292">
        <f t="shared" si="21"/>
        <v>0</v>
      </c>
      <c r="I85" s="292">
        <f t="shared" si="21"/>
        <v>0</v>
      </c>
      <c r="J85" s="292"/>
      <c r="K85" s="292"/>
      <c r="L85" s="292"/>
    </row>
    <row r="86" spans="1:12">
      <c r="A86" s="349">
        <v>25</v>
      </c>
      <c r="B86" s="292">
        <f t="shared" ref="B86:I86" si="22">(B78-B77)/(RADIANS($A78-$A77))</f>
        <v>0</v>
      </c>
      <c r="C86" s="292">
        <f t="shared" si="22"/>
        <v>0</v>
      </c>
      <c r="D86" s="292">
        <f t="shared" si="22"/>
        <v>0</v>
      </c>
      <c r="E86" s="292">
        <f t="shared" si="22"/>
        <v>0</v>
      </c>
      <c r="F86" s="292">
        <f t="shared" si="22"/>
        <v>0</v>
      </c>
      <c r="G86" s="292">
        <f t="shared" si="22"/>
        <v>0</v>
      </c>
      <c r="H86" s="292">
        <f t="shared" si="22"/>
        <v>0</v>
      </c>
      <c r="I86" s="292">
        <f t="shared" si="22"/>
        <v>0</v>
      </c>
      <c r="J86" s="292"/>
      <c r="K86" s="292"/>
      <c r="L86" s="292"/>
    </row>
    <row r="87" spans="1:12">
      <c r="A87" s="349">
        <v>30</v>
      </c>
      <c r="B87" s="292">
        <f>IF($A87=30,B86,0)</f>
        <v>0</v>
      </c>
      <c r="C87" s="292">
        <f t="shared" ref="C87" si="23">IF($A87=30,C86,0)</f>
        <v>0</v>
      </c>
      <c r="D87" s="292">
        <f t="shared" ref="D87" si="24">IF($A87=30,D86,0)</f>
        <v>0</v>
      </c>
      <c r="E87" s="292">
        <f t="shared" ref="E87" si="25">IF($A87=30,E86,0)</f>
        <v>0</v>
      </c>
      <c r="F87" s="292">
        <f t="shared" ref="F87" si="26">IF($A87=30,F86,0)</f>
        <v>0</v>
      </c>
      <c r="G87" s="292">
        <f t="shared" ref="G87" si="27">IF($A87=30,G86,0)</f>
        <v>0</v>
      </c>
      <c r="H87" s="292">
        <f t="shared" ref="H87" si="28">IF($A87=30,H86,0)</f>
        <v>0</v>
      </c>
      <c r="I87" s="292">
        <f t="shared" ref="I87" si="29">IF($A87=30,I86,0)</f>
        <v>0</v>
      </c>
      <c r="J87" s="292"/>
      <c r="K87" s="292"/>
      <c r="L87" s="292"/>
    </row>
    <row r="88" spans="1:12">
      <c r="A88" s="279" t="s">
        <v>501</v>
      </c>
    </row>
    <row r="89" spans="1:12">
      <c r="A89" s="279">
        <v>0</v>
      </c>
      <c r="B89" s="280">
        <f t="shared" ref="B89:I89" si="30">B21/(B$3*$O$24)</f>
        <v>0.23073639423362155</v>
      </c>
      <c r="C89" s="280">
        <f t="shared" si="30"/>
        <v>0.22832727370548564</v>
      </c>
      <c r="D89" s="280">
        <f t="shared" si="30"/>
        <v>0.21507675583970642</v>
      </c>
      <c r="E89" s="280">
        <f t="shared" si="30"/>
        <v>0.19340590653727366</v>
      </c>
      <c r="F89" s="280">
        <f t="shared" si="30"/>
        <v>0.31376392724979491</v>
      </c>
      <c r="G89" s="280">
        <f t="shared" si="30"/>
        <v>0</v>
      </c>
      <c r="H89" s="280">
        <f t="shared" si="30"/>
        <v>0.5279817063670631</v>
      </c>
      <c r="I89" s="280">
        <f t="shared" si="30"/>
        <v>0.71427630364994688</v>
      </c>
    </row>
    <row r="90" spans="1:12">
      <c r="A90" s="279">
        <v>5</v>
      </c>
    </row>
    <row r="91" spans="1:12">
      <c r="A91" s="279">
        <v>10</v>
      </c>
    </row>
    <row r="92" spans="1:12">
      <c r="A92" s="279">
        <v>15</v>
      </c>
    </row>
    <row r="93" spans="1:12">
      <c r="A93" s="279">
        <v>20</v>
      </c>
    </row>
    <row r="94" spans="1:12">
      <c r="A94" s="279">
        <v>25</v>
      </c>
    </row>
    <row r="95" spans="1:12">
      <c r="A95" s="279">
        <v>30</v>
      </c>
    </row>
    <row r="96" spans="1:12" s="263" customFormat="1" ht="15">
      <c r="A96" s="294" t="s">
        <v>675</v>
      </c>
      <c r="B96" s="295">
        <f>(B104-B98)/(RADIANS(A104))</f>
        <v>5.0497526677929745</v>
      </c>
      <c r="C96" s="295"/>
      <c r="D96" s="295"/>
      <c r="E96" s="295"/>
      <c r="F96" s="295"/>
      <c r="G96" s="295"/>
      <c r="H96" s="295"/>
      <c r="I96" s="295"/>
      <c r="J96" s="295"/>
      <c r="K96" s="295"/>
      <c r="L96" s="295"/>
    </row>
    <row r="97" spans="1:12" s="263" customFormat="1" ht="15">
      <c r="A97" s="294" t="s">
        <v>676</v>
      </c>
      <c r="B97" s="295">
        <f>MEDIAN(B98:B104)</f>
        <v>0</v>
      </c>
      <c r="C97" s="295"/>
      <c r="D97" s="295"/>
      <c r="E97" s="295"/>
      <c r="F97" s="295"/>
      <c r="G97" s="295"/>
      <c r="H97" s="295"/>
      <c r="I97" s="295"/>
      <c r="J97" s="295"/>
      <c r="K97" s="295"/>
      <c r="L97" s="295"/>
    </row>
    <row r="98" spans="1:12">
      <c r="A98" s="349">
        <v>0</v>
      </c>
      <c r="B98" s="292">
        <f t="shared" ref="B98:I99" si="31">(B90-B89)/(RADIANS($A90-$A89))</f>
        <v>-2.6440443139306442</v>
      </c>
      <c r="C98" s="292">
        <f t="shared" si="31"/>
        <v>-2.6164378262105408</v>
      </c>
      <c r="D98" s="292">
        <f t="shared" si="31"/>
        <v>-2.4645980761961721</v>
      </c>
      <c r="E98" s="292">
        <f t="shared" si="31"/>
        <v>-2.2162684354974878</v>
      </c>
      <c r="F98" s="292">
        <f t="shared" si="31"/>
        <v>-3.5954697589726101</v>
      </c>
      <c r="G98" s="292">
        <f t="shared" si="31"/>
        <v>0</v>
      </c>
      <c r="H98" s="292">
        <f t="shared" si="31"/>
        <v>-6.0502246869896439</v>
      </c>
      <c r="I98" s="292">
        <f t="shared" si="31"/>
        <v>-8.1850035210693584</v>
      </c>
      <c r="J98" s="292"/>
      <c r="K98" s="292"/>
      <c r="L98" s="292"/>
    </row>
    <row r="99" spans="1:12">
      <c r="A99" s="349">
        <v>5</v>
      </c>
      <c r="B99" s="292">
        <f t="shared" si="31"/>
        <v>0</v>
      </c>
      <c r="C99" s="292">
        <f t="shared" si="31"/>
        <v>0</v>
      </c>
      <c r="D99" s="292">
        <f t="shared" si="31"/>
        <v>0</v>
      </c>
      <c r="E99" s="292">
        <f t="shared" si="31"/>
        <v>0</v>
      </c>
      <c r="F99" s="292">
        <f t="shared" si="31"/>
        <v>0</v>
      </c>
      <c r="G99" s="292">
        <f t="shared" si="31"/>
        <v>0</v>
      </c>
      <c r="H99" s="292">
        <f t="shared" si="31"/>
        <v>0</v>
      </c>
      <c r="I99" s="292">
        <f t="shared" si="31"/>
        <v>0</v>
      </c>
      <c r="J99" s="292"/>
      <c r="K99" s="292"/>
      <c r="L99" s="292"/>
    </row>
    <row r="100" spans="1:12">
      <c r="A100" s="349">
        <v>10</v>
      </c>
      <c r="B100" s="292">
        <f t="shared" ref="B100:I100" si="32">(B92-B91)/(RADIANS($A92-$A91))</f>
        <v>0</v>
      </c>
      <c r="C100" s="292">
        <f t="shared" si="32"/>
        <v>0</v>
      </c>
      <c r="D100" s="292">
        <f t="shared" si="32"/>
        <v>0</v>
      </c>
      <c r="E100" s="292">
        <f t="shared" si="32"/>
        <v>0</v>
      </c>
      <c r="F100" s="292">
        <f t="shared" si="32"/>
        <v>0</v>
      </c>
      <c r="G100" s="292">
        <f t="shared" si="32"/>
        <v>0</v>
      </c>
      <c r="H100" s="292">
        <f t="shared" si="32"/>
        <v>0</v>
      </c>
      <c r="I100" s="292">
        <f t="shared" si="32"/>
        <v>0</v>
      </c>
      <c r="J100" s="292"/>
      <c r="K100" s="292"/>
      <c r="L100" s="292"/>
    </row>
    <row r="101" spans="1:12">
      <c r="A101" s="349">
        <v>15</v>
      </c>
      <c r="B101" s="292">
        <f t="shared" ref="B101:I101" si="33">(B93-B92)/(RADIANS($A93-$A92))</f>
        <v>0</v>
      </c>
      <c r="C101" s="292">
        <f t="shared" si="33"/>
        <v>0</v>
      </c>
      <c r="D101" s="292">
        <f t="shared" si="33"/>
        <v>0</v>
      </c>
      <c r="E101" s="292">
        <f t="shared" si="33"/>
        <v>0</v>
      </c>
      <c r="F101" s="292">
        <f t="shared" si="33"/>
        <v>0</v>
      </c>
      <c r="G101" s="292">
        <f t="shared" si="33"/>
        <v>0</v>
      </c>
      <c r="H101" s="292">
        <f t="shared" si="33"/>
        <v>0</v>
      </c>
      <c r="I101" s="292">
        <f t="shared" si="33"/>
        <v>0</v>
      </c>
      <c r="J101" s="292"/>
      <c r="K101" s="292"/>
      <c r="L101" s="292"/>
    </row>
    <row r="102" spans="1:12">
      <c r="A102" s="349">
        <v>20</v>
      </c>
      <c r="B102" s="292">
        <f t="shared" ref="B102:I102" si="34">(B94-B93)/(RADIANS($A94-$A93))</f>
        <v>0</v>
      </c>
      <c r="C102" s="292">
        <f t="shared" si="34"/>
        <v>0</v>
      </c>
      <c r="D102" s="292">
        <f t="shared" si="34"/>
        <v>0</v>
      </c>
      <c r="E102" s="292">
        <f t="shared" si="34"/>
        <v>0</v>
      </c>
      <c r="F102" s="292">
        <f t="shared" si="34"/>
        <v>0</v>
      </c>
      <c r="G102" s="292">
        <f t="shared" si="34"/>
        <v>0</v>
      </c>
      <c r="H102" s="292">
        <f t="shared" si="34"/>
        <v>0</v>
      </c>
      <c r="I102" s="292">
        <f t="shared" si="34"/>
        <v>0</v>
      </c>
      <c r="J102" s="292"/>
      <c r="K102" s="292"/>
      <c r="L102" s="292"/>
    </row>
    <row r="103" spans="1:12">
      <c r="A103" s="349">
        <v>25</v>
      </c>
      <c r="B103" s="292">
        <f t="shared" ref="B103:I103" si="35">(B95-B94)/(RADIANS($A95-$A94))</f>
        <v>0</v>
      </c>
      <c r="C103" s="292">
        <f t="shared" si="35"/>
        <v>0</v>
      </c>
      <c r="D103" s="292">
        <f t="shared" si="35"/>
        <v>0</v>
      </c>
      <c r="E103" s="292">
        <f t="shared" si="35"/>
        <v>0</v>
      </c>
      <c r="F103" s="292">
        <f t="shared" si="35"/>
        <v>0</v>
      </c>
      <c r="G103" s="292">
        <f t="shared" si="35"/>
        <v>0</v>
      </c>
      <c r="H103" s="292">
        <f t="shared" si="35"/>
        <v>0</v>
      </c>
      <c r="I103" s="292">
        <f t="shared" si="35"/>
        <v>0</v>
      </c>
      <c r="J103" s="292"/>
      <c r="K103" s="292"/>
      <c r="L103" s="292"/>
    </row>
    <row r="104" spans="1:12">
      <c r="A104" s="349">
        <v>30</v>
      </c>
      <c r="B104" s="292">
        <f>IF($A104=30,B103,0)</f>
        <v>0</v>
      </c>
      <c r="C104" s="292">
        <f t="shared" ref="C104" si="36">IF($A104=30,C103,0)</f>
        <v>0</v>
      </c>
      <c r="D104" s="292">
        <f t="shared" ref="D104" si="37">IF($A104=30,D103,0)</f>
        <v>0</v>
      </c>
      <c r="E104" s="292">
        <f t="shared" ref="E104" si="38">IF($A104=30,E103,0)</f>
        <v>0</v>
      </c>
      <c r="F104" s="292">
        <f t="shared" ref="F104" si="39">IF($A104=30,F103,0)</f>
        <v>0</v>
      </c>
      <c r="G104" s="292">
        <f t="shared" ref="G104" si="40">IF($A104=30,G103,0)</f>
        <v>0</v>
      </c>
      <c r="H104" s="292">
        <f t="shared" ref="H104" si="41">IF($A104=30,H103,0)</f>
        <v>0</v>
      </c>
      <c r="I104" s="292">
        <f t="shared" ref="I104" si="42">IF($A104=30,I103,0)</f>
        <v>0</v>
      </c>
      <c r="J104" s="292"/>
      <c r="K104" s="292"/>
      <c r="L104" s="292"/>
    </row>
    <row r="105" spans="1:12" s="96" customFormat="1" ht="6.75" customHeight="1">
      <c r="A105" s="347"/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</row>
    <row r="106" spans="1:12">
      <c r="A106" s="279" t="s">
        <v>537</v>
      </c>
    </row>
    <row r="107" spans="1:12">
      <c r="A107" s="279">
        <v>0</v>
      </c>
      <c r="B107" s="280">
        <f t="shared" ref="B107:I107" si="43">B37/B5</f>
        <v>-1.0716000757111763</v>
      </c>
      <c r="C107" s="280">
        <f t="shared" si="43"/>
        <v>-3.1307069988287007E-4</v>
      </c>
      <c r="D107" s="280">
        <f t="shared" si="43"/>
        <v>-1.0973975994824926E-2</v>
      </c>
      <c r="E107" s="280">
        <f t="shared" si="43"/>
        <v>-4.8860454195801643E-3</v>
      </c>
      <c r="F107" s="280">
        <f t="shared" si="43"/>
        <v>-4.3198471115052503E-3</v>
      </c>
      <c r="H107" s="280">
        <f t="shared" si="43"/>
        <v>-2.4114624068603963</v>
      </c>
      <c r="I107" s="280">
        <f t="shared" si="43"/>
        <v>0.54643386097952507</v>
      </c>
    </row>
    <row r="108" spans="1:12">
      <c r="A108" s="279">
        <v>5</v>
      </c>
    </row>
    <row r="109" spans="1:12">
      <c r="A109" s="279">
        <v>10</v>
      </c>
    </row>
    <row r="110" spans="1:12">
      <c r="A110" s="279">
        <v>15</v>
      </c>
    </row>
    <row r="111" spans="1:12">
      <c r="A111" s="279">
        <v>20</v>
      </c>
    </row>
    <row r="112" spans="1:12">
      <c r="A112" s="279">
        <v>25</v>
      </c>
    </row>
    <row r="113" spans="1:9">
      <c r="A113" s="279">
        <v>30</v>
      </c>
    </row>
    <row r="114" spans="1:9">
      <c r="A114" s="279" t="s">
        <v>538</v>
      </c>
    </row>
    <row r="115" spans="1:9">
      <c r="A115" s="279">
        <v>0</v>
      </c>
      <c r="B115" s="280">
        <f t="shared" ref="B115:I115" si="44">B45/B13</f>
        <v>-0.41464066168686775</v>
      </c>
      <c r="C115" s="280">
        <f t="shared" si="44"/>
        <v>-0.43743291880967239</v>
      </c>
      <c r="D115" s="280">
        <f t="shared" si="44"/>
        <v>-0.57466148543661322</v>
      </c>
      <c r="E115" s="280">
        <f t="shared" si="44"/>
        <v>-0.66093708494079895</v>
      </c>
      <c r="F115" s="280">
        <f t="shared" si="44"/>
        <v>-1.5354261032797718</v>
      </c>
      <c r="H115" s="280">
        <f t="shared" si="44"/>
        <v>0.81692879353958603</v>
      </c>
      <c r="I115" s="280">
        <f t="shared" si="44"/>
        <v>-0.7361699996584653</v>
      </c>
    </row>
    <row r="116" spans="1:9">
      <c r="A116" s="279">
        <v>5</v>
      </c>
    </row>
    <row r="117" spans="1:9">
      <c r="A117" s="279">
        <v>10</v>
      </c>
    </row>
    <row r="118" spans="1:9">
      <c r="A118" s="279">
        <v>15</v>
      </c>
    </row>
    <row r="119" spans="1:9">
      <c r="A119" s="279">
        <v>20</v>
      </c>
    </row>
    <row r="120" spans="1:9">
      <c r="A120" s="279">
        <v>25</v>
      </c>
    </row>
    <row r="121" spans="1:9">
      <c r="A121" s="279">
        <v>30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K14" sqref="K14"/>
    </sheetView>
  </sheetViews>
  <sheetFormatPr defaultRowHeight="14.25"/>
  <cols>
    <col min="1" max="1" width="10.5" customWidth="1"/>
  </cols>
  <sheetData>
    <row r="1" spans="1:10" ht="42.75" customHeight="1">
      <c r="A1" s="456" t="s">
        <v>539</v>
      </c>
      <c r="B1" s="456"/>
      <c r="C1" s="298">
        <v>0.5</v>
      </c>
      <c r="D1" s="298">
        <v>1</v>
      </c>
      <c r="E1" s="298">
        <v>1.5</v>
      </c>
      <c r="F1" s="298">
        <v>3</v>
      </c>
      <c r="G1" s="298">
        <v>5</v>
      </c>
      <c r="H1" s="299" t="s">
        <v>176</v>
      </c>
      <c r="J1" t="s">
        <v>678</v>
      </c>
    </row>
    <row r="2" spans="1:10">
      <c r="A2" s="263">
        <v>3</v>
      </c>
      <c r="B2" s="263">
        <f>A2*2.54</f>
        <v>7.62</v>
      </c>
      <c r="C2">
        <f>B2*C$1</f>
        <v>3.81</v>
      </c>
      <c r="D2">
        <f t="shared" ref="D2:G2" si="0">C2*D$1</f>
        <v>3.81</v>
      </c>
      <c r="E2">
        <f t="shared" si="0"/>
        <v>5.7149999999999999</v>
      </c>
      <c r="F2">
        <f t="shared" si="0"/>
        <v>17.145</v>
      </c>
      <c r="G2">
        <f t="shared" si="0"/>
        <v>85.724999999999994</v>
      </c>
    </row>
    <row r="3" spans="1:10">
      <c r="A3" s="263">
        <v>5</v>
      </c>
      <c r="B3" s="263">
        <f t="shared" ref="B3:B4" si="1">A3*2.54</f>
        <v>12.7</v>
      </c>
      <c r="C3">
        <f t="shared" ref="C3:G3" si="2">B3*C$1</f>
        <v>6.35</v>
      </c>
      <c r="D3">
        <f t="shared" si="2"/>
        <v>6.35</v>
      </c>
      <c r="E3">
        <f t="shared" si="2"/>
        <v>9.5249999999999986</v>
      </c>
      <c r="F3">
        <f t="shared" si="2"/>
        <v>28.574999999999996</v>
      </c>
      <c r="G3">
        <f t="shared" si="2"/>
        <v>142.87499999999997</v>
      </c>
    </row>
    <row r="4" spans="1:10">
      <c r="A4" s="263">
        <v>8</v>
      </c>
      <c r="B4" s="263">
        <f t="shared" si="1"/>
        <v>20.32</v>
      </c>
      <c r="C4">
        <f>B4*C$1</f>
        <v>10.16</v>
      </c>
      <c r="D4">
        <f t="shared" ref="D4:G4" si="3">C4*D$1</f>
        <v>10.16</v>
      </c>
      <c r="E4">
        <f t="shared" si="3"/>
        <v>15.24</v>
      </c>
      <c r="F4">
        <f t="shared" si="3"/>
        <v>45.72</v>
      </c>
      <c r="G4">
        <f t="shared" si="3"/>
        <v>228.6</v>
      </c>
    </row>
    <row r="6" spans="1:10" ht="28.5" customHeight="1">
      <c r="A6" s="456" t="s">
        <v>540</v>
      </c>
      <c r="B6" s="456"/>
      <c r="C6">
        <v>50</v>
      </c>
      <c r="D6">
        <v>100</v>
      </c>
      <c r="E6">
        <v>200</v>
      </c>
      <c r="F6">
        <v>300</v>
      </c>
    </row>
    <row r="7" spans="1:10">
      <c r="A7" s="263">
        <v>3</v>
      </c>
      <c r="B7" s="263">
        <f>A7*2.54</f>
        <v>7.62</v>
      </c>
      <c r="C7" s="298">
        <f>C$6/$B7</f>
        <v>6.5616797900262469</v>
      </c>
      <c r="D7" s="298">
        <f t="shared" ref="D7:F9" si="4">D$6/$B7</f>
        <v>13.123359580052494</v>
      </c>
      <c r="E7" s="298">
        <f t="shared" si="4"/>
        <v>26.246719160104988</v>
      </c>
      <c r="F7" s="298">
        <f t="shared" si="4"/>
        <v>39.370078740157481</v>
      </c>
      <c r="G7" s="457" t="s">
        <v>176</v>
      </c>
    </row>
    <row r="8" spans="1:10">
      <c r="A8" s="263">
        <v>5</v>
      </c>
      <c r="B8" s="263">
        <f t="shared" ref="B8:B9" si="5">A8*2.54</f>
        <v>12.7</v>
      </c>
      <c r="C8" s="298">
        <f>C$6/$B8</f>
        <v>3.9370078740157481</v>
      </c>
      <c r="D8" s="298">
        <f t="shared" si="4"/>
        <v>7.8740157480314963</v>
      </c>
      <c r="E8" s="298">
        <f t="shared" si="4"/>
        <v>15.748031496062993</v>
      </c>
      <c r="F8" s="298">
        <f>F$6/$B8</f>
        <v>23.622047244094489</v>
      </c>
      <c r="G8" s="457"/>
    </row>
    <row r="9" spans="1:10">
      <c r="A9" s="263">
        <v>8</v>
      </c>
      <c r="B9" s="263">
        <f t="shared" si="5"/>
        <v>20.32</v>
      </c>
      <c r="C9" s="298">
        <f t="shared" ref="C9" si="6">C$6/$B9</f>
        <v>2.4606299212598426</v>
      </c>
      <c r="D9" s="298">
        <f t="shared" si="4"/>
        <v>4.9212598425196852</v>
      </c>
      <c r="E9" s="298">
        <f t="shared" si="4"/>
        <v>9.8425196850393704</v>
      </c>
      <c r="F9" s="298">
        <f t="shared" si="4"/>
        <v>14.763779527559056</v>
      </c>
      <c r="G9" s="457"/>
    </row>
  </sheetData>
  <mergeCells count="3">
    <mergeCell ref="A1:B1"/>
    <mergeCell ref="A6:B6"/>
    <mergeCell ref="G7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30"/>
  <sheetViews>
    <sheetView zoomScale="70" zoomScaleNormal="70" workbookViewId="0">
      <selection activeCell="N27" sqref="N27"/>
    </sheetView>
  </sheetViews>
  <sheetFormatPr defaultColWidth="9.125" defaultRowHeight="14.25"/>
  <cols>
    <col min="1" max="1" width="30.875" bestFit="1" customWidth="1"/>
    <col min="3" max="3" width="74" bestFit="1" customWidth="1"/>
    <col min="4" max="4" width="49.375" bestFit="1" customWidth="1"/>
  </cols>
  <sheetData>
    <row r="1" spans="1:4">
      <c r="A1" t="s">
        <v>405</v>
      </c>
      <c r="B1" t="s">
        <v>406</v>
      </c>
      <c r="C1">
        <v>18</v>
      </c>
    </row>
    <row r="2" spans="1:4" ht="15" thickBot="1">
      <c r="B2" t="s">
        <v>407</v>
      </c>
      <c r="C2" t="s">
        <v>408</v>
      </c>
      <c r="D2" t="s">
        <v>409</v>
      </c>
    </row>
    <row r="3" spans="1:4">
      <c r="A3" s="191" t="s">
        <v>324</v>
      </c>
      <c r="B3" s="192" t="s">
        <v>410</v>
      </c>
      <c r="C3" s="192" t="s">
        <v>411</v>
      </c>
      <c r="D3" s="193" t="s">
        <v>412</v>
      </c>
    </row>
    <row r="4" spans="1:4" ht="15" thickBot="1">
      <c r="A4" s="194"/>
      <c r="B4" s="195" t="s">
        <v>413</v>
      </c>
      <c r="C4" s="195" t="s">
        <v>414</v>
      </c>
      <c r="D4" s="196" t="s">
        <v>415</v>
      </c>
    </row>
    <row r="5" spans="1:4">
      <c r="A5" s="191"/>
      <c r="B5" s="192" t="s">
        <v>416</v>
      </c>
      <c r="C5" s="192" t="s">
        <v>417</v>
      </c>
      <c r="D5" s="193" t="s">
        <v>418</v>
      </c>
    </row>
    <row r="6" spans="1:4">
      <c r="A6" s="197" t="s">
        <v>419</v>
      </c>
      <c r="B6" t="s">
        <v>420</v>
      </c>
      <c r="C6" t="s">
        <v>421</v>
      </c>
      <c r="D6" s="198" t="s">
        <v>422</v>
      </c>
    </row>
    <row r="7" spans="1:4" ht="15" thickBot="1">
      <c r="A7" s="194"/>
      <c r="B7" s="195" t="s">
        <v>423</v>
      </c>
      <c r="C7" s="195" t="s">
        <v>424</v>
      </c>
      <c r="D7" s="196" t="s">
        <v>425</v>
      </c>
    </row>
    <row r="8" spans="1:4">
      <c r="A8" s="191"/>
      <c r="B8" s="192" t="s">
        <v>426</v>
      </c>
      <c r="C8" s="192" t="s">
        <v>427</v>
      </c>
      <c r="D8" s="193" t="s">
        <v>428</v>
      </c>
    </row>
    <row r="9" spans="1:4">
      <c r="A9" s="197" t="s">
        <v>429</v>
      </c>
      <c r="B9" t="s">
        <v>430</v>
      </c>
      <c r="C9" t="s">
        <v>431</v>
      </c>
      <c r="D9" s="198" t="s">
        <v>432</v>
      </c>
    </row>
    <row r="10" spans="1:4" ht="15" thickBot="1">
      <c r="A10" s="194"/>
      <c r="B10" s="195" t="s">
        <v>433</v>
      </c>
      <c r="C10" s="195" t="s">
        <v>434</v>
      </c>
      <c r="D10" s="196" t="s">
        <v>435</v>
      </c>
    </row>
    <row r="11" spans="1:4">
      <c r="A11" s="191"/>
      <c r="B11" s="192" t="s">
        <v>436</v>
      </c>
      <c r="C11" s="192" t="s">
        <v>437</v>
      </c>
      <c r="D11" s="193" t="s">
        <v>438</v>
      </c>
    </row>
    <row r="12" spans="1:4">
      <c r="A12" s="197" t="s">
        <v>439</v>
      </c>
      <c r="B12" t="s">
        <v>440</v>
      </c>
      <c r="C12" t="s">
        <v>441</v>
      </c>
      <c r="D12" s="198" t="s">
        <v>442</v>
      </c>
    </row>
    <row r="13" spans="1:4" ht="15" thickBot="1">
      <c r="A13" s="194"/>
      <c r="B13" s="195" t="s">
        <v>443</v>
      </c>
      <c r="C13" s="195" t="s">
        <v>444</v>
      </c>
      <c r="D13" s="196" t="s">
        <v>445</v>
      </c>
    </row>
    <row r="14" spans="1:4">
      <c r="A14" s="191"/>
      <c r="B14" s="192" t="s">
        <v>446</v>
      </c>
      <c r="C14" s="192" t="s">
        <v>447</v>
      </c>
      <c r="D14" s="193" t="s">
        <v>448</v>
      </c>
    </row>
    <row r="15" spans="1:4">
      <c r="A15" s="197" t="s">
        <v>449</v>
      </c>
      <c r="B15" t="s">
        <v>450</v>
      </c>
      <c r="C15" t="s">
        <v>451</v>
      </c>
      <c r="D15" s="198" t="s">
        <v>452</v>
      </c>
    </row>
    <row r="16" spans="1:4" ht="15" thickBot="1">
      <c r="A16" s="194"/>
      <c r="B16" s="195" t="s">
        <v>453</v>
      </c>
      <c r="C16" s="195" t="s">
        <v>454</v>
      </c>
      <c r="D16" s="196" t="s">
        <v>455</v>
      </c>
    </row>
    <row r="17" spans="1:11">
      <c r="A17" s="191"/>
      <c r="B17" s="192" t="s">
        <v>456</v>
      </c>
      <c r="C17" s="192" t="s">
        <v>457</v>
      </c>
      <c r="D17" s="193" t="s">
        <v>458</v>
      </c>
      <c r="K17">
        <f>DEGREES(ATAN(1/20))</f>
        <v>2.8624052261117479</v>
      </c>
    </row>
    <row r="18" spans="1:11">
      <c r="A18" s="197" t="s">
        <v>459</v>
      </c>
      <c r="B18" t="s">
        <v>460</v>
      </c>
      <c r="C18" t="s">
        <v>461</v>
      </c>
      <c r="D18" s="198" t="s">
        <v>462</v>
      </c>
    </row>
    <row r="19" spans="1:11" ht="15" thickBot="1">
      <c r="A19" s="194"/>
      <c r="B19" s="195" t="s">
        <v>463</v>
      </c>
      <c r="C19" s="195" t="s">
        <v>464</v>
      </c>
      <c r="D19" s="196" t="s">
        <v>465</v>
      </c>
    </row>
    <row r="20" spans="1:11">
      <c r="A20" s="191"/>
      <c r="B20" s="192" t="s">
        <v>466</v>
      </c>
      <c r="C20" s="192" t="s">
        <v>467</v>
      </c>
      <c r="D20" s="193" t="s">
        <v>468</v>
      </c>
    </row>
    <row r="21" spans="1:11">
      <c r="A21" s="197" t="s">
        <v>469</v>
      </c>
      <c r="B21" t="s">
        <v>470</v>
      </c>
      <c r="C21" t="s">
        <v>471</v>
      </c>
      <c r="D21" s="198" t="s">
        <v>472</v>
      </c>
    </row>
    <row r="22" spans="1:11" ht="15" thickBot="1">
      <c r="A22" s="194"/>
      <c r="B22" s="195" t="s">
        <v>473</v>
      </c>
      <c r="C22" s="195" t="s">
        <v>474</v>
      </c>
      <c r="D22" s="196" t="s">
        <v>475</v>
      </c>
    </row>
    <row r="24" spans="1:11">
      <c r="A24" t="s">
        <v>476</v>
      </c>
    </row>
    <row r="25" spans="1:11">
      <c r="A25" t="s">
        <v>186</v>
      </c>
    </row>
    <row r="26" spans="1:11">
      <c r="A26" t="s">
        <v>187</v>
      </c>
    </row>
    <row r="27" spans="1:11">
      <c r="A27" t="s">
        <v>477</v>
      </c>
    </row>
    <row r="28" spans="1:11">
      <c r="A28" t="s">
        <v>478</v>
      </c>
    </row>
    <row r="29" spans="1:11">
      <c r="A29" t="s">
        <v>479</v>
      </c>
    </row>
    <row r="30" spans="1:11">
      <c r="A30" t="s">
        <v>480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R123"/>
  <sheetViews>
    <sheetView zoomScale="70" zoomScaleNormal="70" workbookViewId="0">
      <selection activeCell="U16" sqref="U16"/>
    </sheetView>
  </sheetViews>
  <sheetFormatPr defaultColWidth="9.125" defaultRowHeight="14.25"/>
  <cols>
    <col min="1" max="1" width="13" customWidth="1"/>
    <col min="2" max="2" width="11.125" customWidth="1"/>
  </cols>
  <sheetData>
    <row r="2" spans="1:5" ht="45">
      <c r="A2" s="187" t="s">
        <v>382</v>
      </c>
    </row>
    <row r="4" spans="1:5">
      <c r="A4" s="186" t="s">
        <v>383</v>
      </c>
    </row>
    <row r="5" spans="1:5">
      <c r="B5" s="458"/>
      <c r="C5" s="458"/>
      <c r="D5" s="458"/>
      <c r="E5" s="458"/>
    </row>
    <row r="6" spans="1:5">
      <c r="A6" s="301" t="s">
        <v>384</v>
      </c>
      <c r="B6" s="301">
        <v>1.5</v>
      </c>
      <c r="C6" s="301">
        <v>3</v>
      </c>
      <c r="D6" s="301">
        <v>5</v>
      </c>
      <c r="E6" s="301">
        <v>7</v>
      </c>
    </row>
    <row r="7" spans="1:5">
      <c r="A7" s="301">
        <v>0</v>
      </c>
      <c r="B7" s="301">
        <v>2</v>
      </c>
      <c r="C7" s="301">
        <v>2</v>
      </c>
      <c r="D7" s="301">
        <v>2</v>
      </c>
      <c r="E7" s="301">
        <v>2</v>
      </c>
    </row>
    <row r="8" spans="1:5">
      <c r="A8" s="301">
        <v>0.3</v>
      </c>
      <c r="B8" s="301">
        <v>2.0099999999999998</v>
      </c>
      <c r="C8" s="301">
        <v>2.0099999999999998</v>
      </c>
      <c r="D8" s="301">
        <v>2.0099999999999998</v>
      </c>
      <c r="E8" s="301">
        <v>2.0099999999999998</v>
      </c>
    </row>
    <row r="9" spans="1:5">
      <c r="A9" s="301">
        <v>0.4</v>
      </c>
      <c r="B9" s="301">
        <v>2.02</v>
      </c>
      <c r="C9" s="301">
        <v>2.02</v>
      </c>
      <c r="D9" s="301">
        <v>2.02</v>
      </c>
      <c r="E9" s="301">
        <v>2.02</v>
      </c>
    </row>
    <row r="10" spans="1:5">
      <c r="A10" s="301">
        <v>0.5</v>
      </c>
      <c r="B10" s="301">
        <v>2.0299999999999998</v>
      </c>
      <c r="C10" s="301">
        <v>2.0299999999999998</v>
      </c>
      <c r="D10" s="301">
        <v>2.0299999999999998</v>
      </c>
      <c r="E10" s="301">
        <v>2.0299999999999998</v>
      </c>
    </row>
    <row r="11" spans="1:5">
      <c r="A11" s="301">
        <v>0.6</v>
      </c>
      <c r="B11" s="301">
        <v>2.0499999999999998</v>
      </c>
      <c r="C11" s="301">
        <v>2.0499999999999998</v>
      </c>
      <c r="D11" s="301">
        <v>2.0499999999999998</v>
      </c>
      <c r="E11" s="301">
        <v>2.0499999999999998</v>
      </c>
    </row>
    <row r="12" spans="1:5">
      <c r="A12" s="301">
        <v>0.7</v>
      </c>
      <c r="B12" s="301">
        <v>2.06</v>
      </c>
      <c r="C12" s="301">
        <v>2.06</v>
      </c>
      <c r="D12" s="301">
        <v>2.06</v>
      </c>
      <c r="E12" s="301">
        <v>2.06</v>
      </c>
    </row>
    <row r="13" spans="1:5">
      <c r="A13" s="301">
        <v>0.8</v>
      </c>
      <c r="B13" s="301">
        <v>2.1</v>
      </c>
      <c r="C13" s="301">
        <v>2.1</v>
      </c>
      <c r="D13" s="301">
        <v>2.1</v>
      </c>
      <c r="E13" s="301">
        <v>2.1</v>
      </c>
    </row>
    <row r="14" spans="1:5">
      <c r="A14" s="301">
        <v>0.9</v>
      </c>
      <c r="B14" s="301">
        <v>2.16</v>
      </c>
      <c r="C14" s="301">
        <v>2.16</v>
      </c>
      <c r="D14" s="301">
        <v>2.16</v>
      </c>
      <c r="E14" s="301">
        <v>2.16</v>
      </c>
    </row>
    <row r="15" spans="1:5">
      <c r="A15" s="301">
        <v>1</v>
      </c>
      <c r="B15" s="301">
        <v>2.2999999999999998</v>
      </c>
      <c r="C15" s="301">
        <v>2.2999999999999998</v>
      </c>
      <c r="D15" s="301">
        <v>2.2999999999999998</v>
      </c>
      <c r="E15" s="301">
        <v>2.2999999999999998</v>
      </c>
    </row>
    <row r="16" spans="1:5">
      <c r="A16" s="301">
        <v>1.05</v>
      </c>
      <c r="B16" s="301">
        <v>2.36</v>
      </c>
      <c r="C16" s="301">
        <v>2.36</v>
      </c>
      <c r="D16" s="301">
        <v>2.36</v>
      </c>
      <c r="E16" s="301">
        <v>2.36</v>
      </c>
    </row>
    <row r="17" spans="1:5">
      <c r="A17" s="301">
        <v>1.1000000000000001</v>
      </c>
      <c r="B17" s="301">
        <v>2.4</v>
      </c>
      <c r="C17" s="301">
        <v>2.4</v>
      </c>
      <c r="D17" s="301">
        <v>2.4</v>
      </c>
      <c r="E17" s="301">
        <v>2.4</v>
      </c>
    </row>
    <row r="18" spans="1:5">
      <c r="A18" s="301">
        <v>1.1499999999999999</v>
      </c>
      <c r="B18" s="301">
        <v>2.38</v>
      </c>
      <c r="C18" s="301">
        <v>2.37</v>
      </c>
      <c r="D18" s="301">
        <v>2.37</v>
      </c>
      <c r="E18" s="301">
        <v>2.38</v>
      </c>
    </row>
    <row r="19" spans="1:5">
      <c r="A19" s="301">
        <v>1.2</v>
      </c>
      <c r="B19" s="301">
        <v>2.37</v>
      </c>
      <c r="C19" s="301">
        <v>2.3199999999999998</v>
      </c>
      <c r="D19" s="301">
        <v>2.2999999999999998</v>
      </c>
      <c r="E19" s="301">
        <v>2.2999999999999998</v>
      </c>
    </row>
    <row r="20" spans="1:5">
      <c r="A20" s="301">
        <v>1.3</v>
      </c>
      <c r="B20" s="301">
        <v>2.35</v>
      </c>
      <c r="C20" s="301">
        <v>2.27</v>
      </c>
      <c r="D20" s="301">
        <v>2.21</v>
      </c>
      <c r="E20" s="301">
        <v>2.21</v>
      </c>
    </row>
    <row r="21" spans="1:5">
      <c r="A21" s="301">
        <v>1.4</v>
      </c>
      <c r="B21" s="301">
        <v>2.35</v>
      </c>
      <c r="C21" s="301">
        <v>2.25</v>
      </c>
      <c r="D21" s="301">
        <v>2.16</v>
      </c>
      <c r="E21" s="301">
        <v>2.13</v>
      </c>
    </row>
    <row r="22" spans="1:5">
      <c r="A22" s="301">
        <v>1.5</v>
      </c>
      <c r="B22" s="301">
        <v>2.35</v>
      </c>
      <c r="C22" s="301">
        <v>2.2400000000000002</v>
      </c>
      <c r="D22" s="301">
        <v>2.12</v>
      </c>
      <c r="E22" s="301">
        <v>2.08</v>
      </c>
    </row>
    <row r="23" spans="1:5">
      <c r="A23" s="301">
        <v>1.75</v>
      </c>
      <c r="B23" s="301">
        <v>2.37</v>
      </c>
      <c r="C23" s="301">
        <v>2.2599999999999998</v>
      </c>
      <c r="D23" s="301">
        <v>2.08</v>
      </c>
      <c r="E23" s="301">
        <v>2.0299999999999998</v>
      </c>
    </row>
    <row r="24" spans="1:5">
      <c r="A24" s="301">
        <v>2</v>
      </c>
      <c r="B24" s="301">
        <v>2.4</v>
      </c>
      <c r="C24" s="301">
        <v>2.31</v>
      </c>
      <c r="D24" s="301">
        <v>2.08</v>
      </c>
      <c r="E24" s="301">
        <v>2.0099999999999998</v>
      </c>
    </row>
    <row r="25" spans="1:5">
      <c r="A25" s="301">
        <v>2.25</v>
      </c>
      <c r="B25" s="301">
        <v>2.42</v>
      </c>
      <c r="C25" s="301">
        <v>2.36</v>
      </c>
      <c r="D25" s="301">
        <v>2.12</v>
      </c>
      <c r="E25" s="301">
        <v>2.0299999999999998</v>
      </c>
    </row>
    <row r="26" spans="1:5">
      <c r="A26" s="301">
        <v>2.5</v>
      </c>
      <c r="B26" s="301">
        <v>2.4500000000000002</v>
      </c>
      <c r="C26" s="301">
        <v>2.4</v>
      </c>
      <c r="D26" s="301">
        <v>2.15</v>
      </c>
      <c r="E26" s="301">
        <v>2.06</v>
      </c>
    </row>
    <row r="27" spans="1:5">
      <c r="A27" s="301">
        <v>3</v>
      </c>
      <c r="B27" s="301">
        <v>2.48</v>
      </c>
      <c r="C27" s="301">
        <v>2.4900000000000002</v>
      </c>
      <c r="D27" s="301">
        <v>2.2200000000000002</v>
      </c>
      <c r="E27" s="301">
        <v>2.1</v>
      </c>
    </row>
    <row r="28" spans="1:5">
      <c r="A28" s="301">
        <v>3.5</v>
      </c>
      <c r="B28" s="301">
        <v>2.5099999999999998</v>
      </c>
      <c r="C28" s="301">
        <v>2.57</v>
      </c>
      <c r="D28" s="301">
        <v>2.2799999999999998</v>
      </c>
      <c r="E28" s="301">
        <v>2.14</v>
      </c>
    </row>
    <row r="29" spans="1:5">
      <c r="A29" s="301">
        <v>4</v>
      </c>
      <c r="B29" s="301">
        <v>2.5299999999999998</v>
      </c>
      <c r="C29" s="301">
        <v>2.63</v>
      </c>
      <c r="D29" s="301">
        <v>2.34</v>
      </c>
      <c r="E29" s="301">
        <v>2.1800000000000002</v>
      </c>
    </row>
    <row r="30" spans="1:5">
      <c r="A30" s="301">
        <v>4.5</v>
      </c>
      <c r="B30" s="301">
        <v>2.56</v>
      </c>
      <c r="C30" s="301">
        <v>2.67</v>
      </c>
      <c r="D30" s="301">
        <v>2.39</v>
      </c>
      <c r="E30" s="301">
        <v>2.21</v>
      </c>
    </row>
    <row r="31" spans="1:5">
      <c r="A31" s="301">
        <v>5</v>
      </c>
      <c r="B31" s="301">
        <v>2.57</v>
      </c>
      <c r="C31" s="301">
        <v>2.7</v>
      </c>
      <c r="D31" s="301">
        <v>2.4300000000000002</v>
      </c>
      <c r="E31" s="301">
        <v>2.2400000000000002</v>
      </c>
    </row>
    <row r="33" spans="1:7">
      <c r="A33" s="302" t="s">
        <v>549</v>
      </c>
      <c r="B33" s="301"/>
      <c r="C33" s="301"/>
      <c r="D33" s="301"/>
      <c r="E33" s="301"/>
      <c r="F33" s="301"/>
      <c r="G33" s="301"/>
    </row>
    <row r="34" spans="1:7">
      <c r="A34" s="301"/>
      <c r="B34" s="301" t="s">
        <v>385</v>
      </c>
      <c r="C34" s="301"/>
      <c r="D34" s="301"/>
      <c r="E34" s="301"/>
      <c r="F34" s="301"/>
      <c r="G34" s="301"/>
    </row>
    <row r="35" spans="1:7">
      <c r="A35" s="301" t="s">
        <v>384</v>
      </c>
      <c r="B35" s="301">
        <v>1.5</v>
      </c>
      <c r="C35" s="301">
        <v>2</v>
      </c>
      <c r="D35" s="301">
        <v>3</v>
      </c>
      <c r="E35" s="301">
        <v>5</v>
      </c>
      <c r="F35" s="301">
        <v>6</v>
      </c>
      <c r="G35" s="301">
        <v>7</v>
      </c>
    </row>
    <row r="36" spans="1:7">
      <c r="A36" s="301">
        <v>0</v>
      </c>
      <c r="B36" s="301">
        <v>0.46600000000000003</v>
      </c>
      <c r="C36" s="301">
        <v>0.46600000000000003</v>
      </c>
      <c r="D36" s="301">
        <v>0.46600000000000003</v>
      </c>
      <c r="E36" s="301">
        <v>0.46600000000000003</v>
      </c>
      <c r="F36" s="301">
        <v>0.46600000000000003</v>
      </c>
      <c r="G36" s="301">
        <v>0.46600000000000003</v>
      </c>
    </row>
    <row r="37" spans="1:7">
      <c r="A37" s="301">
        <v>1</v>
      </c>
      <c r="B37" s="301">
        <v>0.46600000000000003</v>
      </c>
      <c r="C37" s="301">
        <v>0.46600000000000003</v>
      </c>
      <c r="D37" s="301">
        <v>0.46600000000000003</v>
      </c>
      <c r="E37" s="301">
        <v>0.46600000000000003</v>
      </c>
      <c r="F37" s="301">
        <v>0.46600000000000003</v>
      </c>
      <c r="G37" s="301">
        <v>0.46600000000000003</v>
      </c>
    </row>
    <row r="38" spans="1:7">
      <c r="A38" s="301">
        <v>2</v>
      </c>
      <c r="B38" s="301">
        <v>0.75</v>
      </c>
      <c r="C38" s="301">
        <v>1.02</v>
      </c>
      <c r="D38" s="301">
        <v>1.59</v>
      </c>
      <c r="E38" s="301">
        <v>2.1</v>
      </c>
      <c r="F38" s="301">
        <v>3.02</v>
      </c>
      <c r="G38" s="301">
        <v>3.35</v>
      </c>
    </row>
    <row r="39" spans="1:7">
      <c r="A39" s="301">
        <v>3</v>
      </c>
      <c r="B39" s="301">
        <v>0.93</v>
      </c>
      <c r="C39" s="301">
        <v>1.25</v>
      </c>
      <c r="D39" s="301">
        <v>1.84</v>
      </c>
      <c r="E39" s="301">
        <v>2.4</v>
      </c>
      <c r="F39" s="301">
        <v>3.23</v>
      </c>
      <c r="G39" s="301">
        <v>3.43</v>
      </c>
    </row>
    <row r="40" spans="1:7">
      <c r="A40" s="301">
        <v>4</v>
      </c>
      <c r="B40" s="301">
        <v>1.2</v>
      </c>
      <c r="C40" s="301">
        <v>1.52</v>
      </c>
      <c r="D40" s="301">
        <v>2.08</v>
      </c>
      <c r="E40" s="301">
        <v>2.6</v>
      </c>
      <c r="F40" s="301">
        <v>3.43</v>
      </c>
      <c r="G40" s="301">
        <v>3.74</v>
      </c>
    </row>
    <row r="41" spans="1:7">
      <c r="A41" s="301">
        <v>5</v>
      </c>
      <c r="B41" s="301">
        <v>1.35</v>
      </c>
      <c r="C41" s="301">
        <v>1.62</v>
      </c>
      <c r="D41" s="301">
        <v>2.12</v>
      </c>
      <c r="E41" s="301">
        <v>2.6</v>
      </c>
      <c r="F41" s="301">
        <v>3.43</v>
      </c>
      <c r="G41" s="301">
        <v>3.74</v>
      </c>
    </row>
    <row r="43" spans="1:7">
      <c r="A43" t="s">
        <v>541</v>
      </c>
      <c r="B43">
        <f>B35</f>
        <v>1.5</v>
      </c>
      <c r="C43" t="s">
        <v>386</v>
      </c>
      <c r="D43" t="s">
        <v>543</v>
      </c>
    </row>
    <row r="44" spans="1:7">
      <c r="A44" s="300" t="s">
        <v>542</v>
      </c>
      <c r="B44" s="300">
        <f>1.5*B45</f>
        <v>12</v>
      </c>
      <c r="C44" s="300" t="s">
        <v>196</v>
      </c>
      <c r="D44" t="s">
        <v>544</v>
      </c>
      <c r="E44">
        <f>B45*10</f>
        <v>80</v>
      </c>
      <c r="F44" t="s">
        <v>196</v>
      </c>
    </row>
    <row r="45" spans="1:7">
      <c r="A45" s="300" t="s">
        <v>546</v>
      </c>
      <c r="B45" s="300">
        <v>8</v>
      </c>
      <c r="C45" s="300" t="s">
        <v>196</v>
      </c>
      <c r="D45" t="s">
        <v>545</v>
      </c>
    </row>
    <row r="48" spans="1:7" ht="30">
      <c r="A48" s="187" t="s">
        <v>387</v>
      </c>
    </row>
    <row r="56" spans="1:4">
      <c r="A56" s="301" t="s">
        <v>388</v>
      </c>
      <c r="B56" s="301"/>
      <c r="C56" s="301"/>
      <c r="D56" s="301"/>
    </row>
    <row r="57" spans="1:4">
      <c r="A57" s="301" t="s">
        <v>84</v>
      </c>
      <c r="B57" s="301" t="s">
        <v>389</v>
      </c>
      <c r="C57" s="301" t="s">
        <v>390</v>
      </c>
      <c r="D57" s="301" t="s">
        <v>558</v>
      </c>
    </row>
    <row r="58" spans="1:4">
      <c r="A58" s="301">
        <v>0</v>
      </c>
      <c r="B58" s="301">
        <v>0</v>
      </c>
      <c r="C58" s="303">
        <v>1E-3</v>
      </c>
      <c r="D58" s="304">
        <f>(C58-C58)/C58</f>
        <v>0</v>
      </c>
    </row>
    <row r="59" spans="1:4">
      <c r="A59" s="301">
        <v>5</v>
      </c>
      <c r="B59" s="301">
        <v>5.0000000000000001E-3</v>
      </c>
      <c r="C59" s="303">
        <f t="shared" ref="C59:C64" si="0">(B59-B58)/(A59)</f>
        <v>1E-3</v>
      </c>
      <c r="D59" s="304">
        <f>(C59-C58)/C58</f>
        <v>0</v>
      </c>
    </row>
    <row r="60" spans="1:4">
      <c r="A60" s="301">
        <v>10</v>
      </c>
      <c r="B60" s="301">
        <v>1.4999999999999999E-2</v>
      </c>
      <c r="C60" s="303">
        <f t="shared" si="0"/>
        <v>9.999999999999998E-4</v>
      </c>
      <c r="D60" s="304">
        <f t="shared" ref="D60:D64" si="1">(C60-C59)/C59</f>
        <v>-2.1684043449710089E-16</v>
      </c>
    </row>
    <row r="61" spans="1:4">
      <c r="A61" s="301">
        <v>15</v>
      </c>
      <c r="B61" s="301">
        <v>3.5000000000000003E-2</v>
      </c>
      <c r="C61" s="303">
        <f t="shared" si="0"/>
        <v>1.3333333333333335E-3</v>
      </c>
      <c r="D61" s="304">
        <f>(C61-C60)/C60</f>
        <v>0.33333333333333376</v>
      </c>
    </row>
    <row r="62" spans="1:4">
      <c r="A62" s="301">
        <v>20</v>
      </c>
      <c r="B62" s="301">
        <v>6.5000000000000002E-2</v>
      </c>
      <c r="C62" s="303">
        <f t="shared" si="0"/>
        <v>1.5E-3</v>
      </c>
      <c r="D62" s="304">
        <f t="shared" si="1"/>
        <v>0.12499999999999988</v>
      </c>
    </row>
    <row r="63" spans="1:4">
      <c r="A63" s="301">
        <v>25</v>
      </c>
      <c r="B63" s="301">
        <v>0.11</v>
      </c>
      <c r="C63" s="303">
        <f t="shared" si="0"/>
        <v>1.8E-3</v>
      </c>
      <c r="D63" s="304">
        <f t="shared" si="1"/>
        <v>0.19999999999999996</v>
      </c>
    </row>
    <row r="64" spans="1:4">
      <c r="A64" s="301">
        <v>30</v>
      </c>
      <c r="B64" s="301">
        <v>0.17499999999999999</v>
      </c>
      <c r="C64" s="303">
        <f t="shared" si="0"/>
        <v>2.1666666666666661E-3</v>
      </c>
      <c r="D64" s="304">
        <f t="shared" si="1"/>
        <v>0.20370370370370344</v>
      </c>
    </row>
    <row r="65" spans="1:14">
      <c r="A65" s="301"/>
      <c r="B65" s="301" t="s">
        <v>391</v>
      </c>
      <c r="C65" s="303">
        <f>AVERAGE(C58:C64)</f>
        <v>1.3999999999999998E-3</v>
      </c>
      <c r="D65" s="301"/>
    </row>
    <row r="67" spans="1:14">
      <c r="A67" s="301" t="s">
        <v>392</v>
      </c>
      <c r="B67" s="301"/>
    </row>
    <row r="68" spans="1:14">
      <c r="A68" s="301" t="s">
        <v>393</v>
      </c>
      <c r="B68" s="301" t="s">
        <v>394</v>
      </c>
    </row>
    <row r="69" spans="1:14">
      <c r="A69" s="301">
        <v>0</v>
      </c>
      <c r="B69" s="301">
        <v>6.3E-2</v>
      </c>
    </row>
    <row r="70" spans="1:14">
      <c r="A70" s="301">
        <v>0.5</v>
      </c>
      <c r="B70" s="301">
        <v>6.8000000000000005E-2</v>
      </c>
    </row>
    <row r="71" spans="1:14">
      <c r="A71" s="301">
        <v>0.7</v>
      </c>
      <c r="B71" s="301">
        <v>6.9000000000000006E-2</v>
      </c>
      <c r="M71" t="s">
        <v>573</v>
      </c>
      <c r="N71">
        <v>0.85</v>
      </c>
    </row>
    <row r="72" spans="1:14">
      <c r="A72" s="301">
        <v>0.8</v>
      </c>
      <c r="B72" s="301">
        <v>6.9000000000000006E-2</v>
      </c>
      <c r="M72" t="s">
        <v>390</v>
      </c>
      <c r="N72">
        <f>VLOOKUP(N71,A69:B81,2,TRUE)</f>
        <v>6.9000000000000006E-2</v>
      </c>
    </row>
    <row r="73" spans="1:14">
      <c r="A73" s="301">
        <v>0.9</v>
      </c>
      <c r="B73" s="301">
        <v>6.7000000000000004E-2</v>
      </c>
    </row>
    <row r="74" spans="1:14">
      <c r="A74" s="301">
        <v>1</v>
      </c>
      <c r="B74" s="301">
        <v>6.6000000000000003E-2</v>
      </c>
    </row>
    <row r="75" spans="1:14">
      <c r="A75" s="301">
        <v>1.2</v>
      </c>
      <c r="B75" s="301">
        <v>6.3E-2</v>
      </c>
    </row>
    <row r="76" spans="1:14">
      <c r="A76" s="301">
        <v>1.5</v>
      </c>
      <c r="B76" s="301">
        <v>5.7000000000000002E-2</v>
      </c>
    </row>
    <row r="77" spans="1:14">
      <c r="A77" s="301">
        <v>2</v>
      </c>
      <c r="B77" s="301">
        <v>0.06</v>
      </c>
    </row>
    <row r="78" spans="1:14">
      <c r="A78" s="301">
        <v>2.5</v>
      </c>
      <c r="B78" s="301">
        <v>6.6000000000000003E-2</v>
      </c>
    </row>
    <row r="79" spans="1:14">
      <c r="A79" s="301">
        <v>3</v>
      </c>
      <c r="B79" s="301">
        <v>7.6999999999999999E-2</v>
      </c>
    </row>
    <row r="80" spans="1:14">
      <c r="A80" s="301">
        <v>3.5</v>
      </c>
      <c r="B80" s="301">
        <v>9.1999999999999998E-2</v>
      </c>
    </row>
    <row r="81" spans="1:4">
      <c r="A81" s="301">
        <v>4</v>
      </c>
      <c r="B81" s="301">
        <v>0.115</v>
      </c>
    </row>
    <row r="83" spans="1:4">
      <c r="A83" t="s">
        <v>395</v>
      </c>
      <c r="B83" t="s">
        <v>396</v>
      </c>
    </row>
    <row r="85" spans="1:4">
      <c r="D85" t="s">
        <v>547</v>
      </c>
    </row>
    <row r="87" spans="1:4">
      <c r="A87" t="s">
        <v>397</v>
      </c>
      <c r="B87" t="s">
        <v>398</v>
      </c>
    </row>
    <row r="88" spans="1:4">
      <c r="A88" t="s">
        <v>399</v>
      </c>
      <c r="B88" t="s">
        <v>400</v>
      </c>
    </row>
    <row r="89" spans="1:4">
      <c r="A89" t="s">
        <v>401</v>
      </c>
      <c r="B89" t="s">
        <v>402</v>
      </c>
    </row>
    <row r="90" spans="1:4">
      <c r="A90" t="s">
        <v>403</v>
      </c>
      <c r="B90" t="s">
        <v>404</v>
      </c>
    </row>
    <row r="98" spans="1:10">
      <c r="A98" t="s">
        <v>548</v>
      </c>
    </row>
    <row r="103" spans="1:10">
      <c r="A103" t="s">
        <v>550</v>
      </c>
    </row>
    <row r="105" spans="1:10">
      <c r="I105" t="s">
        <v>551</v>
      </c>
    </row>
    <row r="111" spans="1:10">
      <c r="J111" t="s">
        <v>552</v>
      </c>
    </row>
    <row r="112" spans="1:10" ht="15">
      <c r="J112" t="s">
        <v>553</v>
      </c>
    </row>
    <row r="114" spans="1:18">
      <c r="J114" t="s">
        <v>554</v>
      </c>
    </row>
    <row r="115" spans="1:18">
      <c r="J115" t="s">
        <v>555</v>
      </c>
    </row>
    <row r="117" spans="1:18">
      <c r="R117" t="s">
        <v>557</v>
      </c>
    </row>
    <row r="123" spans="1:18">
      <c r="A123" t="s">
        <v>556</v>
      </c>
    </row>
  </sheetData>
  <mergeCells count="1">
    <mergeCell ref="B5:E5"/>
  </mergeCells>
  <pageMargins left="0.7" right="0.7" top="0.75" bottom="0.75" header="0.3" footer="0.3"/>
  <pageSetup orientation="portrait" r:id="rId1"/>
  <customProperties>
    <customPr name="DynardoMOPSolver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"/>
  <sheetViews>
    <sheetView workbookViewId="0"/>
  </sheetViews>
  <sheetFormatPr defaultColWidth="9.125"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"/>
  <sheetViews>
    <sheetView workbookViewId="0"/>
  </sheetViews>
  <sheetFormatPr defaultColWidth="9.125"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"/>
  <sheetViews>
    <sheetView workbookViewId="0">
      <selection activeCell="K28" sqref="K28"/>
    </sheetView>
  </sheetViews>
  <sheetFormatPr defaultColWidth="9.125"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"/>
  <sheetViews>
    <sheetView workbookViewId="0">
      <selection activeCell="O22" sqref="O22"/>
    </sheetView>
  </sheetViews>
  <sheetFormatPr defaultColWidth="9.125"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6C8A108E61840AFB84A4598B73E55" ma:contentTypeVersion="13" ma:contentTypeDescription="Create a new document." ma:contentTypeScope="" ma:versionID="b1d8d0092a91b491fa162699921cd7b6">
  <xsd:schema xmlns:xsd="http://www.w3.org/2001/XMLSchema" xmlns:xs="http://www.w3.org/2001/XMLSchema" xmlns:p="http://schemas.microsoft.com/office/2006/metadata/properties" xmlns:ns2="f5cf7016-d570-4e66-bed5-9c66354e4d60" xmlns:ns3="d7929c02-2ff7-4e2f-b3f4-5d7437463a37" targetNamespace="http://schemas.microsoft.com/office/2006/metadata/properties" ma:root="true" ma:fieldsID="dc769dae83c42ca581dc5110a4ef7ce3" ns2:_="" ns3:_="">
    <xsd:import namespace="f5cf7016-d570-4e66-bed5-9c66354e4d60"/>
    <xsd:import namespace="d7929c02-2ff7-4e2f-b3f4-5d7437463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f7016-d570-4e66-bed5-9c66354e4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29c02-2ff7-4e2f-b3f4-5d7437463a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7f79f0-00bf-4ada-a9c4-09416d341803}" ma:internalName="TaxCatchAll" ma:showField="CatchAllData" ma:web="d7929c02-2ff7-4e2f-b3f4-5d7437463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29c02-2ff7-4e2f-b3f4-5d7437463a37" xsi:nil="true"/>
    <lcf76f155ced4ddcb4097134ff3c332f xmlns="f5cf7016-d570-4e66-bed5-9c66354e4d6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TZZHJOP2CWSL3XUZNNHKHVGU4KCQQGAX:ms-officescript%3A%2F%2Fonedrive_business_sharinglink%2Fu!aHR0cHM6Ly91YW5sZWR1LW15LnNoYXJlcG9pbnQuY29tLzp1Oi9nL3BlcnNvbmFsL2p1YW5fdmFsYWRlem9fdWFubF9lZHVfbXgvRWZvVnBMM2VtV3RPbzlUVTRvVUlHQmNCRlJyQnlnX2V0OW1LWVd3VTNFU3NaUQ"/>
</scriptIds>
</file>

<file path=customXml/itemProps1.xml><?xml version="1.0" encoding="utf-8"?>
<ds:datastoreItem xmlns:ds="http://schemas.openxmlformats.org/officeDocument/2006/customXml" ds:itemID="{B0BA7C14-35B6-43AC-B57B-4A5107295D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cf7016-d570-4e66-bed5-9c66354e4d60"/>
    <ds:schemaRef ds:uri="d7929c02-2ff7-4e2f-b3f4-5d7437463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2FDC09-86A2-4A8D-9C5A-BD852817852F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f5cf7016-d570-4e66-bed5-9c66354e4d60"/>
    <ds:schemaRef ds:uri="http://schemas.microsoft.com/office/2006/documentManagement/types"/>
    <ds:schemaRef ds:uri="http://schemas.openxmlformats.org/package/2006/metadata/core-properties"/>
    <ds:schemaRef ds:uri="d7929c02-2ff7-4e2f-b3f4-5d7437463a37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45C14D-6BDC-44A0-B15C-89E893AF066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15861E-CBEF-4CC0-85FE-9F52CCE55DFF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17</vt:i4>
      </vt:variant>
    </vt:vector>
  </HeadingPairs>
  <TitlesOfParts>
    <vt:vector size="32" baseType="lpstr">
      <vt:lpstr>Manual rev.1</vt:lpstr>
      <vt:lpstr>Statistics</vt:lpstr>
      <vt:lpstr>Geometry</vt:lpstr>
      <vt:lpstr>Forces balance</vt:lpstr>
      <vt:lpstr>SimpleComposites</vt:lpstr>
      <vt:lpstr>FinAeroDesign 2.0</vt:lpstr>
      <vt:lpstr>RocketAeroDesign 3.0 </vt:lpstr>
      <vt:lpstr>CFD test1</vt:lpstr>
      <vt:lpstr>Future CFD forebody</vt:lpstr>
      <vt:lpstr>Stability</vt:lpstr>
      <vt:lpstr>RocketData</vt:lpstr>
      <vt:lpstr>CFD fuselage</vt:lpstr>
      <vt:lpstr>CFD boat-tail</vt:lpstr>
      <vt:lpstr>CFD rocket</vt:lpstr>
      <vt:lpstr>OpenRocket</vt:lpstr>
      <vt:lpstr>'RocketAeroDesign 3.0 '!Airflow</vt:lpstr>
      <vt:lpstr>Airflow</vt:lpstr>
      <vt:lpstr>'RocketAeroDesign 3.0 '!AoAfins</vt:lpstr>
      <vt:lpstr>AoAfins</vt:lpstr>
      <vt:lpstr>'RocketAeroDesign 3.0 '!AoSfins</vt:lpstr>
      <vt:lpstr>AoSfins</vt:lpstr>
      <vt:lpstr>CrossSecAreaRocket</vt:lpstr>
      <vt:lpstr>DiameterRocket</vt:lpstr>
      <vt:lpstr>LargeOgive</vt:lpstr>
      <vt:lpstr>LengthRocket</vt:lpstr>
      <vt:lpstr>Rogive</vt:lpstr>
      <vt:lpstr>Sbending</vt:lpstr>
      <vt:lpstr>ScuComp</vt:lpstr>
      <vt:lpstr>ScyComp</vt:lpstr>
      <vt:lpstr>SsyComp</vt:lpstr>
      <vt:lpstr>StyComp</vt:lpstr>
      <vt:lpstr>tubeZ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Valadez Ortiz</cp:lastModifiedBy>
  <cp:revision/>
  <cp:lastPrinted>2025-09-23T15:38:59Z</cp:lastPrinted>
  <dcterms:created xsi:type="dcterms:W3CDTF">2024-07-02T19:27:32Z</dcterms:created>
  <dcterms:modified xsi:type="dcterms:W3CDTF">2025-09-24T16:15:03Z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0x0101006416C8A108E61840AFB84A4598B73E55</vt:lpwstr>
  </property>
  <property fmtid="{D5CDD505-2E9C-101B-9397-08002B2CF9AE}" pid="3" name="MediaServiceImageTags">
    <vt:lpwstr/>
  </property>
</Properties>
</file>