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ustomProperty5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ustomProperty6.bin" ContentType="application/vnd.openxmlformats-officedocument.spreadsheetml.customProperty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6D002F19-3AA7-4092-A2AB-C70E36F9BAC0}" xr6:coauthVersionLast="47" xr6:coauthVersionMax="47" xr10:uidLastSave="{00000000-0000-0000-0000-000000000000}"/>
  <bookViews>
    <workbookView xWindow="28680" yWindow="1770" windowWidth="29040" windowHeight="15720" tabRatio="864" firstSheet="1" activeTab="5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FinAeroDesign 2.0" sheetId="17" r:id="rId5"/>
    <sheet name="RocketAeroDesign 3.0 " sheetId="24" r:id="rId6"/>
    <sheet name="FBAeroDesign" sheetId="23" r:id="rId7"/>
    <sheet name="RocketData" sheetId="14" r:id="rId8"/>
    <sheet name="CFD fins" sheetId="22" r:id="rId9"/>
    <sheet name="CFD forebody" sheetId="9" r:id="rId10"/>
    <sheet name="Future CFD forebody" sheetId="21" r:id="rId11"/>
    <sheet name="Stability" sheetId="19" r:id="rId12"/>
    <sheet name="CFD fuselage" sheetId="10" state="hidden" r:id="rId13"/>
    <sheet name="CFD boat-tail" sheetId="11" state="hidden" r:id="rId14"/>
    <sheet name="CFD rocket" sheetId="12" state="hidden" r:id="rId15"/>
    <sheet name="OpenRocket" sheetId="6" state="hidden" r:id="rId16"/>
  </sheets>
  <definedNames>
    <definedName name="_xlnm._FilterDatabase" localSheetId="1" hidden="1">Statistics!$A$1:$E$8</definedName>
    <definedName name="Airflow" localSheetId="6">FBAeroDesign!$B$2</definedName>
    <definedName name="Airflow" localSheetId="5">'RocketAeroDesign 3.0 '!$B$2</definedName>
    <definedName name="Airflow">'FinAeroDesign 2.0'!$B$2</definedName>
    <definedName name="AoAfins" localSheetId="6">FBAeroDesign!$B$11</definedName>
    <definedName name="AoAfins" localSheetId="5">'RocketAeroDesign 3.0 '!$B$13</definedName>
    <definedName name="AoAfins">'FinAeroDesign 2.0'!$B$9</definedName>
    <definedName name="AoSfins" localSheetId="6">FBAeroDesign!$B$12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43" i="24" l="1"/>
  <c r="B303" i="24"/>
  <c r="B271" i="24"/>
  <c r="B544" i="24" s="1"/>
  <c r="B545" i="24" s="1"/>
  <c r="B9" i="24" s="1"/>
  <c r="B17" i="24"/>
  <c r="B306" i="24"/>
  <c r="C15" i="24"/>
  <c r="D15" i="24"/>
  <c r="F15" i="24"/>
  <c r="G15" i="24"/>
  <c r="H15" i="24"/>
  <c r="I15" i="24"/>
  <c r="J15" i="24"/>
  <c r="K15" i="24"/>
  <c r="C16" i="24"/>
  <c r="D16" i="24"/>
  <c r="F16" i="24"/>
  <c r="G16" i="24"/>
  <c r="H16" i="24"/>
  <c r="I16" i="24"/>
  <c r="J16" i="24"/>
  <c r="K16" i="24"/>
  <c r="C21" i="24"/>
  <c r="C23" i="24" s="1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C39" i="24"/>
  <c r="C41" i="24" s="1"/>
  <c r="C4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C44" i="24"/>
  <c r="C111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C46" i="24"/>
  <c r="D46" i="24"/>
  <c r="F46" i="24"/>
  <c r="G46" i="24"/>
  <c r="H46" i="24"/>
  <c r="I46" i="24"/>
  <c r="J46" i="24"/>
  <c r="K46" i="24"/>
  <c r="C48" i="24"/>
  <c r="D48" i="24"/>
  <c r="F48" i="24"/>
  <c r="G48" i="24"/>
  <c r="H48" i="24"/>
  <c r="I48" i="24"/>
  <c r="J48" i="24"/>
  <c r="K48" i="24"/>
  <c r="C50" i="24"/>
  <c r="D50" i="24"/>
  <c r="F50" i="24"/>
  <c r="G50" i="24"/>
  <c r="H50" i="24"/>
  <c r="I50" i="24"/>
  <c r="J50" i="24"/>
  <c r="K50" i="24"/>
  <c r="C54" i="24"/>
  <c r="C60" i="24" s="1"/>
  <c r="C63" i="24" s="1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C61" i="24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C101" i="24"/>
  <c r="D101" i="24"/>
  <c r="F101" i="24"/>
  <c r="G101" i="24"/>
  <c r="H101" i="24"/>
  <c r="I101" i="24"/>
  <c r="J101" i="24"/>
  <c r="K101" i="24"/>
  <c r="C108" i="24"/>
  <c r="D108" i="24"/>
  <c r="F108" i="24"/>
  <c r="G108" i="24"/>
  <c r="H108" i="24"/>
  <c r="I108" i="24"/>
  <c r="J108" i="24"/>
  <c r="K108" i="24"/>
  <c r="C169" i="24"/>
  <c r="D169" i="24"/>
  <c r="F169" i="24"/>
  <c r="G169" i="24"/>
  <c r="H169" i="24"/>
  <c r="I169" i="24"/>
  <c r="J169" i="24"/>
  <c r="K169" i="24"/>
  <c r="C170" i="24"/>
  <c r="D170" i="24"/>
  <c r="F170" i="24"/>
  <c r="G170" i="24"/>
  <c r="H170" i="24"/>
  <c r="I170" i="24"/>
  <c r="J170" i="24"/>
  <c r="K170" i="24"/>
  <c r="C171" i="24"/>
  <c r="D171" i="24"/>
  <c r="F171" i="24"/>
  <c r="G171" i="24"/>
  <c r="H171" i="24"/>
  <c r="I171" i="24"/>
  <c r="J171" i="24"/>
  <c r="K171" i="24"/>
  <c r="C172" i="24"/>
  <c r="D172" i="24"/>
  <c r="F172" i="24"/>
  <c r="G172" i="24"/>
  <c r="H172" i="24"/>
  <c r="I172" i="24"/>
  <c r="J172" i="24"/>
  <c r="K172" i="24"/>
  <c r="C173" i="24"/>
  <c r="D173" i="24"/>
  <c r="F173" i="24"/>
  <c r="G173" i="24"/>
  <c r="H173" i="24"/>
  <c r="I173" i="24"/>
  <c r="J173" i="24"/>
  <c r="K173" i="24"/>
  <c r="B278" i="24"/>
  <c r="J19" i="24" l="1"/>
  <c r="J20" i="24" s="1"/>
  <c r="D40" i="24"/>
  <c r="D192" i="24" s="1"/>
  <c r="C40" i="24"/>
  <c r="C192" i="24" s="1"/>
  <c r="J23" i="24"/>
  <c r="I23" i="24"/>
  <c r="J22" i="24"/>
  <c r="G12" i="24"/>
  <c r="G2" i="24" s="1"/>
  <c r="G4" i="24" s="1"/>
  <c r="G22" i="24"/>
  <c r="G19" i="24"/>
  <c r="G20" i="24" s="1"/>
  <c r="G33" i="24" s="1"/>
  <c r="H23" i="24"/>
  <c r="H22" i="24"/>
  <c r="D23" i="24"/>
  <c r="D12" i="24"/>
  <c r="D2" i="24" s="1"/>
  <c r="D5" i="24" s="1"/>
  <c r="C12" i="24"/>
  <c r="C2" i="24" s="1"/>
  <c r="C11" i="24" s="1"/>
  <c r="F229" i="24"/>
  <c r="C168" i="24"/>
  <c r="F56" i="24"/>
  <c r="C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C51" i="24"/>
  <c r="C52" i="24" s="1"/>
  <c r="C55" i="24" s="1"/>
  <c r="C57" i="24" s="1"/>
  <c r="K40" i="24"/>
  <c r="K192" i="24" s="1"/>
  <c r="H229" i="24"/>
  <c r="G229" i="24"/>
  <c r="H56" i="24"/>
  <c r="J24" i="24"/>
  <c r="G5" i="24"/>
  <c r="I24" i="24"/>
  <c r="H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K244" i="24" s="1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C64" i="24"/>
  <c r="C75" i="24"/>
  <c r="F41" i="24"/>
  <c r="F42" i="24" s="1"/>
  <c r="F51" i="24"/>
  <c r="F52" i="24" s="1"/>
  <c r="F40" i="24"/>
  <c r="F192" i="24" s="1"/>
  <c r="J168" i="24"/>
  <c r="I168" i="24"/>
  <c r="H168" i="24"/>
  <c r="G168" i="24"/>
  <c r="J33" i="24"/>
  <c r="D19" i="24"/>
  <c r="D20" i="24" s="1"/>
  <c r="C22" i="24"/>
  <c r="C19" i="24"/>
  <c r="C20" i="24" s="1"/>
  <c r="G24" i="24"/>
  <c r="C229" i="24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9"/>
  <c r="G3" i="9" s="1"/>
  <c r="G2" i="22"/>
  <c r="G3" i="22" s="1"/>
  <c r="F2" i="22"/>
  <c r="F3" i="22" s="1"/>
  <c r="B285" i="23"/>
  <c r="B303" i="23" s="1"/>
  <c r="B301" i="23"/>
  <c r="B302" i="23"/>
  <c r="B284" i="23"/>
  <c r="B296" i="23" s="1"/>
  <c r="B283" i="23"/>
  <c r="B287" i="23" s="1"/>
  <c r="B277" i="23"/>
  <c r="B281" i="23"/>
  <c r="B279" i="23"/>
  <c r="B280" i="23"/>
  <c r="B282" i="23"/>
  <c r="B278" i="23"/>
  <c r="G3" i="24" l="1"/>
  <c r="G109" i="24" s="1"/>
  <c r="G11" i="24"/>
  <c r="K202" i="24"/>
  <c r="K212" i="24" s="1"/>
  <c r="C3" i="24"/>
  <c r="C198" i="24" s="1"/>
  <c r="C208" i="24" s="1"/>
  <c r="C5" i="24"/>
  <c r="C29" i="24" s="1"/>
  <c r="C31" i="24" s="1"/>
  <c r="D4" i="24"/>
  <c r="D3" i="24"/>
  <c r="D194" i="24" s="1"/>
  <c r="D204" i="24" s="1"/>
  <c r="D11" i="24"/>
  <c r="C4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D109" i="24"/>
  <c r="J112" i="24"/>
  <c r="K194" i="24"/>
  <c r="K204" i="24" s="1"/>
  <c r="J103" i="24"/>
  <c r="J102" i="24"/>
  <c r="G11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115" i="24"/>
  <c r="D105" i="24"/>
  <c r="D112" i="24"/>
  <c r="D113" i="24"/>
  <c r="D33" i="24"/>
  <c r="G116" i="24"/>
  <c r="K102" i="24"/>
  <c r="K103" i="24"/>
  <c r="F55" i="24"/>
  <c r="F57" i="24" s="1"/>
  <c r="J114" i="24"/>
  <c r="K109" i="24"/>
  <c r="K30" i="24"/>
  <c r="K32" i="24" s="1"/>
  <c r="J67" i="24"/>
  <c r="J78" i="24"/>
  <c r="C102" i="24"/>
  <c r="C103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D199" i="24"/>
  <c r="D209" i="24" s="1"/>
  <c r="D200" i="24"/>
  <c r="D210" i="24" s="1"/>
  <c r="D201" i="24"/>
  <c r="D211" i="24" s="1"/>
  <c r="C24" i="24"/>
  <c r="C33" i="24"/>
  <c r="C106" i="24"/>
  <c r="C116" i="24"/>
  <c r="C195" i="24"/>
  <c r="C205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106" i="24"/>
  <c r="G30" i="24"/>
  <c r="G32" i="24" s="1"/>
  <c r="G196" i="24"/>
  <c r="G206" i="24" s="1"/>
  <c r="G201" i="24"/>
  <c r="G211" i="24" s="1"/>
  <c r="G195" i="24"/>
  <c r="G205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G232" i="24"/>
  <c r="D103" i="24"/>
  <c r="D102" i="24"/>
  <c r="D99" i="24" s="1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C65" i="24"/>
  <c r="C76" i="24"/>
  <c r="J202" i="24"/>
  <c r="J212" i="24" s="1"/>
  <c r="K77" i="24"/>
  <c r="K66" i="24"/>
  <c r="C201" i="24"/>
  <c r="C211" i="24" s="1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300" i="23"/>
  <c r="B288" i="23"/>
  <c r="B293" i="23"/>
  <c r="B292" i="23"/>
  <c r="B291" i="23"/>
  <c r="B290" i="23"/>
  <c r="B289" i="23"/>
  <c r="B295" i="23"/>
  <c r="B298" i="23"/>
  <c r="B297" i="23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29" i="24" l="1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C197" i="24"/>
  <c r="C207" i="24" s="1"/>
  <c r="C196" i="24"/>
  <c r="C206" i="24" s="1"/>
  <c r="C30" i="24"/>
  <c r="C32" i="24" s="1"/>
  <c r="C114" i="24"/>
  <c r="C199" i="24"/>
  <c r="C209" i="24" s="1"/>
  <c r="C194" i="24"/>
  <c r="C204" i="24" s="1"/>
  <c r="C112" i="24"/>
  <c r="C200" i="24"/>
  <c r="C210" i="24" s="1"/>
  <c r="I29" i="24"/>
  <c r="I31" i="24" s="1"/>
  <c r="C113" i="24"/>
  <c r="C202" i="24"/>
  <c r="C212" i="24" s="1"/>
  <c r="C105" i="24"/>
  <c r="C115" i="24"/>
  <c r="C109" i="24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C99" i="24"/>
  <c r="C133" i="24" s="1"/>
  <c r="C100" i="24"/>
  <c r="D190" i="24"/>
  <c r="D100" i="24"/>
  <c r="D133" i="24"/>
  <c r="D135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C77" i="24"/>
  <c r="C88" i="24" s="1"/>
  <c r="C66" i="24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C87" i="24"/>
  <c r="H196" i="24"/>
  <c r="H206" i="24" s="1"/>
  <c r="I135" i="24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307" i="24" s="1"/>
  <c r="B51" i="24"/>
  <c r="B52" i="24" s="1"/>
  <c r="B56" i="24"/>
  <c r="B229" i="24"/>
  <c r="B78" i="23"/>
  <c r="B44" i="23"/>
  <c r="B42" i="23"/>
  <c r="B40" i="23"/>
  <c r="B37" i="23"/>
  <c r="B45" i="23"/>
  <c r="N72" i="14"/>
  <c r="B18" i="23"/>
  <c r="B16" i="23" s="1"/>
  <c r="D58" i="14"/>
  <c r="B43" i="14"/>
  <c r="B44" i="14"/>
  <c r="E44" i="14"/>
  <c r="B53" i="23"/>
  <c r="B34" i="23"/>
  <c r="B38" i="23" s="1"/>
  <c r="B14" i="23"/>
  <c r="B13" i="23"/>
  <c r="P36" i="22"/>
  <c r="I68" i="24" l="1"/>
  <c r="C135" i="24"/>
  <c r="C190" i="24"/>
  <c r="C232" i="24" s="1"/>
  <c r="F99" i="24"/>
  <c r="F190" i="24" s="1"/>
  <c r="B4" i="24"/>
  <c r="B11" i="24"/>
  <c r="C136" i="24"/>
  <c r="C147" i="24" s="1"/>
  <c r="I99" i="24"/>
  <c r="D136" i="24"/>
  <c r="D147" i="24" s="1"/>
  <c r="K137" i="24"/>
  <c r="K148" i="24" s="1"/>
  <c r="J137" i="24"/>
  <c r="J148" i="24" s="1"/>
  <c r="H146" i="24"/>
  <c r="H136" i="24"/>
  <c r="H147" i="24" s="1"/>
  <c r="I80" i="24"/>
  <c r="I69" i="24"/>
  <c r="K68" i="24"/>
  <c r="K79" i="24"/>
  <c r="K146" i="24"/>
  <c r="H67" i="24"/>
  <c r="H78" i="24"/>
  <c r="H89" i="24" s="1"/>
  <c r="C67" i="24"/>
  <c r="C78" i="24"/>
  <c r="C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C146" i="24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B5" i="24"/>
  <c r="B89" i="23"/>
  <c r="B88" i="23" s="1"/>
  <c r="B55" i="24"/>
  <c r="B57" i="24" s="1"/>
  <c r="B80" i="23"/>
  <c r="B46" i="23"/>
  <c r="B56" i="23" s="1"/>
  <c r="B98" i="23"/>
  <c r="B97" i="23"/>
  <c r="B96" i="23"/>
  <c r="B95" i="23"/>
  <c r="B9" i="23"/>
  <c r="B2" i="23" s="1"/>
  <c r="B5" i="23" s="1"/>
  <c r="B19" i="23"/>
  <c r="B35" i="23"/>
  <c r="B17" i="23"/>
  <c r="B20" i="23"/>
  <c r="I90" i="22"/>
  <c r="H90" i="22"/>
  <c r="F90" i="22"/>
  <c r="E90" i="22"/>
  <c r="D90" i="22"/>
  <c r="C90" i="22"/>
  <c r="B90" i="22"/>
  <c r="I82" i="22"/>
  <c r="H82" i="22"/>
  <c r="F82" i="22"/>
  <c r="E82" i="22"/>
  <c r="D82" i="22"/>
  <c r="C82" i="22"/>
  <c r="B82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C9" i="21" s="1"/>
  <c r="D9" i="21" s="1"/>
  <c r="E9" i="21" s="1"/>
  <c r="F9" i="21" s="1"/>
  <c r="B8" i="21"/>
  <c r="C8" i="21" s="1"/>
  <c r="D8" i="21" s="1"/>
  <c r="E8" i="21" s="1"/>
  <c r="F8" i="21" s="1"/>
  <c r="B7" i="21"/>
  <c r="C7" i="21" s="1"/>
  <c r="D7" i="21" s="1"/>
  <c r="E7" i="21" s="1"/>
  <c r="F7" i="21" s="1"/>
  <c r="F133" i="24" l="1"/>
  <c r="F135" i="24" s="1"/>
  <c r="F100" i="24"/>
  <c r="C244" i="24"/>
  <c r="B29" i="24"/>
  <c r="B31" i="24" s="1"/>
  <c r="F146" i="24"/>
  <c r="G122" i="24"/>
  <c r="D122" i="24"/>
  <c r="J122" i="24"/>
  <c r="C122" i="24"/>
  <c r="K122" i="24"/>
  <c r="F122" i="24"/>
  <c r="H122" i="24"/>
  <c r="I122" i="24"/>
  <c r="F137" i="24"/>
  <c r="F148" i="24" s="1"/>
  <c r="F68" i="24"/>
  <c r="F79" i="24"/>
  <c r="B194" i="24"/>
  <c r="B204" i="24" s="1"/>
  <c r="B114" i="24"/>
  <c r="I91" i="24"/>
  <c r="B197" i="24"/>
  <c r="B207" i="24" s="1"/>
  <c r="B112" i="24"/>
  <c r="D79" i="24"/>
  <c r="D68" i="24"/>
  <c r="F136" i="24"/>
  <c r="F147" i="24" s="1"/>
  <c r="B76" i="24"/>
  <c r="B87" i="24" s="1"/>
  <c r="B113" i="24"/>
  <c r="G67" i="24"/>
  <c r="G78" i="24"/>
  <c r="G89" i="24" s="1"/>
  <c r="H79" i="24"/>
  <c r="H68" i="24"/>
  <c r="C137" i="24"/>
  <c r="G146" i="24"/>
  <c r="H137" i="24"/>
  <c r="H148" i="24" s="1"/>
  <c r="K69" i="24"/>
  <c r="K80" i="24"/>
  <c r="K91" i="24" s="1"/>
  <c r="K90" i="24"/>
  <c r="I70" i="24"/>
  <c r="I81" i="24"/>
  <c r="I92" i="24" s="1"/>
  <c r="F244" i="24"/>
  <c r="F232" i="24"/>
  <c r="G136" i="24"/>
  <c r="G147" i="24" s="1"/>
  <c r="C79" i="24"/>
  <c r="C68" i="24"/>
  <c r="J139" i="24"/>
  <c r="J150" i="24" s="1"/>
  <c r="B115" i="24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92" i="23"/>
  <c r="B84" i="23"/>
  <c r="B85" i="23" s="1"/>
  <c r="B83" i="23"/>
  <c r="B8" i="23"/>
  <c r="B4" i="23"/>
  <c r="B3" i="23"/>
  <c r="B50" i="23" s="1"/>
  <c r="B30" i="23"/>
  <c r="B10" i="23" s="1"/>
  <c r="B21" i="23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B79" i="23" l="1"/>
  <c r="B81" i="23"/>
  <c r="J140" i="24"/>
  <c r="J151" i="24" s="1"/>
  <c r="I140" i="24"/>
  <c r="I151" i="24" s="1"/>
  <c r="D119" i="24"/>
  <c r="D126" i="24" s="1"/>
  <c r="G119" i="24"/>
  <c r="G126" i="24" s="1"/>
  <c r="J119" i="24"/>
  <c r="J126" i="24" s="1"/>
  <c r="C119" i="24"/>
  <c r="C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C215" i="24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G118" i="24"/>
  <c r="G125" i="24" s="1"/>
  <c r="D118" i="24"/>
  <c r="D125" i="24" s="1"/>
  <c r="J118" i="24"/>
  <c r="J125" i="24" s="1"/>
  <c r="C118" i="24"/>
  <c r="C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C120" i="24"/>
  <c r="C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C148" i="24"/>
  <c r="C110" i="24"/>
  <c r="C129" i="24"/>
  <c r="C123" i="24" s="1"/>
  <c r="G137" i="24"/>
  <c r="H69" i="24"/>
  <c r="H80" i="24"/>
  <c r="B88" i="24"/>
  <c r="F215" i="24"/>
  <c r="G79" i="24"/>
  <c r="G68" i="24"/>
  <c r="K92" i="24"/>
  <c r="G121" i="24"/>
  <c r="G128" i="24" s="1"/>
  <c r="J121" i="24"/>
  <c r="J128" i="24" s="1"/>
  <c r="D121" i="24"/>
  <c r="D128" i="24" s="1"/>
  <c r="C121" i="24"/>
  <c r="C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C80" i="24"/>
  <c r="C91" i="24" s="1"/>
  <c r="C69" i="24"/>
  <c r="C90" i="24"/>
  <c r="J110" i="24"/>
  <c r="J129" i="24"/>
  <c r="J123" i="24" s="1"/>
  <c r="H91" i="24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B82" i="23"/>
  <c r="B27" i="23"/>
  <c r="B29" i="23" s="1"/>
  <c r="B57" i="23"/>
  <c r="B51" i="23"/>
  <c r="B61" i="23"/>
  <c r="B60" i="23"/>
  <c r="B26" i="23"/>
  <c r="B28" i="23" s="1"/>
  <c r="B58" i="23"/>
  <c r="B54" i="23"/>
  <c r="B59" i="23"/>
  <c r="C90" i="9"/>
  <c r="D90" i="9"/>
  <c r="E90" i="9"/>
  <c r="F90" i="9"/>
  <c r="H90" i="9"/>
  <c r="I90" i="9"/>
  <c r="B90" i="9"/>
  <c r="C82" i="9"/>
  <c r="D82" i="9"/>
  <c r="E82" i="9"/>
  <c r="F82" i="9"/>
  <c r="H82" i="9"/>
  <c r="I82" i="9"/>
  <c r="B82" i="9"/>
  <c r="B77" i="23" l="1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C217" i="24"/>
  <c r="C218" i="24"/>
  <c r="C219" i="24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C221" i="24"/>
  <c r="C139" i="24"/>
  <c r="C150" i="24" s="1"/>
  <c r="C220" i="24"/>
  <c r="C138" i="24"/>
  <c r="D139" i="24"/>
  <c r="D150" i="24" s="1"/>
  <c r="D221" i="24"/>
  <c r="G69" i="24"/>
  <c r="G80" i="24"/>
  <c r="G91" i="24" s="1"/>
  <c r="B133" i="24"/>
  <c r="B135" i="24" s="1"/>
  <c r="B146" i="24" s="1"/>
  <c r="C70" i="24"/>
  <c r="C81" i="24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91" i="23"/>
  <c r="B94" i="23" s="1"/>
  <c r="B93" i="23" s="1"/>
  <c r="B90" i="23" s="1"/>
  <c r="B87" i="23" s="1"/>
  <c r="B63" i="23"/>
  <c r="B70" i="23" s="1"/>
  <c r="B67" i="23"/>
  <c r="B65" i="23"/>
  <c r="B72" i="23" s="1"/>
  <c r="B64" i="23"/>
  <c r="B71" i="23" s="1"/>
  <c r="B66" i="23"/>
  <c r="B73" i="23" s="1"/>
  <c r="O26" i="9"/>
  <c r="C2" i="9"/>
  <c r="C3" i="9" s="1"/>
  <c r="D2" i="9"/>
  <c r="D3" i="9" s="1"/>
  <c r="E2" i="9"/>
  <c r="E3" i="9" s="1"/>
  <c r="F2" i="9"/>
  <c r="F3" i="9" s="1"/>
  <c r="H2" i="9"/>
  <c r="H3" i="9" s="1"/>
  <c r="I2" i="9"/>
  <c r="I3" i="9" s="1"/>
  <c r="J2" i="9"/>
  <c r="J3" i="9" s="1"/>
  <c r="K2" i="9"/>
  <c r="K3" i="9" s="1"/>
  <c r="L2" i="9"/>
  <c r="L3" i="9" s="1"/>
  <c r="B2" i="9"/>
  <c r="B3" i="9" s="1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E1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B232" i="24" l="1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C71" i="24"/>
  <c r="C82" i="24"/>
  <c r="D140" i="24"/>
  <c r="D222" i="24"/>
  <c r="C149" i="24"/>
  <c r="D71" i="24"/>
  <c r="D82" i="24"/>
  <c r="D93" i="24"/>
  <c r="H222" i="24"/>
  <c r="H140" i="24"/>
  <c r="H151" i="24" s="1"/>
  <c r="F92" i="24"/>
  <c r="K93" i="24"/>
  <c r="J152" i="24"/>
  <c r="C92" i="24"/>
  <c r="H149" i="24"/>
  <c r="B137" i="24"/>
  <c r="B148" i="24" s="1"/>
  <c r="I223" i="24"/>
  <c r="I141" i="24"/>
  <c r="F149" i="24"/>
  <c r="B69" i="24"/>
  <c r="B80" i="24"/>
  <c r="B90" i="24"/>
  <c r="B217" i="24"/>
  <c r="B218" i="24"/>
  <c r="B74" i="23"/>
  <c r="B68" i="23" s="1"/>
  <c r="B55" i="23"/>
  <c r="J224" i="17"/>
  <c r="C8" i="17"/>
  <c r="C2" i="17" s="1"/>
  <c r="C3" i="17" s="1"/>
  <c r="K8" i="17"/>
  <c r="K2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K7" i="17"/>
  <c r="K3" i="17"/>
  <c r="K103" i="17" s="1"/>
  <c r="K4" i="17"/>
  <c r="K5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G3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5" i="24" l="1"/>
  <c r="H83" i="24"/>
  <c r="H72" i="24"/>
  <c r="G149" i="24"/>
  <c r="J226" i="24"/>
  <c r="J144" i="24"/>
  <c r="J155" i="24" s="1"/>
  <c r="J97" i="24"/>
  <c r="G222" i="24"/>
  <c r="G140" i="24"/>
  <c r="G151" i="24" s="1"/>
  <c r="K84" i="24"/>
  <c r="K73" i="24"/>
  <c r="K85" i="24" s="1"/>
  <c r="K95" i="24"/>
  <c r="C83" i="24"/>
  <c r="C94" i="24" s="1"/>
  <c r="C72" i="24"/>
  <c r="K223" i="24"/>
  <c r="K141" i="24"/>
  <c r="C93" i="24"/>
  <c r="C222" i="24"/>
  <c r="C140" i="24"/>
  <c r="D151" i="24"/>
  <c r="K94" i="24"/>
  <c r="J225" i="24"/>
  <c r="J143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5" i="17"/>
  <c r="I4" i="17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0" i="17"/>
  <c r="G103" i="17"/>
  <c r="G107" i="17"/>
  <c r="G25" i="17"/>
  <c r="G27" i="17" s="1"/>
  <c r="G108" i="17"/>
  <c r="G106" i="17"/>
  <c r="I110" i="17"/>
  <c r="I25" i="17"/>
  <c r="I27" i="17" s="1"/>
  <c r="I100" i="17"/>
  <c r="I26" i="17"/>
  <c r="I28" i="17" s="1"/>
  <c r="G110" i="17"/>
  <c r="I108" i="17"/>
  <c r="I107" i="17"/>
  <c r="G26" i="17"/>
  <c r="G28" i="17" s="1"/>
  <c r="J107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I103" i="17"/>
  <c r="I99" i="17"/>
  <c r="I106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J108" i="17" l="1"/>
  <c r="J25" i="17"/>
  <c r="J27" i="17" s="1"/>
  <c r="D25" i="17"/>
  <c r="D27" i="17" s="1"/>
  <c r="J227" i="24"/>
  <c r="J228" i="24" s="1"/>
  <c r="J231" i="24" s="1"/>
  <c r="J154" i="24"/>
  <c r="J156" i="24"/>
  <c r="J158" i="24" s="1"/>
  <c r="K96" i="24"/>
  <c r="K225" i="24"/>
  <c r="K143" i="24"/>
  <c r="K154" i="24" s="1"/>
  <c r="G72" i="24"/>
  <c r="G83" i="24"/>
  <c r="G94" i="24" s="1"/>
  <c r="C142" i="24"/>
  <c r="C153" i="24" s="1"/>
  <c r="C224" i="24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H96" i="24" s="1"/>
  <c r="D224" i="24"/>
  <c r="D142" i="24"/>
  <c r="D153" i="24" s="1"/>
  <c r="K152" i="24"/>
  <c r="I226" i="24"/>
  <c r="I227" i="24" s="1"/>
  <c r="I228" i="24" s="1"/>
  <c r="I144" i="24"/>
  <c r="I97" i="24"/>
  <c r="C84" i="24"/>
  <c r="C73" i="24"/>
  <c r="C85" i="24" s="1"/>
  <c r="J157" i="24"/>
  <c r="J159" i="24" s="1"/>
  <c r="C151" i="24"/>
  <c r="G93" i="24"/>
  <c r="F151" i="24"/>
  <c r="C223" i="24"/>
  <c r="C141" i="24"/>
  <c r="C152" i="24" s="1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D96" i="24" l="1"/>
  <c r="D95" i="24"/>
  <c r="I231" i="24"/>
  <c r="H95" i="24"/>
  <c r="H97" i="24" s="1"/>
  <c r="D143" i="24"/>
  <c r="D225" i="24"/>
  <c r="H224" i="24"/>
  <c r="H142" i="24"/>
  <c r="H153" i="24" s="1"/>
  <c r="C96" i="24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D226" i="24"/>
  <c r="D227" i="24" s="1"/>
  <c r="D228" i="24" s="1"/>
  <c r="D144" i="24"/>
  <c r="D155" i="24" s="1"/>
  <c r="D97" i="24"/>
  <c r="F143" i="24"/>
  <c r="F154" i="24" s="1"/>
  <c r="F225" i="24"/>
  <c r="K226" i="24"/>
  <c r="K227" i="24" s="1"/>
  <c r="K228" i="24" s="1"/>
  <c r="K144" i="24"/>
  <c r="K155" i="24" s="1"/>
  <c r="K157" i="24" s="1"/>
  <c r="K97" i="24"/>
  <c r="H143" i="24"/>
  <c r="H154" i="24" s="1"/>
  <c r="C95" i="24"/>
  <c r="F96" i="24"/>
  <c r="B83" i="24"/>
  <c r="B72" i="24"/>
  <c r="B94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K156" i="24" l="1"/>
  <c r="K158" i="24" s="1"/>
  <c r="H225" i="24"/>
  <c r="G96" i="24"/>
  <c r="K231" i="24"/>
  <c r="H227" i="24"/>
  <c r="H228" i="24" s="1"/>
  <c r="H231" i="24" s="1"/>
  <c r="G95" i="24"/>
  <c r="D231" i="24"/>
  <c r="G152" i="24"/>
  <c r="G144" i="24"/>
  <c r="G155" i="24" s="1"/>
  <c r="G226" i="24"/>
  <c r="I159" i="24"/>
  <c r="F153" i="24"/>
  <c r="F156" i="24"/>
  <c r="F158" i="24" s="1"/>
  <c r="C144" i="24"/>
  <c r="C155" i="24" s="1"/>
  <c r="C226" i="24"/>
  <c r="C227" i="24" s="1"/>
  <c r="C228" i="24" s="1"/>
  <c r="C97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C225" i="24"/>
  <c r="C143" i="24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K159" i="24" l="1"/>
  <c r="C231" i="24"/>
  <c r="F231" i="24"/>
  <c r="D159" i="24"/>
  <c r="F157" i="24"/>
  <c r="F159" i="24" s="1"/>
  <c r="G143" i="24"/>
  <c r="G154" i="24" s="1"/>
  <c r="G157" i="24" s="1"/>
  <c r="G225" i="24"/>
  <c r="G227" i="24" s="1"/>
  <c r="G228" i="24" s="1"/>
  <c r="C154" i="24"/>
  <c r="C157" i="24" s="1"/>
  <c r="C156" i="24"/>
  <c r="C15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C159" i="24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L38" i="16"/>
  <c r="N36" i="16"/>
  <c r="N37" i="16"/>
  <c r="N35" i="16"/>
  <c r="N48" i="16"/>
  <c r="N45" i="16"/>
  <c r="N50" i="16"/>
  <c r="L50" i="16" s="1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8" i="1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C34" i="2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47" i="23"/>
  <c r="B76" i="23" s="1"/>
  <c r="B34" i="24"/>
  <c r="B7" i="24" s="1"/>
  <c r="B301" i="24" s="1"/>
  <c r="B154" i="24"/>
  <c r="B157" i="24" s="1"/>
  <c r="B156" i="24"/>
  <c r="B158" i="24" s="1"/>
  <c r="D62" i="14"/>
  <c r="D61" i="14"/>
  <c r="B31" i="23"/>
  <c r="C65" i="14"/>
  <c r="O24" i="22"/>
  <c r="O24" i="9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65" i="17"/>
  <c r="C76" i="17"/>
  <c r="C65" i="17"/>
  <c r="F87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Y6" i="8" l="1"/>
  <c r="B159" i="24"/>
  <c r="B64" i="22"/>
  <c r="B73" i="22"/>
  <c r="C54" i="22"/>
  <c r="F64" i="22"/>
  <c r="F73" i="22"/>
  <c r="C73" i="22"/>
  <c r="E73" i="22"/>
  <c r="C64" i="22"/>
  <c r="D54" i="22"/>
  <c r="D73" i="22"/>
  <c r="I64" i="22"/>
  <c r="H73" i="22"/>
  <c r="D64" i="22"/>
  <c r="I54" i="22"/>
  <c r="F54" i="22"/>
  <c r="I73" i="22"/>
  <c r="H64" i="22"/>
  <c r="E54" i="22"/>
  <c r="E64" i="22"/>
  <c r="B54" i="22"/>
  <c r="H54" i="22"/>
  <c r="I39" i="1"/>
  <c r="I35" i="1"/>
  <c r="I34" i="1"/>
  <c r="E64" i="9"/>
  <c r="I64" i="9"/>
  <c r="H54" i="9"/>
  <c r="B54" i="9"/>
  <c r="I54" i="9"/>
  <c r="B64" i="9"/>
  <c r="D73" i="9"/>
  <c r="H64" i="9"/>
  <c r="D64" i="9"/>
  <c r="E54" i="9"/>
  <c r="C73" i="9"/>
  <c r="I73" i="9"/>
  <c r="E73" i="9"/>
  <c r="B73" i="9"/>
  <c r="D54" i="9"/>
  <c r="C54" i="9"/>
  <c r="F54" i="9"/>
  <c r="H73" i="9"/>
  <c r="C64" i="9"/>
  <c r="F64" i="9"/>
  <c r="F73" i="9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AA9" i="8" s="1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5" i="8" l="1"/>
  <c r="I49" i="17"/>
  <c r="I51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I97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C93" i="17" s="1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I90" i="17" l="1"/>
  <c r="K96" i="17"/>
  <c r="K93" i="17" s="1"/>
  <c r="B96" i="17"/>
  <c r="J96" i="17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B93" i="17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J93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B178" i="4"/>
  <c r="C178" i="4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K151" i="17" l="1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F210" i="17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3" i="16"/>
  <c r="I52" i="16"/>
  <c r="H52" i="16"/>
  <c r="G52" i="16"/>
  <c r="I50" i="16"/>
  <c r="H50" i="16"/>
  <c r="G50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39" i="17" l="1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3" i="16"/>
  <c r="F53" i="16" s="1"/>
  <c r="R20" i="16"/>
  <c r="Q20" i="16"/>
  <c r="R19" i="16"/>
  <c r="G53" i="16"/>
  <c r="D53" i="16" s="1"/>
  <c r="R22" i="16"/>
  <c r="H53" i="16"/>
  <c r="E53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51" i="16" s="1"/>
  <c r="L51" i="16" s="1"/>
  <c r="N4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<sst xmlns="http://schemas.openxmlformats.org/spreadsheetml/2006/main" count="1221" uniqueCount="684">
  <si>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</si>
  <si>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</si>
  <si>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</si>
  <si>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</si>
  <si>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</si>
  <si>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</si>
  <si>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</si>
  <si>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</si>
  <si>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</si>
  <si>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</si>
  <si>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</si>
  <si>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</si>
  <si>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</si>
  <si>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</si>
  <si>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</si>
  <si>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</si>
  <si>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</si>
  <si>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</si>
  <si>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</si>
  <si>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</si>
  <si>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</si>
  <si>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</si>
  <si>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</si>
  <si>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</si>
  <si>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</si>
  <si>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</si>
  <si>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</si>
  <si>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</si>
  <si>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</si>
  <si>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</si>
  <si>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</si>
  <si>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</si>
  <si>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</si>
  <si>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</si>
  <si>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</si>
  <si>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</si>
  <si>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</si>
  <si>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</si>
  <si>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</si>
  <si>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</si>
  <si>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</si>
  <si>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</si>
  <si>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</si>
  <si>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</si>
  <si>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</si>
  <si>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</si>
  <si>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</si>
  <si>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</si>
  <si>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</si>
  <si>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</si>
  <si>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</si>
  <si>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</si>
  <si>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</si>
  <si>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</si>
  <si>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</si>
  <si>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</si>
  <si>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</si>
  <si>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</si>
  <si>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</si>
  <si>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</si>
  <si>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</si>
  <si>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</si>
  <si>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</si>
  <si>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</si>
  <si>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</si>
  <si>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</si>
  <si>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</si>
  <si>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</si>
  <si>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</si>
  <si>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</si>
  <si>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</si>
  <si>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</si>
  <si>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</si>
  <si>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</si>
  <si>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</si>
  <si>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</si>
  <si>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</si>
  <si>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</si>
  <si>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</si>
  <si>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</si>
  <si>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</si>
  <si>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</si>
  <si>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</si>
  <si>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</si>
  <si>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</si>
  <si>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</si>
  <si>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</si>
  <si>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</si>
  <si>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</si>
  <si>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</si>
  <si>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</si>
  <si>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</si>
  <si>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</si>
  <si>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</si>
  <si>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</si>
  <si>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</si>
  <si>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</si>
  <si>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</si>
  <si>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</si>
  <si>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</si>
  <si>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</si>
  <si>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</si>
  <si>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</si>
  <si>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</si>
  <si>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</si>
  <si>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</si>
  <si>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</si>
  <si>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</si>
  <si>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</si>
  <si>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</si>
  <si>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</si>
  <si>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</si>
  <si>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</si>
  <si>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</si>
  <si>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</si>
  <si>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</si>
  <si>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</si>
  <si>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</si>
  <si>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</si>
  <si>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</si>
  <si>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</si>
  <si>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</si>
  <si>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</si>
  <si>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</si>
  <si>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</si>
  <si>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</si>
  <si>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</si>
  <si>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</si>
  <si>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</si>
  <si>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</si>
  <si>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</si>
  <si>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</si>
  <si>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</si>
  <si>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</si>
  <si>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</si>
  <si>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</si>
  <si>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</si>
  <si>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</si>
  <si>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</si>
  <si>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</si>
  <si>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</si>
  <si>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</si>
  <si>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</si>
  <si>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</si>
  <si>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</si>
  <si>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</si>
  <si>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</si>
  <si>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</si>
  <si>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</si>
  <si>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</si>
  <si>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</si>
  <si>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</si>
  <si>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</si>
  <si>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</si>
  <si>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</si>
  <si>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</si>
  <si>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</si>
  <si>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</si>
  <si>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</si>
  <si>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</si>
  <si>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</si>
  <si>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</si>
  <si>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</si>
  <si>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</si>
  <si>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</si>
  <si>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</si>
  <si>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</si>
  <si>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</si>
  <si>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</si>
  <si>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</si>
  <si>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</si>
  <si>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</si>
  <si>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</si>
  <si>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</si>
  <si>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</si>
  <si>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</si>
  <si>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</si>
  <si>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</si>
  <si>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</si>
  <si>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</si>
  <si>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</si>
  <si>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</si>
  <si>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</si>
  <si>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</si>
  <si>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</si>
  <si>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</si>
  <si>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</si>
  <si>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</si>
  <si>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</si>
  <si>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</si>
  <si>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</si>
  <si>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</si>
  <si>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</si>
  <si>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</si>
  <si>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</si>
  <si>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</si>
  <si>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</si>
  <si>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</si>
  <si>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</si>
  <si>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</si>
  <si>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</si>
  <si>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</si>
  <si>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</si>
  <si>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</si>
  <si>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</si>
  <si>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</si>
  <si>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</si>
  <si>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</si>
  <si>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</si>
  <si>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</si>
  <si>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</si>
  <si>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</si>
  <si>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</si>
  <si>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</si>
  <si>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</si>
  <si>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</si>
  <si>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</si>
  <si>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</si>
  <si>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</si>
  <si>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</si>
  <si>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</si>
  <si>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</si>
  <si>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</si>
  <si>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</si>
  <si>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</si>
  <si>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</si>
  <si>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</si>
  <si>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</si>
  <si>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</si>
  <si>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</si>
  <si>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</si>
  <si>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</si>
  <si>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</si>
  <si>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</si>
  <si>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</si>
  <si>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</si>
  <si>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</si>
  <si>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</si>
  <si>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</si>
  <si>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</si>
  <si>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</si>
  <si>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</si>
  <si>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</si>
  <si>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</si>
  <si>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</si>
  <si>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</si>
  <si>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</si>
  <si>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</si>
  <si>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</si>
  <si>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</si>
  <si>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</si>
  <si>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</si>
  <si>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</si>
  <si>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</si>
  <si>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</si>
  <si>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</si>
  <si>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</si>
  <si>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</si>
  <si>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</si>
  <si>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</si>
  <si>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</si>
  <si>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</si>
  <si>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</si>
  <si>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</si>
  <si>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</si>
  <si>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</si>
  <si>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</si>
  <si>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</si>
  <si>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</si>
  <si>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</si>
  <si>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</si>
  <si>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</si>
  <si>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</si>
  <si>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</si>
  <si>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</si>
  <si>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</si>
  <si>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</si>
  <si>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</si>
  <si>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</si>
  <si>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</si>
  <si>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</si>
  <si>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</si>
  <si>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</si>
  <si>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</si>
  <si>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</si>
  <si>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</si>
  <si>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</si>
  <si>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</si>
  <si>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</si>
  <si>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</si>
  <si>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</si>
  <si>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</si>
  <si>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</si>
  <si>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</si>
  <si>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</si>
  <si>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</si>
  <si>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</si>
  <si>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</si>
  <si>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</si>
  <si>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</si>
  <si>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</si>
  <si>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</si>
  <si>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</si>
  <si>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</si>
  <si>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</si>
  <si>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</si>
  <si>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</si>
  <si>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</si>
  <si>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</si>
  <si>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</si>
  <si>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</si>
  <si>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</si>
  <si>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</si>
  <si>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</si>
  <si>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</si>
  <si>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</si>
  <si>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</si>
  <si>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</si>
  <si>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</si>
  <si>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</si>
  <si>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</si>
  <si>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</si>
  <si>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</si>
  <si>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</si>
  <si>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</si>
  <si>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</si>
  <si>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</si>
  <si>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</si>
  <si>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</si>
  <si>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</si>
  <si>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</si>
  <si>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</si>
  <si>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</si>
  <si>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</si>
  <si>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</si>
  <si>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</si>
  <si>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</si>
  <si>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</si>
  <si>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</si>
  <si>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</si>
  <si>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</si>
  <si>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</si>
  <si>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</si>
  <si>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</si>
  <si>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</si>
  <si>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</si>
  <si>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</si>
  <si>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</si>
  <si>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</si>
  <si>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</si>
  <si>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</si>
  <si>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</si>
  <si>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</si>
  <si>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</si>
  <si>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</si>
  <si>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</si>
  <si>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</si>
  <si>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</si>
  <si>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</si>
  <si>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</si>
  <si>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</si>
  <si>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</si>
  <si>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</si>
  <si>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</si>
  <si>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</si>
  <si>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</si>
  <si>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</si>
  <si>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</si>
  <si>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</si>
  <si>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</si>
  <si>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</si>
  <si>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</si>
  <si>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</si>
  <si>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</si>
  <si>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</si>
  <si>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</si>
  <si>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</si>
  <si>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</si>
  <si>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</si>
  <si>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</si>
  <si>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</si>
  <si>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</si>
  <si>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</si>
  <si>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</si>
  <si>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</si>
  <si>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</si>
  <si>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</si>
  <si>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</si>
  <si>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</si>
  <si>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</si>
  <si>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</si>
  <si>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</si>
  <si>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</si>
  <si>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</si>
  <si>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</si>
  <si>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</si>
  <si>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</si>
  <si>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</si>
  <si>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</si>
  <si>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</si>
  <si>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</si>
  <si>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</si>
  <si>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</si>
  <si>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</si>
  <si>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</si>
  <si>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</si>
  <si>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</si>
  <si>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</si>
  <si>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</si>
  <si>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</si>
  <si>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</si>
  <si>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</si>
  <si>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</si>
  <si>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</si>
  <si>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</si>
  <si>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</si>
  <si>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</si>
  <si>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</si>
  <si>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</si>
  <si>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</si>
  <si>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</si>
  <si>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</si>
  <si>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</si>
  <si>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</si>
  <si>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</si>
  <si>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</si>
  <si>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</si>
  <si>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</si>
  <si>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</si>
  <si>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</si>
  <si>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</si>
  <si>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</si>
  <si>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</si>
  <si>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</si>
  <si>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</si>
  <si>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</si>
  <si>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</si>
  <si>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</si>
  <si>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</si>
  <si>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</si>
  <si>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</si>
  <si>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</si>
  <si>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</si>
  <si>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</si>
  <si>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</si>
  <si>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</si>
  <si>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</si>
  <si>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</si>
  <si>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</si>
  <si>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</si>
  <si>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</si>
  <si>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</si>
  <si>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</si>
  <si>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</si>
  <si>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</si>
  <si>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</si>
  <si>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</si>
  <si>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</si>
  <si>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</si>
  <si>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</si>
  <si>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</si>
  <si>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</si>
  <si>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</si>
  <si>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</si>
  <si>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</si>
  <si>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</si>
  <si>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</si>
  <si>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</si>
  <si>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</si>
  <si>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</si>
  <si>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</si>
  <si>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</si>
  <si>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</si>
  <si>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</si>
  <si>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</si>
  <si>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</si>
  <si>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</si>
  <si>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</si>
  <si>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</si>
  <si>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</si>
  <si>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</si>
  <si>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</si>
  <si>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</si>
  <si>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</si>
  <si>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</si>
  <si>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</si>
  <si>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</si>
  <si>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</si>
  <si>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</si>
  <si>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</si>
  <si>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</si>
  <si>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</si>
  <si>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</si>
  <si>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</si>
  <si>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</si>
  <si>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</si>
  <si>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</si>
  <si>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</si>
  <si>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</si>
  <si>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</si>
  <si>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</si>
  <si>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</si>
  <si>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</si>
  <si>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</si>
  <si>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</si>
  <si>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</si>
  <si>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</si>
  <si>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</si>
  <si>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</si>
  <si>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</si>
  <si>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</si>
  <si>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</si>
  <si>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</si>
  <si>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</si>
  <si>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</si>
  <si>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</si>
  <si>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</si>
  <si>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</si>
  <si>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</si>
  <si>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</si>
  <si>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</si>
  <si>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</si>
  <si>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</si>
  <si>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</si>
  <si>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</si>
  <si>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</si>
  <si>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</si>
  <si>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</si>
  <si>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</si>
  <si>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</si>
  <si>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</si>
  <si>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</si>
  <si>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</si>
  <si>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</si>
  <si>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</si>
  <si>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</si>
  <si>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</si>
  <si>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</si>
  <si>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</si>
  <si>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</si>
  <si>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</si>
  <si>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dCL /dAoA</t>
  </si>
  <si>
    <t>dCSF /dAoS (angle of slideslip)</t>
  </si>
  <si>
    <t>dCD /dAoA</t>
  </si>
  <si>
    <t>Nose cone diameter (in, cm)</t>
  </si>
  <si>
    <t>Forebody length (in, cm)</t>
  </si>
  <si>
    <t>For numb of layer</t>
  </si>
  <si>
    <t>For trans ratio</t>
  </si>
  <si>
    <t>Growth rate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</si>
  <si>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</si>
  <si>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</si>
  <si>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</si>
  <si>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</si>
  <si>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</si>
  <si>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</si>
  <si>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</si>
  <si>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</si>
  <si>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</si>
  <si>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</si>
  <si>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</si>
  <si>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</si>
  <si>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</si>
  <si>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</si>
  <si>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</si>
  <si>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</si>
  <si>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</si>
  <si>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</si>
  <si>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</si>
  <si>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</si>
  <si>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</si>
  <si>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</si>
  <si>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</si>
  <si>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</si>
  <si>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</si>
  <si>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</si>
  <si>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</si>
  <si>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</si>
  <si>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</si>
  <si>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</si>
  <si>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</si>
  <si>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</si>
  <si>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</si>
  <si>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y+ subsonic MAX Re rocket length</t>
  </si>
  <si>
    <t>y+ sonic MAX Re rocket length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</si>
  <si>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</si>
  <si>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</si>
  <si>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</si>
  <si>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</si>
  <si>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</si>
  <si>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</si>
  <si>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</si>
  <si>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</si>
  <si>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</si>
  <si>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</si>
  <si>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</si>
  <si>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</si>
  <si>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</si>
  <si>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</si>
  <si>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</si>
  <si>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</si>
  <si>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</si>
  <si>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</si>
  <si>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</si>
  <si>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</si>
  <si>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</si>
  <si>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</si>
  <si>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</si>
  <si>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</si>
  <si>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</si>
  <si>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Dynamic pressure max Q (Pa)</t>
  </si>
  <si>
    <t>Cross-sectional Area (m^2)</t>
  </si>
  <si>
    <t>Noral force forebody (newtons)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</si>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</sst>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18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13" fillId="20" borderId="43" xfId="0" applyFont="1" applyFill="1" applyBorder="1"/>
    <xf numFmtId="168" fontId="0" fillId="20" borderId="24" xfId="0" applyNumberFormat="1" applyFill="1" applyBorder="1"/>
    <xf numFmtId="0" fontId="0" fillId="20" borderId="34" xfId="0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13" fillId="0" borderId="0" xfId="0" applyNumberFormat="1" applyFont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0" fillId="0" borderId="8" xfId="0" applyBorder="1" applyAlignment="1">
      <alignment horizontal="center"/>
    </xf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17" fillId="0" borderId="0" xfId="0" applyFont="1"/>
    <xf numFmtId="0" fontId="0" fillId="22" borderId="8" xfId="0" applyFill="1" applyBorder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10400"/>
        <c:axId val="173910792"/>
      </c:scatterChart>
      <c:valAx>
        <c:axId val="173910400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0792"/>
        <c:crosses val="autoZero"/>
        <c:crossBetween val="midCat"/>
        <c:majorUnit val="0.30000000000000004"/>
        <c:minorUnit val="0.30000000000000004"/>
      </c:valAx>
      <c:valAx>
        <c:axId val="1739107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10400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11576"/>
        <c:axId val="173908048"/>
      </c:scatterChart>
      <c:valAx>
        <c:axId val="1739115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08048"/>
        <c:crossesAt val="0"/>
        <c:crossBetween val="midCat"/>
      </c:valAx>
      <c:valAx>
        <c:axId val="173908048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11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7336"/>
        <c:axId val="173095768"/>
      </c:scatterChart>
      <c:valAx>
        <c:axId val="173097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5768"/>
        <c:crosses val="autoZero"/>
        <c:crossBetween val="midCat"/>
      </c:valAx>
      <c:valAx>
        <c:axId val="173095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7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6944"/>
        <c:axId val="173098904"/>
      </c:scatterChart>
      <c:valAx>
        <c:axId val="17309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8904"/>
        <c:crosses val="autoZero"/>
        <c:crossBetween val="midCat"/>
      </c:valAx>
      <c:valAx>
        <c:axId val="17309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0944"/>
        <c:axId val="174611336"/>
      </c:scatterChart>
      <c:valAx>
        <c:axId val="17461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1336"/>
        <c:crosses val="autoZero"/>
        <c:crossBetween val="midCat"/>
      </c:valAx>
      <c:valAx>
        <c:axId val="1746113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10552"/>
        <c:axId val="174608592"/>
      </c:scatterChart>
      <c:valAx>
        <c:axId val="174610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8592"/>
        <c:crosses val="autoZero"/>
        <c:crossBetween val="midCat"/>
      </c:valAx>
      <c:valAx>
        <c:axId val="17460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08200"/>
        <c:axId val="17461016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7460820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10160"/>
        <c:crosses val="autoZero"/>
        <c:crossBetween val="midCat"/>
      </c:valAx>
      <c:valAx>
        <c:axId val="17461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8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09376"/>
        <c:axId val="173908440"/>
      </c:scatterChart>
      <c:valAx>
        <c:axId val="1746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908440"/>
        <c:crosses val="autoZero"/>
        <c:crossBetween val="midCat"/>
      </c:valAx>
      <c:valAx>
        <c:axId val="17390844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4609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096160"/>
        <c:axId val="173098120"/>
      </c:scatterChart>
      <c:valAx>
        <c:axId val="1730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8120"/>
        <c:crosses val="autoZero"/>
        <c:crossBetween val="midCat"/>
      </c:valAx>
      <c:valAx>
        <c:axId val="173098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3096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544"/>
        <c:axId val="566644800"/>
      </c:scatterChart>
      <c:valAx>
        <c:axId val="566647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4800"/>
        <c:crosses val="autoZero"/>
        <c:crossBetween val="midCat"/>
      </c:valAx>
      <c:valAx>
        <c:axId val="56664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5976"/>
        <c:axId val="566645584"/>
      </c:scatterChart>
      <c:valAx>
        <c:axId val="566645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5584"/>
        <c:crosses val="autoZero"/>
        <c:crossBetween val="midCat"/>
      </c:valAx>
      <c:valAx>
        <c:axId val="56664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5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936"/>
        <c:axId val="566646368"/>
      </c:scatterChart>
      <c:valAx>
        <c:axId val="566647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6368"/>
        <c:crosses val="autoZero"/>
        <c:crossBetween val="midCat"/>
      </c:valAx>
      <c:valAx>
        <c:axId val="56664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647152"/>
        <c:axId val="567427904"/>
      </c:scatterChart>
      <c:valAx>
        <c:axId val="56664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7904"/>
        <c:crosses val="autoZero"/>
        <c:crossBetween val="midCat"/>
      </c:valAx>
      <c:valAx>
        <c:axId val="56742790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6647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9080"/>
        <c:axId val="567429864"/>
      </c:scatterChart>
      <c:valAx>
        <c:axId val="567429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864"/>
        <c:crosses val="autoZero"/>
        <c:crossBetween val="midCat"/>
      </c:valAx>
      <c:valAx>
        <c:axId val="56742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7512"/>
        <c:axId val="567428296"/>
      </c:scatterChart>
      <c:valAx>
        <c:axId val="567427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8296"/>
        <c:crosses val="autoZero"/>
        <c:crossBetween val="midCat"/>
      </c:valAx>
      <c:valAx>
        <c:axId val="5674282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7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429472"/>
        <c:axId val="567430648"/>
      </c:scatterChart>
      <c:valAx>
        <c:axId val="56742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30648"/>
        <c:crosses val="autoZero"/>
        <c:crossBetween val="midCat"/>
      </c:valAx>
      <c:valAx>
        <c:axId val="56743064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429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4576"/>
        <c:axId val="567313008"/>
      </c:scatterChart>
      <c:valAx>
        <c:axId val="567314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3008"/>
        <c:crosses val="autoZero"/>
        <c:crossBetween val="midCat"/>
      </c:valAx>
      <c:valAx>
        <c:axId val="56731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4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3792"/>
        <c:axId val="567315360"/>
      </c:scatterChart>
      <c:valAx>
        <c:axId val="56731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5360"/>
        <c:crosses val="autoZero"/>
        <c:crossBetween val="midCat"/>
      </c:valAx>
      <c:valAx>
        <c:axId val="567315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67313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315752"/>
        <c:axId val="567314184"/>
      </c:scatterChart>
      <c:valAx>
        <c:axId val="567315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4184"/>
        <c:crosses val="autoZero"/>
        <c:crossBetween val="midCat"/>
      </c:valAx>
      <c:valAx>
        <c:axId val="56731418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315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990824"/>
        <c:axId val="567992000"/>
      </c:scatterChart>
      <c:valAx>
        <c:axId val="567990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2000"/>
        <c:crosses val="autoZero"/>
        <c:crossBetween val="midCat"/>
      </c:valAx>
      <c:valAx>
        <c:axId val="56799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0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988864"/>
        <c:axId val="56798925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989648"/>
        <c:axId val="567990040"/>
      </c:lineChart>
      <c:catAx>
        <c:axId val="56798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9256"/>
        <c:crosses val="autoZero"/>
        <c:auto val="1"/>
        <c:lblAlgn val="ctr"/>
        <c:lblOffset val="100"/>
        <c:noMultiLvlLbl val="0"/>
      </c:catAx>
      <c:valAx>
        <c:axId val="567989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8864"/>
        <c:crosses val="autoZero"/>
        <c:crossBetween val="between"/>
      </c:valAx>
      <c:valAx>
        <c:axId val="56799004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89648"/>
        <c:crosses val="max"/>
        <c:crossBetween val="between"/>
      </c:valAx>
      <c:catAx>
        <c:axId val="5679896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7990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7991216"/>
        <c:axId val="567991608"/>
      </c:scatterChart>
      <c:valAx>
        <c:axId val="56799121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1608"/>
        <c:crosses val="autoZero"/>
        <c:crossBetween val="midCat"/>
      </c:valAx>
      <c:valAx>
        <c:axId val="567991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991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18.xml"/><Relationship Id="rId7" Type="http://schemas.openxmlformats.org/officeDocument/2006/relationships/image" Target="../media/image8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3" Type="http://schemas.openxmlformats.org/officeDocument/2006/relationships/chart" Target="../charts/chart21.xml"/><Relationship Id="rId7" Type="http://schemas.openxmlformats.org/officeDocument/2006/relationships/image" Target="../media/image12.png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11.png"/><Relationship Id="rId5" Type="http://schemas.openxmlformats.org/officeDocument/2006/relationships/image" Target="../media/image10.png"/><Relationship Id="rId4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38736" y="40281413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1059" y="377919"/>
          <a:ext cx="2883647" cy="3145256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2476" y="4017684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81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0000000-0008-0000-0700-000003000000}"/>
                </a:ext>
              </a:extLst>
            </xdr:cNvPr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11275359" y="14032005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82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700-000004000000}"/>
                </a:ext>
              </a:extLst>
            </xdr:cNvPr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75359" y="14278536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:a14="http://schemas.microsoft.com/office/drawing/2010/main" xmlns="" id="{2D898092-0340-1DEC-094C-4073F2FA1F95}"/>
                </a:ext>
              </a:extLst>
            </xdr:cNvPr>
            <xdr:cNvSpPr txBox="1"/>
          </xdr:nvSpPr>
          <xdr:spPr>
            <a:xfrm>
              <a:off x="13919199" y="433817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3" customWidth="1"/>
    <col min="2" max="9" width="7.26953125" style="113" customWidth="1"/>
    <col min="10" max="16384" width="8.9062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 ht="13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 ht="13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" thickBot="1"/>
    <row r="105" spans="1:12" ht="13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49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49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" thickBot="1">
      <c r="A110" s="349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ht="13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ht="13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ht="13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 ht="13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ht="13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49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49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" thickBot="1">
      <c r="A162" s="349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49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49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" thickBot="1">
      <c r="A214" s="349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 ht="13">
      <c r="A216" s="135" t="s">
        <v>90</v>
      </c>
    </row>
    <row r="217" spans="1:12" ht="13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 ht="13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 ht="13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 ht="13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" thickBot="1"/>
    <row r="243" spans="1:7" ht="15" customHeight="1" thickBot="1">
      <c r="C243" s="350" t="s">
        <v>113</v>
      </c>
      <c r="D243" s="351"/>
      <c r="E243" s="351"/>
      <c r="F243" s="351"/>
      <c r="G243" s="352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50" t="s">
        <v>123</v>
      </c>
      <c r="D247" s="351"/>
      <c r="E247" s="351"/>
      <c r="F247" s="351"/>
      <c r="G247" s="352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3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4"/>
    </row>
    <row r="259" spans="1:12" ht="13" thickBot="1"/>
    <row r="260" spans="1:12" ht="13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5">
      <c r="A263" s="349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5">
      <c r="A264" s="349"/>
      <c r="B264" s="159" t="s">
        <v>136</v>
      </c>
      <c r="L264" s="150"/>
    </row>
    <row r="265" spans="1:12" ht="13" thickBot="1">
      <c r="A265" s="349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 ht="13">
      <c r="A267" s="135" t="s">
        <v>137</v>
      </c>
    </row>
    <row r="268" spans="1:12" ht="13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19"/>
  <sheetViews>
    <sheetView workbookViewId="0">
      <selection activeCell="G12" sqref="G12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5" customHeight="1">
      <c r="A7" s="203" t="s">
        <v>171</v>
      </c>
      <c r="B7" s="214">
        <v>800</v>
      </c>
      <c r="C7" s="217">
        <v>8034.6</v>
      </c>
      <c r="D7" s="220">
        <v>2945</v>
      </c>
      <c r="E7" s="223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117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8" sqref="C8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73" t="s">
        <v>182</v>
      </c>
      <c r="C2" s="375"/>
    </row>
    <row r="3" spans="2:22">
      <c r="B3" s="3" t="s">
        <v>570</v>
      </c>
      <c r="C3" s="4">
        <f>2.5</f>
        <v>2.5</v>
      </c>
    </row>
    <row r="4" spans="2:22">
      <c r="B4" s="3" t="s">
        <v>569</v>
      </c>
      <c r="C4" s="4">
        <v>8</v>
      </c>
    </row>
    <row r="5" spans="2:22">
      <c r="B5" s="165" t="s">
        <v>571</v>
      </c>
      <c r="C5" s="166">
        <v>15</v>
      </c>
    </row>
    <row r="6" spans="2:22">
      <c r="B6" s="165" t="s">
        <v>572</v>
      </c>
      <c r="C6" s="166">
        <v>10</v>
      </c>
    </row>
    <row r="7" spans="2:22">
      <c r="B7" s="165" t="s">
        <v>573</v>
      </c>
      <c r="C7" s="166">
        <v>30</v>
      </c>
    </row>
    <row r="8" spans="2:22">
      <c r="B8" s="165" t="s">
        <v>568</v>
      </c>
      <c r="C8" s="190">
        <f>D62*4+(PI()*(DiameterRocket/100)^2)/4</f>
        <v>6.2265482457436686E-3</v>
      </c>
    </row>
    <row r="9" spans="2:22" ht="15" thickBot="1">
      <c r="B9" s="5" t="s">
        <v>574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55" t="s">
        <v>185</v>
      </c>
      <c r="D12" s="356"/>
      <c r="E12" s="356"/>
      <c r="F12" s="356"/>
      <c r="G12" s="357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55" t="s">
        <v>189</v>
      </c>
      <c r="P12" s="356"/>
      <c r="Q12" s="356"/>
      <c r="R12" s="356"/>
      <c r="S12" s="357"/>
      <c r="T12" s="1" t="s">
        <v>186</v>
      </c>
      <c r="U12" s="1" t="s">
        <v>187</v>
      </c>
      <c r="V12" s="1" t="s">
        <v>188</v>
      </c>
    </row>
    <row r="13" spans="2:22">
      <c r="B13" s="370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70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71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71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71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71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71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71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71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71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71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71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71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71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71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71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71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71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71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72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90" t="s">
        <v>191</v>
      </c>
      <c r="C23" s="66"/>
      <c r="D23" s="65" t="s">
        <v>186</v>
      </c>
      <c r="E23" s="65"/>
      <c r="F23" s="65"/>
      <c r="G23" s="65"/>
      <c r="K23" s="368"/>
      <c r="N23" s="389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90"/>
      <c r="C24" s="67" t="s">
        <v>193</v>
      </c>
      <c r="D24" s="1">
        <f>(F25/2)/(F26)</f>
        <v>0.13333333333333333</v>
      </c>
      <c r="K24" s="368"/>
      <c r="N24" s="390"/>
      <c r="O24" s="67" t="s">
        <v>193</v>
      </c>
      <c r="P24" s="1" t="s">
        <v>194</v>
      </c>
    </row>
    <row r="25" spans="2:22">
      <c r="B25" s="390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68"/>
      <c r="N25" s="390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90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68"/>
      <c r="N26" s="390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5" customHeight="1">
      <c r="B27" s="2" t="s">
        <v>199</v>
      </c>
      <c r="C27" s="358" t="s">
        <v>200</v>
      </c>
      <c r="D27" s="358"/>
      <c r="E27" s="358"/>
      <c r="F27" s="358"/>
      <c r="G27" s="358"/>
      <c r="L27" s="64"/>
      <c r="M27" s="64"/>
      <c r="N27" s="2" t="s">
        <v>199</v>
      </c>
      <c r="O27" s="358" t="s">
        <v>200</v>
      </c>
      <c r="P27" s="358"/>
      <c r="Q27" s="358"/>
      <c r="R27" s="358"/>
      <c r="S27" s="358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70" t="s">
        <v>203</v>
      </c>
      <c r="C31" s="373"/>
      <c r="D31" s="374"/>
      <c r="E31" s="374"/>
      <c r="F31" s="374"/>
      <c r="G31" s="375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71"/>
      <c r="C32" s="376"/>
      <c r="D32" s="365"/>
      <c r="E32" s="365"/>
      <c r="F32" s="365"/>
      <c r="G32" s="37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71"/>
      <c r="C33" s="376"/>
      <c r="D33" s="365"/>
      <c r="E33" s="365"/>
      <c r="F33" s="365"/>
      <c r="G33" s="37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71"/>
      <c r="C34" s="376"/>
      <c r="D34" s="365"/>
      <c r="E34" s="365"/>
      <c r="F34" s="365"/>
      <c r="G34" s="37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71"/>
      <c r="C35" s="376"/>
      <c r="D35" s="365"/>
      <c r="E35" s="365"/>
      <c r="F35" s="365"/>
      <c r="G35" s="37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71"/>
      <c r="C36" s="376"/>
      <c r="D36" s="365"/>
      <c r="E36" s="365"/>
      <c r="F36" s="365"/>
      <c r="G36" s="37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71"/>
      <c r="C37" s="376"/>
      <c r="D37" s="365"/>
      <c r="E37" s="365"/>
      <c r="F37" s="365"/>
      <c r="G37" s="37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71"/>
      <c r="C38" s="376"/>
      <c r="D38" s="365"/>
      <c r="E38" s="365"/>
      <c r="F38" s="365"/>
      <c r="G38" s="37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71"/>
      <c r="C39" s="376"/>
      <c r="D39" s="365"/>
      <c r="E39" s="365"/>
      <c r="F39" s="365"/>
      <c r="G39" s="37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72"/>
      <c r="C40" s="378"/>
      <c r="D40" s="379"/>
      <c r="E40" s="379"/>
      <c r="F40" s="379"/>
      <c r="G40" s="38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58" t="s">
        <v>191</v>
      </c>
      <c r="C41" s="1" t="s">
        <v>204</v>
      </c>
      <c r="H41" s="12"/>
    </row>
    <row r="42" spans="2:24">
      <c r="B42" s="365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5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5" t="s">
        <v>206</v>
      </c>
      <c r="D44" s="365"/>
      <c r="E44" s="365"/>
      <c r="F44" s="365"/>
      <c r="G44" s="365"/>
    </row>
    <row r="45" spans="2:24">
      <c r="B45" s="365" t="s">
        <v>201</v>
      </c>
    </row>
    <row r="46" spans="2:24">
      <c r="B46" s="365"/>
    </row>
    <row r="47" spans="2:24" ht="15" thickBot="1">
      <c r="B47" s="365"/>
    </row>
    <row r="48" spans="2:24" ht="15" customHeight="1" thickBot="1">
      <c r="K48" s="366" t="s">
        <v>207</v>
      </c>
      <c r="L48" s="367"/>
      <c r="W48" s="368" t="s">
        <v>207</v>
      </c>
      <c r="X48" s="368"/>
    </row>
    <row r="49" spans="2:24" ht="15" thickBot="1">
      <c r="B49" s="8" t="s">
        <v>184</v>
      </c>
      <c r="C49" s="366" t="s">
        <v>208</v>
      </c>
      <c r="D49" s="369"/>
      <c r="E49" s="369"/>
      <c r="F49" s="369"/>
      <c r="G49" s="367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66" t="s">
        <v>212</v>
      </c>
      <c r="P49" s="369"/>
      <c r="Q49" s="369"/>
      <c r="R49" s="369"/>
      <c r="S49" s="367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70" t="s">
        <v>214</v>
      </c>
      <c r="C50" s="373"/>
      <c r="D50" s="374"/>
      <c r="E50" s="374"/>
      <c r="F50" s="374"/>
      <c r="G50" s="375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70" t="s">
        <v>214</v>
      </c>
      <c r="O50" s="373"/>
      <c r="P50" s="374"/>
      <c r="Q50" s="374"/>
      <c r="R50" s="374"/>
      <c r="S50" s="375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71"/>
      <c r="C51" s="376"/>
      <c r="D51" s="365"/>
      <c r="E51" s="365"/>
      <c r="F51" s="365"/>
      <c r="G51" s="377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71"/>
      <c r="O51" s="376"/>
      <c r="P51" s="365"/>
      <c r="Q51" s="365"/>
      <c r="R51" s="365"/>
      <c r="S51" s="37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71"/>
      <c r="C52" s="376"/>
      <c r="D52" s="365"/>
      <c r="E52" s="365"/>
      <c r="F52" s="365"/>
      <c r="G52" s="377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71"/>
      <c r="O52" s="376"/>
      <c r="P52" s="365"/>
      <c r="Q52" s="365"/>
      <c r="R52" s="365"/>
      <c r="S52" s="37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71"/>
      <c r="C53" s="376"/>
      <c r="D53" s="365"/>
      <c r="E53" s="365"/>
      <c r="F53" s="365"/>
      <c r="G53" s="377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71"/>
      <c r="O53" s="376"/>
      <c r="P53" s="365"/>
      <c r="Q53" s="365"/>
      <c r="R53" s="365"/>
      <c r="S53" s="37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71"/>
      <c r="C54" s="376"/>
      <c r="D54" s="365"/>
      <c r="E54" s="365"/>
      <c r="F54" s="365"/>
      <c r="G54" s="377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71"/>
      <c r="O54" s="376"/>
      <c r="P54" s="365"/>
      <c r="Q54" s="365"/>
      <c r="R54" s="365"/>
      <c r="S54" s="37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71"/>
      <c r="C55" s="376"/>
      <c r="D55" s="365"/>
      <c r="E55" s="365"/>
      <c r="F55" s="365"/>
      <c r="G55" s="377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71"/>
      <c r="O55" s="376"/>
      <c r="P55" s="365"/>
      <c r="Q55" s="365"/>
      <c r="R55" s="365"/>
      <c r="S55" s="37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71"/>
      <c r="C56" s="376"/>
      <c r="D56" s="365"/>
      <c r="E56" s="365"/>
      <c r="F56" s="365"/>
      <c r="G56" s="377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71"/>
      <c r="O56" s="376"/>
      <c r="P56" s="365"/>
      <c r="Q56" s="365"/>
      <c r="R56" s="365"/>
      <c r="S56" s="37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71"/>
      <c r="C57" s="376"/>
      <c r="D57" s="365"/>
      <c r="E57" s="365"/>
      <c r="F57" s="365"/>
      <c r="G57" s="377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71"/>
      <c r="O57" s="376"/>
      <c r="P57" s="365"/>
      <c r="Q57" s="365"/>
      <c r="R57" s="365"/>
      <c r="S57" s="37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71"/>
      <c r="C58" s="376"/>
      <c r="D58" s="365"/>
      <c r="E58" s="365"/>
      <c r="F58" s="365"/>
      <c r="G58" s="377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71"/>
      <c r="O58" s="376"/>
      <c r="P58" s="365"/>
      <c r="Q58" s="365"/>
      <c r="R58" s="365"/>
      <c r="S58" s="37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72"/>
      <c r="C59" s="381"/>
      <c r="D59" s="382"/>
      <c r="E59" s="382"/>
      <c r="F59" s="382"/>
      <c r="G59" s="383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72"/>
      <c r="O59" s="378"/>
      <c r="P59" s="379"/>
      <c r="Q59" s="379"/>
      <c r="R59" s="379"/>
      <c r="S59" s="38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4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59" t="s">
        <v>218</v>
      </c>
      <c r="I60" s="360"/>
      <c r="J60" s="361"/>
      <c r="K60" s="82" t="s">
        <v>219</v>
      </c>
      <c r="L60" s="57">
        <f>K67^2/K68</f>
        <v>1.1707317073170729</v>
      </c>
      <c r="N60" s="358" t="s">
        <v>191</v>
      </c>
      <c r="O60" s="1" t="s">
        <v>220</v>
      </c>
    </row>
    <row r="61" spans="2:24" ht="16.149999999999999" customHeight="1" thickBot="1">
      <c r="B61" s="385"/>
      <c r="C61" s="81" t="s">
        <v>221</v>
      </c>
      <c r="D61" s="83">
        <f>-I50+D60*H50</f>
        <v>23.499999999999979</v>
      </c>
      <c r="E61" s="78"/>
      <c r="F61" s="61"/>
      <c r="G61" s="62"/>
      <c r="H61" s="362"/>
      <c r="I61" s="363"/>
      <c r="J61" s="364"/>
      <c r="K61" s="81"/>
      <c r="L61" s="62"/>
      <c r="N61" s="358"/>
    </row>
    <row r="62" spans="2:24" ht="27.65" customHeight="1">
      <c r="B62" s="385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58"/>
    </row>
    <row r="63" spans="2:24" ht="27.65" customHeight="1">
      <c r="B63" s="385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58"/>
    </row>
    <row r="64" spans="2:24">
      <c r="B64" s="386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58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7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5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7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5"/>
    </row>
    <row r="67" spans="2:19">
      <c r="B67" s="387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5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88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5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58" t="s">
        <v>237</v>
      </c>
      <c r="D69" s="358"/>
      <c r="E69" s="358"/>
      <c r="F69" s="358"/>
      <c r="G69" s="358"/>
      <c r="N69" s="2" t="s">
        <v>199</v>
      </c>
      <c r="O69" s="365" t="s">
        <v>238</v>
      </c>
      <c r="P69" s="365"/>
      <c r="Q69" s="365"/>
      <c r="R69" s="365"/>
      <c r="S69" s="365"/>
    </row>
    <row r="70" spans="2:19">
      <c r="B70" s="365" t="s">
        <v>201</v>
      </c>
      <c r="C70" s="66"/>
      <c r="D70" s="65"/>
      <c r="E70" s="65"/>
      <c r="F70" s="65"/>
      <c r="G70" s="94"/>
      <c r="N70" s="365" t="s">
        <v>201</v>
      </c>
    </row>
    <row r="71" spans="2:19">
      <c r="B71" s="365"/>
      <c r="C71" s="67"/>
      <c r="G71" s="95"/>
      <c r="N71" s="365"/>
    </row>
    <row r="72" spans="2:19">
      <c r="B72" s="365"/>
      <c r="C72" s="68"/>
      <c r="D72" s="69"/>
      <c r="E72" s="69"/>
      <c r="F72" s="69"/>
      <c r="G72" s="96"/>
      <c r="N72" s="365"/>
    </row>
    <row r="73" spans="2:19" ht="15" thickBot="1"/>
    <row r="74" spans="2:19" ht="15" thickBot="1">
      <c r="B74" s="85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70" t="s">
        <v>246</v>
      </c>
      <c r="C88" s="373"/>
      <c r="D88" s="374"/>
      <c r="E88" s="374"/>
      <c r="F88" s="374"/>
      <c r="G88" s="375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71"/>
      <c r="C89" s="376"/>
      <c r="D89" s="365"/>
      <c r="E89" s="365"/>
      <c r="F89" s="365"/>
      <c r="G89" s="37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71"/>
      <c r="C90" s="376"/>
      <c r="D90" s="365"/>
      <c r="E90" s="365"/>
      <c r="F90" s="365"/>
      <c r="G90" s="37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71"/>
      <c r="C91" s="376"/>
      <c r="D91" s="365"/>
      <c r="E91" s="365"/>
      <c r="F91" s="365"/>
      <c r="G91" s="37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71"/>
      <c r="C92" s="376"/>
      <c r="D92" s="365"/>
      <c r="E92" s="365"/>
      <c r="F92" s="365"/>
      <c r="G92" s="37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71"/>
      <c r="C93" s="376"/>
      <c r="D93" s="365"/>
      <c r="E93" s="365"/>
      <c r="F93" s="365"/>
      <c r="G93" s="37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71"/>
      <c r="C94" s="376"/>
      <c r="D94" s="365"/>
      <c r="E94" s="365"/>
      <c r="F94" s="365"/>
      <c r="G94" s="37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71"/>
      <c r="C95" s="376"/>
      <c r="D95" s="365"/>
      <c r="E95" s="365"/>
      <c r="F95" s="365"/>
      <c r="G95" s="37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71"/>
      <c r="C96" s="376"/>
      <c r="D96" s="365"/>
      <c r="E96" s="365"/>
      <c r="F96" s="365"/>
      <c r="G96" s="37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72"/>
      <c r="C97" s="378"/>
      <c r="D97" s="379"/>
      <c r="E97" s="379"/>
      <c r="F97" s="379"/>
      <c r="G97" s="38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58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65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5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65" t="s">
        <v>249</v>
      </c>
      <c r="D101" s="365"/>
      <c r="E101" s="365"/>
      <c r="F101" s="365"/>
      <c r="G101" s="365"/>
    </row>
    <row r="102" spans="2:10">
      <c r="B102" s="365" t="s">
        <v>201</v>
      </c>
    </row>
    <row r="103" spans="2:10">
      <c r="B103" s="365"/>
    </row>
    <row r="104" spans="2:10">
      <c r="B104" s="365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4"/>
  <sheetViews>
    <sheetView topLeftCell="A7" zoomScale="84" zoomScaleNormal="120" workbookViewId="0">
      <selection activeCell="F27" sqref="F27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4" t="s">
        <v>252</v>
      </c>
      <c r="U15" s="395"/>
      <c r="V15" s="396"/>
    </row>
    <row r="16" spans="2:22" ht="1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397" t="s">
        <v>252</v>
      </c>
      <c r="U23" s="398"/>
      <c r="V23" s="399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400" t="s">
        <v>286</v>
      </c>
      <c r="L33" s="401"/>
      <c r="M33" s="401"/>
      <c r="N33" s="401"/>
      <c r="O33" s="401"/>
      <c r="P33" s="401"/>
      <c r="Q33" s="401"/>
      <c r="R33" s="401"/>
      <c r="S33" s="402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f>((L35-L36)/2)*10</f>
        <v>3.9999999999999991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400" t="s">
        <v>312</v>
      </c>
      <c r="L43" s="401"/>
      <c r="M43" s="401"/>
      <c r="N43" s="401"/>
      <c r="O43" s="401"/>
      <c r="P43" s="401"/>
      <c r="Q43" s="401"/>
      <c r="R43" s="401"/>
      <c r="S43" s="402"/>
    </row>
    <row r="44" spans="2:19" ht="15" thickBot="1">
      <c r="B44" s="391" t="s">
        <v>313</v>
      </c>
      <c r="C44" s="392"/>
      <c r="D44" s="392"/>
      <c r="E44" s="392"/>
      <c r="F44" s="393"/>
      <c r="K44" s="22" t="s">
        <v>288</v>
      </c>
      <c r="N44" s="97"/>
      <c r="O44" s="14" t="s">
        <v>289</v>
      </c>
      <c r="Q44" s="14" t="s">
        <v>290</v>
      </c>
      <c r="R44" s="14" t="s">
        <v>186</v>
      </c>
      <c r="S44" s="180" t="s">
        <v>291</v>
      </c>
    </row>
    <row r="45" spans="2:19" ht="29.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14">
        <v>15</v>
      </c>
      <c r="M45" s="14" t="s">
        <v>196</v>
      </c>
      <c r="N45" s="14">
        <f>L45/100</f>
        <v>0.15</v>
      </c>
      <c r="O45" s="253" t="s">
        <v>197</v>
      </c>
      <c r="Q45" s="14" t="s">
        <v>294</v>
      </c>
      <c r="R45" s="14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14">
        <v>10</v>
      </c>
      <c r="M46" s="14" t="s">
        <v>196</v>
      </c>
      <c r="N46" s="14">
        <f t="shared" ref="N46:N47" si="34">L46/100</f>
        <v>0.1</v>
      </c>
      <c r="O46" s="253" t="s">
        <v>197</v>
      </c>
      <c r="Q46" s="14" t="s">
        <v>298</v>
      </c>
      <c r="R46" s="14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14">
        <v>8</v>
      </c>
      <c r="M47" s="14" t="s">
        <v>196</v>
      </c>
      <c r="N47" s="14">
        <f t="shared" si="34"/>
        <v>0.08</v>
      </c>
      <c r="O47" s="253" t="s">
        <v>197</v>
      </c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14">
        <v>2</v>
      </c>
      <c r="M48" s="14" t="s">
        <v>227</v>
      </c>
      <c r="N48" s="14">
        <f>L48/1000</f>
        <v>2E-3</v>
      </c>
      <c r="O48" s="253" t="s">
        <v>197</v>
      </c>
      <c r="Q48" s="14" t="s">
        <v>303</v>
      </c>
      <c r="R48" s="14" t="s">
        <v>186</v>
      </c>
      <c r="S48" s="180"/>
    </row>
    <row r="49" spans="2:19">
      <c r="B49" s="22" t="s">
        <v>265</v>
      </c>
      <c r="C49" s="19"/>
      <c r="D49" s="20">
        <v>120</v>
      </c>
      <c r="E49" s="20">
        <v>-4</v>
      </c>
      <c r="F49" s="21">
        <v>0</v>
      </c>
      <c r="G49" s="19"/>
      <c r="H49" s="20"/>
      <c r="I49" s="21"/>
      <c r="K49" s="22"/>
      <c r="Q49" s="14" t="s">
        <v>294</v>
      </c>
      <c r="R49" s="14">
        <v>1.5</v>
      </c>
      <c r="S49" s="254" t="s">
        <v>295</v>
      </c>
    </row>
    <row r="50" spans="2:19">
      <c r="B50" s="22" t="s">
        <v>266</v>
      </c>
      <c r="C50" s="19"/>
      <c r="D50" s="20">
        <v>120</v>
      </c>
      <c r="E50" s="20">
        <v>0</v>
      </c>
      <c r="F50" s="21">
        <v>4</v>
      </c>
      <c r="G50" s="19">
        <f>$C$21*D50*9.81</f>
        <v>176580</v>
      </c>
      <c r="H50" s="20">
        <f>$C$21*E50*9.81</f>
        <v>0</v>
      </c>
      <c r="I50" s="21">
        <f t="shared" ref="I50" si="36">$C$21*F50*9.81</f>
        <v>5886</v>
      </c>
      <c r="K50" s="22" t="s">
        <v>294</v>
      </c>
      <c r="L50" s="14">
        <f>N50</f>
        <v>1.7999999999999998</v>
      </c>
      <c r="M50" s="14" t="s">
        <v>306</v>
      </c>
      <c r="N50" s="14">
        <f>(R45*R46/100)+(R49*R50/100)</f>
        <v>1.7999999999999998</v>
      </c>
      <c r="O50" s="253" t="s">
        <v>295</v>
      </c>
      <c r="Q50" s="14" t="s">
        <v>307</v>
      </c>
      <c r="R50" s="14">
        <v>40</v>
      </c>
      <c r="S50" s="254" t="s">
        <v>299</v>
      </c>
    </row>
    <row r="51" spans="2:19" ht="15" thickBot="1">
      <c r="B51" s="22" t="s">
        <v>267</v>
      </c>
      <c r="C51" s="19"/>
      <c r="D51" s="20">
        <v>120</v>
      </c>
      <c r="E51" s="20">
        <v>0</v>
      </c>
      <c r="F51" s="21">
        <v>-4</v>
      </c>
      <c r="G51" s="19"/>
      <c r="H51" s="20"/>
      <c r="I51" s="21"/>
      <c r="K51" s="181" t="s">
        <v>309</v>
      </c>
      <c r="L51" s="182">
        <f>N51*1000</f>
        <v>3.6000000000000004E-2</v>
      </c>
      <c r="M51" s="182" t="s">
        <v>310</v>
      </c>
      <c r="N51" s="182">
        <f>((0.5*(N45+N46)*N47)*N48*N50*1000)/1000</f>
        <v>3.6000000000000001E-5</v>
      </c>
      <c r="O51" s="255" t="s">
        <v>311</v>
      </c>
      <c r="P51" s="182"/>
      <c r="Q51" s="182"/>
      <c r="R51" s="182"/>
      <c r="S51" s="183"/>
    </row>
    <row r="52" spans="2:19">
      <c r="B52" s="22" t="s">
        <v>269</v>
      </c>
      <c r="C52" s="19"/>
      <c r="D52" s="20">
        <v>128</v>
      </c>
      <c r="E52" s="20">
        <v>0</v>
      </c>
      <c r="F52" s="21">
        <v>0</v>
      </c>
      <c r="G52" s="19">
        <f>$C$23*D52*9.81</f>
        <v>0</v>
      </c>
      <c r="H52" s="20">
        <f>$C$23*E52*9.81</f>
        <v>0</v>
      </c>
      <c r="I52" s="21">
        <f t="shared" ref="I52" si="37">$C$23*F52*9.81</f>
        <v>0</v>
      </c>
    </row>
    <row r="53" spans="2:19" ht="15" thickBot="1">
      <c r="B53" s="22" t="s">
        <v>318</v>
      </c>
      <c r="C53" s="23">
        <f>SUM(C46:C52)</f>
        <v>0</v>
      </c>
      <c r="D53" s="24">
        <f>G53/($C$28*9.81)</f>
        <v>14.450327000934289</v>
      </c>
      <c r="E53" s="24">
        <f>H53/($C$28*9.81)</f>
        <v>0</v>
      </c>
      <c r="F53" s="25">
        <f t="shared" ref="F53" si="38">I53/($C$28*9.81)</f>
        <v>0.18685767673621925</v>
      </c>
      <c r="G53" s="23">
        <f>SUM(G46:G52)</f>
        <v>455184</v>
      </c>
      <c r="H53" s="24">
        <f>SUM(H46:H52)</f>
        <v>0</v>
      </c>
      <c r="I53" s="25">
        <f>SUM(I46:I52)</f>
        <v>5886</v>
      </c>
    </row>
    <row r="54" spans="2:19" ht="29.5" thickBot="1">
      <c r="B54" s="49" t="s">
        <v>319</v>
      </c>
      <c r="C54" s="23"/>
      <c r="D54" s="24"/>
      <c r="E54" s="24"/>
      <c r="F54" s="25"/>
      <c r="G54" s="20"/>
      <c r="I54" s="20"/>
    </row>
    <row r="57" spans="2:19" s="97" customFormat="1" ht="4.5" customHeight="1"/>
    <row r="59" spans="2:19">
      <c r="B59" s="14" t="s">
        <v>320</v>
      </c>
    </row>
    <row r="60" spans="2:19">
      <c r="B60" s="14" t="s">
        <v>321</v>
      </c>
      <c r="C60" s="14" t="s">
        <v>186</v>
      </c>
      <c r="D60" s="14" t="s">
        <v>322</v>
      </c>
      <c r="E60" s="14" t="s">
        <v>323</v>
      </c>
    </row>
    <row r="61" spans="2:19">
      <c r="B61" s="14" t="s">
        <v>324</v>
      </c>
    </row>
    <row r="62" spans="2:19">
      <c r="B62" s="14" t="s">
        <v>325</v>
      </c>
    </row>
    <row r="63" spans="2:19">
      <c r="B63" s="14" t="s">
        <v>214</v>
      </c>
    </row>
    <row r="64" spans="2:19">
      <c r="B64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51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 ht="14.5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 ht="14.5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 ht="14.5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thickBot="1">
      <c r="A14" s="268" t="s">
        <v>486</v>
      </c>
    </row>
    <row r="15" spans="1:11" ht="14.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5" outlineLevel="1">
      <c r="A22" t="s">
        <v>349</v>
      </c>
    </row>
    <row r="23" spans="1:11" ht="14.5" outlineLevel="1">
      <c r="A23" t="s">
        <v>350</v>
      </c>
    </row>
    <row r="24" spans="1:11" ht="14.5" outlineLevel="1">
      <c r="A24" t="s">
        <v>351</v>
      </c>
    </row>
    <row r="25" spans="1:11" ht="14.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5" outlineLevel="1">
      <c r="A30" t="s">
        <v>347</v>
      </c>
      <c r="B30" s="191">
        <f t="shared" ref="B30:K30" si="48">CrossSecAreaRocket</f>
        <v>6.2265482457436686E-3</v>
      </c>
      <c r="C30" s="191">
        <f t="shared" si="48"/>
        <v>6.2265482457436686E-3</v>
      </c>
      <c r="D30" s="191">
        <f t="shared" si="48"/>
        <v>6.2265482457436686E-3</v>
      </c>
      <c r="E30" s="191">
        <f t="shared" si="48"/>
        <v>6.2265482457436686E-3</v>
      </c>
      <c r="F30" s="191">
        <f t="shared" si="48"/>
        <v>6.2265482457436686E-3</v>
      </c>
      <c r="G30" s="191">
        <f t="shared" si="48"/>
        <v>6.2265482457436686E-3</v>
      </c>
      <c r="H30" s="191">
        <f t="shared" si="48"/>
        <v>6.2265482457436686E-3</v>
      </c>
      <c r="I30" s="191">
        <f t="shared" si="48"/>
        <v>6.2265482457436686E-3</v>
      </c>
      <c r="J30" s="191">
        <f t="shared" si="48"/>
        <v>6.2265482457436686E-3</v>
      </c>
      <c r="K30" s="191">
        <f t="shared" si="48"/>
        <v>6.2265482457436686E-3</v>
      </c>
    </row>
    <row r="31" spans="1:11" ht="15" customHeight="1" thickBot="1"/>
    <row r="32" spans="1:11" thickBot="1">
      <c r="A32" s="268" t="s">
        <v>352</v>
      </c>
    </row>
    <row r="33" spans="1:11" ht="14.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ht="14.5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ht="14.5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ht="14.5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ht="14.5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ht="14.5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 ht="14.5">
      <c r="A92" s="265" t="s">
        <v>373</v>
      </c>
    </row>
    <row r="93" spans="1:11" s="167" customFormat="1" ht="14.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5" hidden="1" outlineLevel="1"/>
    <row r="99" spans="1:11" ht="14.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 ht="14.5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 ht="14.5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 ht="14.5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ht="14.5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5">
      <c r="A118" s="271" t="s">
        <v>528</v>
      </c>
    </row>
    <row r="119" spans="1:11" ht="14.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5" collapsed="1"/>
    <row r="125" spans="1:11" s="187" customFormat="1" ht="14.5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tabSelected="1" zoomScale="85" zoomScaleNormal="85" workbookViewId="0">
      <pane ySplit="14" topLeftCell="A553" activePane="bottomLeft" state="frozen"/>
      <selection pane="bottomLeft" activeCell="F558" sqref="F558"/>
    </sheetView>
  </sheetViews>
  <sheetFormatPr defaultColWidth="9.08984375" defaultRowHeight="15" customHeight="1" outlineLevelRow="1"/>
  <cols>
    <col min="1" max="1" width="43.26953125" customWidth="1"/>
    <col min="2" max="2" width="12.7265625" style="191" customWidth="1"/>
    <col min="3" max="3" width="12.90625" style="323" customWidth="1"/>
    <col min="4" max="11" width="12.90625" style="191" customWidth="1"/>
    <col min="12" max="12" width="12.90625" customWidth="1"/>
    <col min="13" max="13" width="4.453125" style="335" customWidth="1"/>
    <col min="14" max="31" width="4.453125" customWidth="1"/>
  </cols>
  <sheetData>
    <row r="1" spans="1:13" ht="30.75" customHeight="1" thickBot="1">
      <c r="A1" s="269" t="s">
        <v>635</v>
      </c>
      <c r="B1" s="191">
        <v>1</v>
      </c>
      <c r="C1" s="323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5">
      <c r="A2" t="s">
        <v>327</v>
      </c>
      <c r="B2" s="191">
        <f>B10*B12</f>
        <v>204.10444385167119</v>
      </c>
      <c r="C2" s="323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5" outlineLevel="1">
      <c r="A3" t="s">
        <v>328</v>
      </c>
      <c r="B3" s="191">
        <f>B2*COS(RADIANS(B13))*COS(RADIANS(B14))</f>
        <v>203.32776482199921</v>
      </c>
      <c r="C3" s="323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5" outlineLevel="1">
      <c r="A4" t="s">
        <v>329</v>
      </c>
      <c r="B4" s="191">
        <f t="shared" ref="B4:K4" si="2">B2*SIN(RADIANS(B14))</f>
        <v>0</v>
      </c>
      <c r="C4" s="323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5" outlineLevel="1">
      <c r="A5" t="s">
        <v>330</v>
      </c>
      <c r="B5" s="191">
        <f t="shared" ref="B5:K5" si="3">B2*SIN(RADIANS(B13))*COS(RADIANS(B14))</f>
        <v>17.788874401990096</v>
      </c>
      <c r="C5" s="323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5" outlineLevel="1">
      <c r="A6" t="s">
        <v>336</v>
      </c>
      <c r="B6" s="191">
        <v>0</v>
      </c>
    </row>
    <row r="7" spans="1:13" ht="14.5" outlineLevel="1">
      <c r="A7" t="s">
        <v>347</v>
      </c>
      <c r="B7" s="191">
        <f>B34</f>
        <v>6.2265482457436686E-3</v>
      </c>
    </row>
    <row r="8" spans="1:13" ht="14.5" outlineLevel="1">
      <c r="A8" t="s">
        <v>624</v>
      </c>
      <c r="B8" s="191">
        <f>B33</f>
        <v>25496.65287598814</v>
      </c>
    </row>
    <row r="9" spans="1:13" ht="14.5" outlineLevel="1">
      <c r="A9" t="s">
        <v>625</v>
      </c>
      <c r="B9" s="191">
        <f>B545</f>
        <v>0.8</v>
      </c>
    </row>
    <row r="10" spans="1:13" s="284" customFormat="1" ht="14.5">
      <c r="A10" s="284" t="s">
        <v>623</v>
      </c>
      <c r="B10" s="285">
        <v>0.6</v>
      </c>
      <c r="C10" s="324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339"/>
    </row>
    <row r="11" spans="1:13" ht="14.5">
      <c r="A11" t="s">
        <v>331</v>
      </c>
      <c r="B11" s="282">
        <f>B2/B12</f>
        <v>0.6</v>
      </c>
      <c r="C11" s="325">
        <f>C2/C12</f>
        <v>9.9999999999999992E-2</v>
      </c>
      <c r="D11" s="282">
        <f t="shared" ref="D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5">
      <c r="A12" t="s">
        <v>485</v>
      </c>
      <c r="B12" s="191">
        <f>(SQRT(1.4*B21*287))</f>
        <v>340.17407308611865</v>
      </c>
      <c r="C12" s="323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 ht="14.5">
      <c r="A13" s="284" t="s">
        <v>332</v>
      </c>
      <c r="B13" s="286">
        <v>5</v>
      </c>
      <c r="C13" s="326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339"/>
    </row>
    <row r="14" spans="1:13" ht="14.5">
      <c r="A14" s="267" t="s">
        <v>333</v>
      </c>
      <c r="B14" s="191">
        <v>0</v>
      </c>
      <c r="C14" s="323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5">
      <c r="A15" t="s">
        <v>334</v>
      </c>
      <c r="B15" s="191">
        <f t="shared" ref="B15:K15" si="6">RADIANS(AoAfins)</f>
        <v>8.7266462599716474E-2</v>
      </c>
      <c r="C15" s="323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5">
      <c r="A16" t="s">
        <v>335</v>
      </c>
      <c r="B16" s="191">
        <f t="shared" ref="B16:K16" si="7">RADIANS(AoSfins)</f>
        <v>0</v>
      </c>
      <c r="C16" s="323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23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thickBot="1">
      <c r="A18" s="268" t="s">
        <v>486</v>
      </c>
    </row>
    <row r="19" spans="1:11" ht="14.5" hidden="1" outlineLevel="1">
      <c r="A19" t="s">
        <v>348</v>
      </c>
      <c r="B19" s="191">
        <f>101325*(B21/288.08)^5.256</f>
        <v>101177.1939523339</v>
      </c>
      <c r="C19" s="323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5" hidden="1" outlineLevel="1">
      <c r="A20" t="s">
        <v>337</v>
      </c>
      <c r="B20" s="191">
        <f t="shared" ref="B20:K20" si="9">B19/(287*B21)</f>
        <v>1.2240756140187512</v>
      </c>
      <c r="C20" s="323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5" hidden="1" outlineLevel="1">
      <c r="A21" t="s">
        <v>338</v>
      </c>
      <c r="B21" s="191">
        <f>(15-0.0065*B17)+273</f>
        <v>288</v>
      </c>
      <c r="C21" s="323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5" hidden="1" outlineLevel="1">
      <c r="A22" t="s">
        <v>483</v>
      </c>
      <c r="B22" s="191">
        <f>B21-273</f>
        <v>15</v>
      </c>
      <c r="C22" s="323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5" hidden="1" outlineLevel="1">
      <c r="A23" t="s">
        <v>339</v>
      </c>
      <c r="B23" s="186">
        <f>(1.76*10^-5)*((B21/273)^(3/2))*((273+110)/(B21+110))</f>
        <v>1.8351566035015911E-5</v>
      </c>
      <c r="C23" s="327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5" hidden="1" outlineLevel="1">
      <c r="A24" t="s">
        <v>340</v>
      </c>
      <c r="B24" s="186">
        <f t="shared" ref="B24:K24" si="13">B23/B20</f>
        <v>1.4992183346228143E-5</v>
      </c>
      <c r="C24" s="327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5" hidden="1" outlineLevel="1">
      <c r="A25" t="s">
        <v>341</v>
      </c>
      <c r="B25" s="191">
        <v>9</v>
      </c>
      <c r="C25" s="323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5" hidden="1" outlineLevel="1">
      <c r="A26" t="s">
        <v>349</v>
      </c>
    </row>
    <row r="27" spans="1:11" ht="14.5" hidden="1" outlineLevel="1">
      <c r="A27" t="s">
        <v>350</v>
      </c>
    </row>
    <row r="28" spans="1:11" ht="14.5" hidden="1" outlineLevel="1">
      <c r="A28" t="s">
        <v>351</v>
      </c>
    </row>
    <row r="29" spans="1:11" ht="14.5" hidden="1" outlineLevel="1">
      <c r="A29" t="s">
        <v>342</v>
      </c>
      <c r="B29" s="191">
        <f t="shared" ref="B29:K29" si="14">DEGREES(ATAN((B5+B25)/B3))</f>
        <v>7.505613486435621</v>
      </c>
      <c r="C29" s="323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5" hidden="1" outlineLevel="1">
      <c r="A30" t="s">
        <v>343</v>
      </c>
      <c r="B30" s="191">
        <f t="shared" ref="B30:K30" si="15">DEGREES(ATAN((B4+B25)/B3))</f>
        <v>2.5344577989769035</v>
      </c>
      <c r="C30" s="323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5" hidden="1" outlineLevel="1">
      <c r="A31" t="s">
        <v>344</v>
      </c>
      <c r="B31" s="191">
        <f t="shared" ref="B31:K32" si="16">RADIANS(B29)</f>
        <v>0.13099766772039234</v>
      </c>
      <c r="C31" s="323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5" hidden="1" outlineLevel="1">
      <c r="A32" t="s">
        <v>345</v>
      </c>
      <c r="B32" s="191">
        <f t="shared" si="16"/>
        <v>4.4234633344995541E-2</v>
      </c>
      <c r="C32" s="323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5" hidden="1" outlineLevel="1">
      <c r="A33" t="s">
        <v>346</v>
      </c>
      <c r="B33" s="191">
        <f t="shared" ref="B33:K33" si="17">0.5*B20*B2^2</f>
        <v>25496.65287598814</v>
      </c>
      <c r="C33" s="323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5" hidden="1" outlineLevel="1">
      <c r="A34" t="s">
        <v>347</v>
      </c>
      <c r="B34" s="191">
        <f t="shared" ref="B34:K34" si="18">CrossSecAreaRocket</f>
        <v>6.2265482457436686E-3</v>
      </c>
      <c r="C34" s="323">
        <f t="shared" si="18"/>
        <v>6.2265482457436686E-3</v>
      </c>
      <c r="D34" s="191">
        <f t="shared" si="18"/>
        <v>6.2265482457436686E-3</v>
      </c>
      <c r="F34" s="191">
        <f t="shared" si="18"/>
        <v>6.2265482457436686E-3</v>
      </c>
      <c r="G34" s="191">
        <f t="shared" si="18"/>
        <v>6.2265482457436686E-3</v>
      </c>
      <c r="H34" s="191">
        <f t="shared" si="18"/>
        <v>6.2265482457436686E-3</v>
      </c>
      <c r="I34" s="191">
        <f t="shared" si="18"/>
        <v>6.2265482457436686E-3</v>
      </c>
      <c r="J34" s="191">
        <f t="shared" si="18"/>
        <v>6.2265482457436686E-3</v>
      </c>
      <c r="K34" s="191">
        <f t="shared" si="18"/>
        <v>6.2265482457436686E-3</v>
      </c>
    </row>
    <row r="35" spans="1:13" ht="15" customHeight="1" collapsed="1"/>
    <row r="36" spans="1:13" s="97" customFormat="1" ht="15" customHeight="1">
      <c r="A36" s="322" t="s">
        <v>622</v>
      </c>
      <c r="B36" s="321"/>
      <c r="C36" s="328"/>
      <c r="D36" s="321"/>
      <c r="E36" s="321"/>
      <c r="F36" s="321"/>
      <c r="G36" s="321"/>
      <c r="H36" s="321"/>
      <c r="I36" s="321"/>
      <c r="J36" s="321"/>
      <c r="K36" s="321"/>
      <c r="M36" s="340"/>
    </row>
    <row r="37" spans="1:13" ht="15" customHeight="1" thickBot="1"/>
    <row r="38" spans="1:13" thickBot="1">
      <c r="A38" s="268" t="s">
        <v>352</v>
      </c>
    </row>
    <row r="39" spans="1:13" ht="14.5" outlineLevel="1">
      <c r="A39" t="s">
        <v>353</v>
      </c>
      <c r="B39" s="191">
        <f t="shared" ref="B39:K39" si="19">DiameterRocket</f>
        <v>8</v>
      </c>
      <c r="C39" s="323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5" outlineLevel="1">
      <c r="A40" t="s">
        <v>354</v>
      </c>
      <c r="B40" s="191">
        <f t="shared" ref="B40:K40" si="20">B39/100</f>
        <v>0.08</v>
      </c>
      <c r="C40" s="323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5" outlineLevel="1">
      <c r="A41" t="s">
        <v>355</v>
      </c>
      <c r="B41" s="261">
        <f t="shared" ref="B41:K41" si="21">((B45-B43)/(-B53))*(B53+B39/2)+B45</f>
        <v>16.333333333333332</v>
      </c>
      <c r="C41" s="329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5" outlineLevel="1">
      <c r="A42" t="s">
        <v>356</v>
      </c>
      <c r="B42" s="191">
        <f t="shared" ref="B42:K42" si="22">B41/100</f>
        <v>0.16333333333333333</v>
      </c>
      <c r="C42" s="323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ht="14.5" outlineLevel="1">
      <c r="A43" s="266" t="s">
        <v>357</v>
      </c>
      <c r="B43" s="191">
        <v>15</v>
      </c>
      <c r="C43" s="323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5" outlineLevel="1">
      <c r="A44" t="s">
        <v>354</v>
      </c>
      <c r="B44" s="191">
        <f t="shared" ref="B44:K44" si="23">B43/100</f>
        <v>0.15</v>
      </c>
      <c r="C44" s="323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ht="14.5" outlineLevel="1">
      <c r="A45" s="266" t="s">
        <v>358</v>
      </c>
      <c r="B45" s="191">
        <v>10</v>
      </c>
      <c r="C45" s="323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5" outlineLevel="1">
      <c r="A46" t="s">
        <v>354</v>
      </c>
      <c r="B46" s="191">
        <f t="shared" ref="B46:K46" si="24">B45/100</f>
        <v>0.1</v>
      </c>
      <c r="C46" s="323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ht="14.5" outlineLevel="1">
      <c r="A47" s="266" t="s">
        <v>359</v>
      </c>
      <c r="B47" s="191">
        <v>2</v>
      </c>
      <c r="C47" s="323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5" outlineLevel="1">
      <c r="A48" t="s">
        <v>354</v>
      </c>
      <c r="B48" s="191">
        <f t="shared" ref="B48:K48" si="25">B47/100</f>
        <v>0.02</v>
      </c>
      <c r="C48" s="323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ht="14.5" outlineLevel="1">
      <c r="A49" s="266" t="s">
        <v>360</v>
      </c>
      <c r="B49" s="191">
        <v>45</v>
      </c>
      <c r="C49" s="323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5" outlineLevel="1">
      <c r="A50" t="s">
        <v>361</v>
      </c>
      <c r="B50" s="191">
        <f t="shared" ref="B50:K50" si="26">B45/B43</f>
        <v>0.66666666666666663</v>
      </c>
      <c r="C50" s="323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5" outlineLevel="1">
      <c r="A51" t="s">
        <v>362</v>
      </c>
      <c r="B51" s="191">
        <f t="shared" ref="B51:K51" si="27">B53+B39/2</f>
        <v>19</v>
      </c>
      <c r="C51" s="323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5" outlineLevel="1">
      <c r="A52" t="s">
        <v>354</v>
      </c>
      <c r="B52" s="191">
        <f t="shared" ref="B52:K52" si="28">B51/100</f>
        <v>0.19</v>
      </c>
      <c r="C52" s="323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ht="14.5" outlineLevel="1">
      <c r="A53" s="266" t="s">
        <v>363</v>
      </c>
      <c r="B53" s="191">
        <v>15</v>
      </c>
      <c r="C53" s="323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5" outlineLevel="1">
      <c r="A54" t="s">
        <v>356</v>
      </c>
      <c r="B54" s="191">
        <f t="shared" ref="B54:K54" si="29">B53/100</f>
        <v>0.15</v>
      </c>
      <c r="C54" s="323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5" outlineLevel="1">
      <c r="A55" t="s">
        <v>364</v>
      </c>
      <c r="B55" s="191">
        <f>(B46+B42)*B52/2</f>
        <v>2.5016666666666666E-2</v>
      </c>
      <c r="C55" s="323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5" outlineLevel="1">
      <c r="A56" t="s">
        <v>365</v>
      </c>
      <c r="B56" s="191">
        <f t="shared" ref="B56:K56" si="31">(B44+B46)*B54/2</f>
        <v>1.8749999999999999E-2</v>
      </c>
      <c r="C56" s="323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5" outlineLevel="1">
      <c r="A57" t="s">
        <v>366</v>
      </c>
      <c r="B57" s="261">
        <f>((B52+B52)^2)/(B55+B55)</f>
        <v>2.8860759493670889</v>
      </c>
      <c r="C57" s="329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thickBot="1">
      <c r="B58" s="261"/>
      <c r="C58" s="329"/>
      <c r="D58" s="261"/>
      <c r="E58" s="261"/>
      <c r="F58" s="261"/>
      <c r="G58" s="261"/>
      <c r="H58" s="261"/>
      <c r="I58" s="261"/>
      <c r="J58" s="261"/>
      <c r="K58" s="261"/>
    </row>
    <row r="59" spans="1:11" thickBot="1">
      <c r="A59" s="268" t="s">
        <v>367</v>
      </c>
      <c r="B59" s="261"/>
      <c r="C59" s="329"/>
      <c r="D59" s="261"/>
      <c r="E59" s="261"/>
      <c r="F59" s="261"/>
      <c r="G59" s="261"/>
      <c r="H59" s="261"/>
      <c r="I59" s="261"/>
      <c r="J59" s="261"/>
      <c r="K59" s="261"/>
    </row>
    <row r="60" spans="1:11" ht="14.5">
      <c r="A60" t="s">
        <v>368</v>
      </c>
      <c r="B60" s="261">
        <f t="shared" ref="B60:K60" si="33">B54/(10+1)</f>
        <v>1.3636363636363636E-2</v>
      </c>
      <c r="C60" s="329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5">
      <c r="A61" t="s">
        <v>369</v>
      </c>
      <c r="B61" s="261">
        <f t="shared" ref="B61:K61" si="34">(B43-B45)/(-B53)</f>
        <v>-0.33333333333333331</v>
      </c>
      <c r="C61" s="329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5">
      <c r="A62" t="s">
        <v>370</v>
      </c>
      <c r="B62" s="261"/>
      <c r="C62" s="329"/>
      <c r="D62" s="261"/>
      <c r="E62" s="261"/>
      <c r="F62" s="261"/>
      <c r="G62" s="261"/>
      <c r="H62" s="261"/>
      <c r="I62" s="261"/>
      <c r="J62" s="261"/>
      <c r="K62" s="261"/>
    </row>
    <row r="63" spans="1:11" ht="14.5" hidden="1" outlineLevel="1">
      <c r="A63">
        <v>1</v>
      </c>
      <c r="B63" s="261">
        <f>(B60/2)</f>
        <v>6.8181818181818179E-3</v>
      </c>
      <c r="C63" s="329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5" hidden="1" outlineLevel="1">
      <c r="A64">
        <v>2</v>
      </c>
      <c r="B64" s="261">
        <f>B63+B60</f>
        <v>2.0454545454545454E-2</v>
      </c>
      <c r="C64" s="329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5" hidden="1" outlineLevel="1">
      <c r="A65">
        <v>3</v>
      </c>
      <c r="B65" s="261">
        <f t="shared" ref="B65:K73" si="37">B64+B$60</f>
        <v>3.4090909090909088E-2</v>
      </c>
      <c r="C65" s="329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5" hidden="1" outlineLevel="1">
      <c r="A66">
        <v>4</v>
      </c>
      <c r="B66" s="261">
        <f t="shared" si="37"/>
        <v>4.7727272727272722E-2</v>
      </c>
      <c r="C66" s="329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5" hidden="1" outlineLevel="1">
      <c r="A67">
        <v>5</v>
      </c>
      <c r="B67" s="261">
        <f t="shared" si="37"/>
        <v>6.1363636363636356E-2</v>
      </c>
      <c r="C67" s="329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5" hidden="1" outlineLevel="1">
      <c r="A68">
        <v>6</v>
      </c>
      <c r="B68" s="261">
        <f t="shared" si="37"/>
        <v>7.4999999999999997E-2</v>
      </c>
      <c r="C68" s="329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5" hidden="1" outlineLevel="1">
      <c r="A69">
        <v>7</v>
      </c>
      <c r="B69" s="261">
        <f t="shared" si="37"/>
        <v>8.8636363636363638E-2</v>
      </c>
      <c r="C69" s="329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5" hidden="1" outlineLevel="1">
      <c r="A70">
        <v>8</v>
      </c>
      <c r="B70" s="261">
        <f t="shared" si="37"/>
        <v>0.10227272727272728</v>
      </c>
      <c r="C70" s="329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5" hidden="1" outlineLevel="1">
      <c r="A71">
        <v>9</v>
      </c>
      <c r="B71" s="261">
        <f t="shared" si="37"/>
        <v>0.11590909090909092</v>
      </c>
      <c r="C71" s="329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5" hidden="1" outlineLevel="1">
      <c r="A72">
        <v>10</v>
      </c>
      <c r="B72" s="261">
        <f t="shared" si="37"/>
        <v>0.12954545454545455</v>
      </c>
      <c r="C72" s="329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5" hidden="1" outlineLevel="1">
      <c r="A73">
        <v>11</v>
      </c>
      <c r="B73" s="261">
        <f t="shared" si="37"/>
        <v>0.14318181818181819</v>
      </c>
      <c r="C73" s="329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5" collapsed="1">
      <c r="A74" t="s">
        <v>371</v>
      </c>
      <c r="B74" s="261"/>
      <c r="C74" s="329"/>
      <c r="D74" s="261"/>
      <c r="E74" s="261"/>
      <c r="F74" s="261"/>
      <c r="G74" s="261"/>
      <c r="H74" s="261"/>
      <c r="I74" s="261"/>
      <c r="J74" s="261"/>
      <c r="K74" s="261"/>
    </row>
    <row r="75" spans="1:11" ht="14.5" hidden="1" outlineLevel="1">
      <c r="A75">
        <v>1</v>
      </c>
      <c r="B75" s="261">
        <f t="shared" ref="B75:K85" si="38">(B63*B$61)+B$44</f>
        <v>0.14772727272727273</v>
      </c>
      <c r="C75" s="329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5" hidden="1" outlineLevel="1">
      <c r="A76">
        <v>2</v>
      </c>
      <c r="B76" s="261">
        <f t="shared" si="38"/>
        <v>0.14318181818181819</v>
      </c>
      <c r="C76" s="329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5" hidden="1" outlineLevel="1">
      <c r="A77">
        <v>3</v>
      </c>
      <c r="B77" s="261">
        <f t="shared" si="38"/>
        <v>0.13863636363636364</v>
      </c>
      <c r="C77" s="329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5" hidden="1" outlineLevel="1">
      <c r="A78">
        <v>4</v>
      </c>
      <c r="B78" s="261">
        <f t="shared" si="38"/>
        <v>0.13409090909090909</v>
      </c>
      <c r="C78" s="329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5" hidden="1" outlineLevel="1">
      <c r="A79">
        <v>5</v>
      </c>
      <c r="B79" s="261">
        <f t="shared" si="38"/>
        <v>0.12954545454545455</v>
      </c>
      <c r="C79" s="329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5" hidden="1" outlineLevel="1">
      <c r="A80">
        <v>6</v>
      </c>
      <c r="B80" s="261">
        <f t="shared" si="38"/>
        <v>0.125</v>
      </c>
      <c r="C80" s="329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5" hidden="1" outlineLevel="1">
      <c r="A81">
        <v>7</v>
      </c>
      <c r="B81" s="261">
        <f t="shared" si="38"/>
        <v>0.12045454545454545</v>
      </c>
      <c r="C81" s="329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5" hidden="1" outlineLevel="1">
      <c r="A82">
        <v>8</v>
      </c>
      <c r="B82" s="261">
        <f t="shared" si="38"/>
        <v>0.11590909090909091</v>
      </c>
      <c r="C82" s="329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5" hidden="1" outlineLevel="1">
      <c r="A83">
        <v>9</v>
      </c>
      <c r="B83" s="261">
        <f t="shared" si="38"/>
        <v>0.11136363636363636</v>
      </c>
      <c r="C83" s="329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5" hidden="1" outlineLevel="1">
      <c r="A84">
        <v>10</v>
      </c>
      <c r="B84" s="261">
        <f t="shared" si="38"/>
        <v>0.10681818181818181</v>
      </c>
      <c r="C84" s="329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5" hidden="1" outlineLevel="1">
      <c r="A85">
        <v>11</v>
      </c>
      <c r="B85" s="261">
        <f t="shared" si="38"/>
        <v>0.10227272727272727</v>
      </c>
      <c r="C85" s="329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5" collapsed="1">
      <c r="A86" t="s">
        <v>372</v>
      </c>
      <c r="B86" s="261"/>
      <c r="C86" s="329"/>
      <c r="D86" s="261"/>
      <c r="E86" s="261"/>
      <c r="F86" s="261"/>
      <c r="G86" s="261"/>
      <c r="H86" s="261"/>
      <c r="I86" s="261"/>
      <c r="J86" s="261"/>
      <c r="K86" s="261"/>
    </row>
    <row r="87" spans="1:11" ht="14.5" hidden="1" outlineLevel="1">
      <c r="A87">
        <v>1</v>
      </c>
      <c r="B87" s="262">
        <f t="shared" ref="B87:K96" si="39">(B75+B76)*B$60/2</f>
        <v>1.9834710743801649E-3</v>
      </c>
      <c r="C87" s="330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5" hidden="1" outlineLevel="1">
      <c r="A88">
        <v>2</v>
      </c>
      <c r="B88" s="262">
        <f t="shared" si="39"/>
        <v>1.9214876033057853E-3</v>
      </c>
      <c r="C88" s="330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5" hidden="1" outlineLevel="1">
      <c r="A89">
        <v>3</v>
      </c>
      <c r="B89" s="262">
        <f t="shared" si="39"/>
        <v>1.8595041322314048E-3</v>
      </c>
      <c r="C89" s="330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5" hidden="1" outlineLevel="1">
      <c r="A90">
        <v>4</v>
      </c>
      <c r="B90" s="262">
        <f t="shared" si="39"/>
        <v>1.7975206611570249E-3</v>
      </c>
      <c r="C90" s="330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5" hidden="1" outlineLevel="1">
      <c r="A91">
        <v>5</v>
      </c>
      <c r="B91" s="262">
        <f t="shared" si="39"/>
        <v>1.7355371900826444E-3</v>
      </c>
      <c r="C91" s="330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5" hidden="1" outlineLevel="1">
      <c r="A92">
        <v>6</v>
      </c>
      <c r="B92" s="262">
        <f t="shared" si="39"/>
        <v>1.6735537190082643E-3</v>
      </c>
      <c r="C92" s="330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5" hidden="1" outlineLevel="1">
      <c r="A93">
        <v>7</v>
      </c>
      <c r="B93" s="262">
        <f t="shared" si="39"/>
        <v>1.6115702479338842E-3</v>
      </c>
      <c r="C93" s="330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5" hidden="1" outlineLevel="1">
      <c r="A94">
        <v>8</v>
      </c>
      <c r="B94" s="262">
        <f t="shared" si="39"/>
        <v>1.549586776859504E-3</v>
      </c>
      <c r="C94" s="330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5" hidden="1" outlineLevel="1">
      <c r="A95">
        <v>9</v>
      </c>
      <c r="B95" s="262">
        <f t="shared" si="39"/>
        <v>1.4876033057851239E-3</v>
      </c>
      <c r="C95" s="330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5" hidden="1" outlineLevel="1">
      <c r="A96">
        <v>10</v>
      </c>
      <c r="B96" s="262">
        <f>(B84+B85)*B$60/2</f>
        <v>1.4256198347107436E-3</v>
      </c>
      <c r="C96" s="330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5" collapsed="1">
      <c r="A97" t="s">
        <v>492</v>
      </c>
      <c r="B97" s="261">
        <f>SUM(B87:B96)</f>
        <v>1.7045454545454544E-2</v>
      </c>
      <c r="C97" s="329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 ht="14.5">
      <c r="A98" s="265" t="s">
        <v>373</v>
      </c>
    </row>
    <row r="99" spans="1:13" s="167" customFormat="1" ht="14.5">
      <c r="A99" s="167" t="s">
        <v>374</v>
      </c>
      <c r="B99" s="288">
        <f>IF(B11&lt;1,(B101/(B102+B103))/SQRT(1-B11^2),(B101/(B102+B103))/SQRT(1-0.99^2))</f>
        <v>2.1785964068804495</v>
      </c>
      <c r="C99" s="331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341"/>
    </row>
    <row r="100" spans="1:13" s="167" customFormat="1" ht="14.5">
      <c r="A100" s="167" t="s">
        <v>511</v>
      </c>
      <c r="B100" s="288">
        <f>IF(B10&lt;1,B99,IF(B10&gt;1,(4)/SQRT(B10^2-1),(4)/SQRT((1.01)^2-1)))</f>
        <v>2.1785964068804495</v>
      </c>
      <c r="C100" s="331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341"/>
    </row>
    <row r="101" spans="1:13" ht="14.5" hidden="1" outlineLevel="1">
      <c r="A101" t="s">
        <v>375</v>
      </c>
      <c r="B101" s="191">
        <f>PI()*COS(RADIANS(B49))</f>
        <v>2.2214414690791831</v>
      </c>
      <c r="C101" s="323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5" hidden="1" outlineLevel="1">
      <c r="A102" t="s">
        <v>376</v>
      </c>
      <c r="B102" s="191">
        <f>SQRT(1+((B101/(PI()*B57))^2))</f>
        <v>1.0295766535643616</v>
      </c>
      <c r="C102" s="323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5" hidden="1" outlineLevel="1">
      <c r="A103" t="s">
        <v>377</v>
      </c>
      <c r="B103" s="191">
        <f>B101/(PI()*B57)</f>
        <v>0.24500629699007567</v>
      </c>
      <c r="C103" s="323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5" hidden="1" outlineLevel="1"/>
    <row r="105" spans="1:13" ht="14.5" collapsed="1">
      <c r="A105" t="s">
        <v>378</v>
      </c>
      <c r="B105" s="186">
        <f>(B20*B3*B44)/B23</f>
        <v>2034337.7624829479</v>
      </c>
      <c r="C105" s="327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5">
      <c r="A106" t="s">
        <v>379</v>
      </c>
      <c r="B106" s="186">
        <f>(B20*B3*B45)/B23</f>
        <v>135622517.49886319</v>
      </c>
      <c r="C106" s="327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 ht="14.5">
      <c r="A107" s="275" t="s">
        <v>488</v>
      </c>
      <c r="B107" s="277">
        <v>1.8564485158890635E-2</v>
      </c>
      <c r="C107" s="332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42"/>
    </row>
    <row r="108" spans="1:13" ht="14.5">
      <c r="A108" s="275" t="s">
        <v>489</v>
      </c>
      <c r="B108" s="186">
        <f>B107/1000</f>
        <v>1.8564485158890635E-5</v>
      </c>
      <c r="C108" s="327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5">
      <c r="A109" t="s">
        <v>490</v>
      </c>
      <c r="B109" s="191">
        <f>(B108*B3)/B23</f>
        <v>205.68682069018513</v>
      </c>
      <c r="C109" s="323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 ht="14.5">
      <c r="A110" s="272" t="s">
        <v>495</v>
      </c>
      <c r="B110" s="278">
        <f>B122</f>
        <v>8.1669595225352598</v>
      </c>
      <c r="C110" s="333">
        <f t="shared" ref="C110:K110" si="50">C122</f>
        <v>7.9737338133683847E-2</v>
      </c>
      <c r="D110" s="278">
        <f t="shared" si="50"/>
        <v>0.23921201440105153</v>
      </c>
      <c r="E110" s="278"/>
      <c r="F110" s="278">
        <f t="shared" si="50"/>
        <v>0.558161366935787</v>
      </c>
      <c r="G110" s="278">
        <f t="shared" si="50"/>
        <v>0.79737338133683855</v>
      </c>
      <c r="H110" s="278">
        <f t="shared" si="50"/>
        <v>1.1960600720052577</v>
      </c>
      <c r="I110" s="278">
        <f t="shared" si="50"/>
        <v>1.5947467626736771</v>
      </c>
      <c r="J110" s="278">
        <f t="shared" si="50"/>
        <v>2.3921201440105153</v>
      </c>
      <c r="K110" s="278">
        <f t="shared" si="50"/>
        <v>3.9868669066841926</v>
      </c>
      <c r="M110" s="343"/>
    </row>
    <row r="111" spans="1:13" ht="14.5">
      <c r="A111" s="271" t="s">
        <v>527</v>
      </c>
      <c r="B111" s="191">
        <f>B44/$A116</f>
        <v>0.03</v>
      </c>
      <c r="C111" s="323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5" hidden="1" outlineLevel="1">
      <c r="A112">
        <v>1</v>
      </c>
      <c r="B112" s="186">
        <f t="shared" ref="B112:D116" si="52">(B$20*B$3*($A112*B$111))/B$23</f>
        <v>406867.5524965896</v>
      </c>
      <c r="C112" s="327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5" hidden="1" outlineLevel="1">
      <c r="A113">
        <v>2</v>
      </c>
      <c r="B113" s="186">
        <f t="shared" si="52"/>
        <v>813735.10499317921</v>
      </c>
      <c r="C113" s="327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5" hidden="1" outlineLevel="1">
      <c r="A114">
        <v>3</v>
      </c>
      <c r="B114" s="186">
        <f t="shared" si="52"/>
        <v>1220602.6574897687</v>
      </c>
      <c r="C114" s="327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5" hidden="1" outlineLevel="1">
      <c r="A115">
        <v>4</v>
      </c>
      <c r="B115" s="186">
        <f t="shared" si="52"/>
        <v>1627470.2099863584</v>
      </c>
      <c r="C115" s="327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5" hidden="1" outlineLevel="1">
      <c r="A116">
        <v>5</v>
      </c>
      <c r="B116" s="186">
        <f t="shared" si="52"/>
        <v>2034337.7624829479</v>
      </c>
      <c r="C116" s="327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5" collapsed="1">
      <c r="A117" s="271" t="s">
        <v>491</v>
      </c>
      <c r="B117" s="186"/>
      <c r="C117" s="327"/>
      <c r="D117" s="186"/>
      <c r="E117" s="186"/>
      <c r="F117" s="186"/>
      <c r="G117" s="186"/>
      <c r="H117" s="186"/>
      <c r="I117" s="186"/>
      <c r="J117" s="186"/>
      <c r="K117" s="186"/>
    </row>
    <row r="118" spans="1:13" ht="14.5" hidden="1" outlineLevel="1">
      <c r="A118">
        <v>1</v>
      </c>
      <c r="B118" s="186">
        <f>B$109*(SQRT(0.0576/(2*($B112^(1/5)))))</f>
        <v>9.5930653626029994</v>
      </c>
      <c r="C118" s="327">
        <f t="shared" ref="C118:K122" si="54">C$109*(SQRT(0.0576/(2*($B112^(1/5)))))</f>
        <v>9.3660987843239701E-2</v>
      </c>
      <c r="D118" s="186">
        <f t="shared" si="54"/>
        <v>0.28098296352971908</v>
      </c>
      <c r="E118" s="186"/>
      <c r="F118" s="186">
        <f t="shared" si="54"/>
        <v>0.65562691490267799</v>
      </c>
      <c r="G118" s="186">
        <f t="shared" si="54"/>
        <v>0.93660987843239707</v>
      </c>
      <c r="H118" s="186">
        <f t="shared" si="54"/>
        <v>1.4049148176485955</v>
      </c>
      <c r="I118" s="186">
        <f t="shared" si="54"/>
        <v>1.8732197568647941</v>
      </c>
      <c r="J118" s="186">
        <f t="shared" si="54"/>
        <v>2.809829635297191</v>
      </c>
      <c r="K118" s="186">
        <f t="shared" si="54"/>
        <v>4.683049392161986</v>
      </c>
    </row>
    <row r="119" spans="1:13" ht="14.5" hidden="1" outlineLevel="1">
      <c r="A119">
        <v>2</v>
      </c>
      <c r="B119" s="186">
        <f t="shared" ref="B119:B122" si="55">B$109*(SQRT(0.0576/(2*($B113^(1/5)))))</f>
        <v>8.9506464732776045</v>
      </c>
      <c r="C119" s="327">
        <f t="shared" si="54"/>
        <v>8.7388791677670496E-2</v>
      </c>
      <c r="D119" s="186">
        <f t="shared" si="54"/>
        <v>0.26216637503301149</v>
      </c>
      <c r="E119" s="186"/>
      <c r="F119" s="186">
        <f t="shared" si="54"/>
        <v>0.61172154174369353</v>
      </c>
      <c r="G119" s="186">
        <f t="shared" si="54"/>
        <v>0.87388791677670508</v>
      </c>
      <c r="H119" s="186">
        <f t="shared" si="54"/>
        <v>1.3108318751650574</v>
      </c>
      <c r="I119" s="186">
        <f t="shared" si="54"/>
        <v>1.7477758335534102</v>
      </c>
      <c r="J119" s="186">
        <f t="shared" si="54"/>
        <v>2.6216637503301148</v>
      </c>
      <c r="K119" s="186">
        <f t="shared" si="54"/>
        <v>4.3694395838835254</v>
      </c>
    </row>
    <row r="120" spans="1:13" ht="14.5" hidden="1" outlineLevel="1">
      <c r="A120">
        <v>3</v>
      </c>
      <c r="B120" s="186">
        <f t="shared" si="55"/>
        <v>8.5949880674295471</v>
      </c>
      <c r="C120" s="327">
        <f t="shared" si="54"/>
        <v>8.3916354415193406E-2</v>
      </c>
      <c r="D120" s="186">
        <f t="shared" si="54"/>
        <v>0.25174906324558022</v>
      </c>
      <c r="E120" s="186"/>
      <c r="F120" s="186">
        <f t="shared" si="54"/>
        <v>0.58741448090635395</v>
      </c>
      <c r="G120" s="186">
        <f t="shared" si="54"/>
        <v>0.83916354415193417</v>
      </c>
      <c r="H120" s="186">
        <f t="shared" si="54"/>
        <v>1.258745316227901</v>
      </c>
      <c r="I120" s="186">
        <f t="shared" si="54"/>
        <v>1.6783270883038683</v>
      </c>
      <c r="J120" s="186">
        <f t="shared" si="54"/>
        <v>2.517490632455802</v>
      </c>
      <c r="K120" s="186">
        <f t="shared" si="54"/>
        <v>4.1958177207596714</v>
      </c>
    </row>
    <row r="121" spans="1:13" ht="14.5" hidden="1" outlineLevel="1">
      <c r="A121">
        <v>4</v>
      </c>
      <c r="B121" s="186">
        <f t="shared" si="55"/>
        <v>8.3512484551505768</v>
      </c>
      <c r="C121" s="327">
        <f t="shared" si="54"/>
        <v>8.1536625725803752E-2</v>
      </c>
      <c r="D121" s="186">
        <f t="shared" si="54"/>
        <v>0.24460987717741126</v>
      </c>
      <c r="E121" s="186"/>
      <c r="F121" s="186">
        <f t="shared" si="54"/>
        <v>0.57075638008062624</v>
      </c>
      <c r="G121" s="186">
        <f t="shared" si="54"/>
        <v>0.81536625725803757</v>
      </c>
      <c r="H121" s="186">
        <f t="shared" si="54"/>
        <v>1.2230493858870561</v>
      </c>
      <c r="I121" s="186">
        <f t="shared" si="54"/>
        <v>1.6307325145160751</v>
      </c>
      <c r="J121" s="186">
        <f t="shared" si="54"/>
        <v>2.4460987717741123</v>
      </c>
      <c r="K121" s="186">
        <f t="shared" si="54"/>
        <v>4.0768312862901883</v>
      </c>
    </row>
    <row r="122" spans="1:13" ht="14.5" hidden="1" outlineLevel="1">
      <c r="A122">
        <v>5</v>
      </c>
      <c r="B122" s="186">
        <f t="shared" si="55"/>
        <v>8.1669595225352598</v>
      </c>
      <c r="C122" s="327">
        <f t="shared" si="54"/>
        <v>7.9737338133683847E-2</v>
      </c>
      <c r="D122" s="186">
        <f t="shared" si="54"/>
        <v>0.23921201440105153</v>
      </c>
      <c r="E122" s="186"/>
      <c r="F122" s="186">
        <f t="shared" si="54"/>
        <v>0.558161366935787</v>
      </c>
      <c r="G122" s="186">
        <f t="shared" si="54"/>
        <v>0.79737338133683855</v>
      </c>
      <c r="H122" s="186">
        <f t="shared" si="54"/>
        <v>1.1960600720052577</v>
      </c>
      <c r="I122" s="186">
        <f t="shared" si="54"/>
        <v>1.5947467626736771</v>
      </c>
      <c r="J122" s="186">
        <f t="shared" si="54"/>
        <v>2.3921201440105153</v>
      </c>
      <c r="K122" s="186">
        <f t="shared" si="54"/>
        <v>3.9868669066841926</v>
      </c>
    </row>
    <row r="123" spans="1:13" s="187" customFormat="1" ht="14.5" collapsed="1">
      <c r="A123" s="272" t="s">
        <v>494</v>
      </c>
      <c r="B123" s="278">
        <f>B129</f>
        <v>8.0354447762679158</v>
      </c>
      <c r="C123" s="333">
        <f t="shared" ref="C123:K123" si="56">C129</f>
        <v>7.9700146660747762E-2</v>
      </c>
      <c r="D123" s="278">
        <f t="shared" si="56"/>
        <v>0.23821762041051894</v>
      </c>
      <c r="E123" s="278"/>
      <c r="F123" s="278">
        <f t="shared" si="56"/>
        <v>0.54610874005228349</v>
      </c>
      <c r="G123" s="278">
        <f t="shared" si="56"/>
        <v>0.76413996225645675</v>
      </c>
      <c r="H123" s="278">
        <f t="shared" si="56"/>
        <v>1.0966639416289339</v>
      </c>
      <c r="I123" s="278">
        <f t="shared" si="56"/>
        <v>1.3902266173147253</v>
      </c>
      <c r="J123" s="278">
        <f t="shared" si="56"/>
        <v>1.8809254725424034</v>
      </c>
      <c r="K123" s="278">
        <f t="shared" si="56"/>
        <v>2.6238162710020334</v>
      </c>
      <c r="M123" s="343"/>
    </row>
    <row r="124" spans="1:13" ht="14.5">
      <c r="A124" s="271" t="s">
        <v>528</v>
      </c>
    </row>
    <row r="125" spans="1:13" ht="14.5" hidden="1" outlineLevel="1">
      <c r="A125">
        <v>1</v>
      </c>
      <c r="B125" s="186">
        <f>B118*SQRT((1+0.2*B$11^2)^(-0.467))</f>
        <v>9.4385856503419632</v>
      </c>
      <c r="C125" s="327">
        <f t="shared" ref="C125:K129" si="57">C118*SQRT((1+0.2*C$11^2)^(-0.467))</f>
        <v>9.3617302034607622E-2</v>
      </c>
      <c r="D125" s="186">
        <f t="shared" si="57"/>
        <v>0.27981492951154663</v>
      </c>
      <c r="E125" s="186"/>
      <c r="F125" s="186">
        <f t="shared" si="57"/>
        <v>0.64146967105134289</v>
      </c>
      <c r="G125" s="186">
        <f t="shared" si="57"/>
        <v>0.89757327483699778</v>
      </c>
      <c r="H125" s="186">
        <f t="shared" si="57"/>
        <v>1.2881622400389192</v>
      </c>
      <c r="I125" s="186">
        <f t="shared" si="57"/>
        <v>1.6329865198830542</v>
      </c>
      <c r="J125" s="186">
        <f t="shared" si="57"/>
        <v>2.2093706905850903</v>
      </c>
      <c r="K125" s="186">
        <f t="shared" si="57"/>
        <v>3.0819842951015555</v>
      </c>
    </row>
    <row r="126" spans="1:13" ht="14.5" hidden="1" outlineLevel="1">
      <c r="A126">
        <v>2</v>
      </c>
      <c r="B126" s="186">
        <f t="shared" ref="B126:B128" si="58">B119*SQRT((1+0.2*B$11^2)^(-0.467))</f>
        <v>8.806511805214944</v>
      </c>
      <c r="C126" s="327">
        <f t="shared" si="57"/>
        <v>8.7348031376954807E-2</v>
      </c>
      <c r="D126" s="186">
        <f t="shared" si="57"/>
        <v>0.2610765607588193</v>
      </c>
      <c r="E126" s="186"/>
      <c r="F126" s="186">
        <f t="shared" si="57"/>
        <v>0.59851236616116632</v>
      </c>
      <c r="G126" s="186">
        <f t="shared" si="57"/>
        <v>0.83746547774465319</v>
      </c>
      <c r="H126" s="186">
        <f t="shared" si="57"/>
        <v>1.201897868408268</v>
      </c>
      <c r="I126" s="186">
        <f t="shared" si="57"/>
        <v>1.5236302977857665</v>
      </c>
      <c r="J126" s="186">
        <f t="shared" si="57"/>
        <v>2.0614157448503487</v>
      </c>
      <c r="K126" s="186">
        <f t="shared" si="57"/>
        <v>2.8755930267280632</v>
      </c>
    </row>
    <row r="127" spans="1:13" ht="14.5" hidden="1" outlineLevel="1">
      <c r="A127">
        <v>3</v>
      </c>
      <c r="B127" s="186">
        <f t="shared" si="58"/>
        <v>8.4565806623555044</v>
      </c>
      <c r="C127" s="327">
        <f t="shared" si="57"/>
        <v>8.3877213745374518E-2</v>
      </c>
      <c r="D127" s="186">
        <f t="shared" si="57"/>
        <v>0.2507025532856168</v>
      </c>
      <c r="E127" s="186"/>
      <c r="F127" s="186">
        <f t="shared" si="57"/>
        <v>0.57473017850972163</v>
      </c>
      <c r="G127" s="186">
        <f t="shared" si="57"/>
        <v>0.80418836891718581</v>
      </c>
      <c r="H127" s="186">
        <f t="shared" si="57"/>
        <v>1.1541398566102965</v>
      </c>
      <c r="I127" s="186">
        <f t="shared" si="57"/>
        <v>1.4630880872951477</v>
      </c>
      <c r="J127" s="186">
        <f t="shared" si="57"/>
        <v>1.9795043611539387</v>
      </c>
      <c r="K127" s="186">
        <f t="shared" si="57"/>
        <v>2.7613299022926077</v>
      </c>
    </row>
    <row r="128" spans="1:13" ht="14.5" hidden="1" outlineLevel="1">
      <c r="A128">
        <v>4</v>
      </c>
      <c r="B128" s="186">
        <f t="shared" si="58"/>
        <v>8.2167660546239087</v>
      </c>
      <c r="C128" s="327">
        <f t="shared" si="57"/>
        <v>8.149859502049106E-2</v>
      </c>
      <c r="D128" s="186">
        <f t="shared" si="57"/>
        <v>0.24359304450494221</v>
      </c>
      <c r="E128" s="186"/>
      <c r="F128" s="186">
        <f t="shared" si="57"/>
        <v>0.55843178347112588</v>
      </c>
      <c r="G128" s="186">
        <f t="shared" si="57"/>
        <v>0.7813829200088952</v>
      </c>
      <c r="H128" s="186">
        <f t="shared" si="57"/>
        <v>1.121410363682678</v>
      </c>
      <c r="I128" s="186">
        <f t="shared" si="57"/>
        <v>1.4215973347391702</v>
      </c>
      <c r="J128" s="186">
        <f t="shared" si="57"/>
        <v>1.9233688992187967</v>
      </c>
      <c r="K128" s="186">
        <f t="shared" si="57"/>
        <v>2.6830231641704669</v>
      </c>
    </row>
    <row r="129" spans="1:13" ht="14.5" hidden="1" outlineLevel="1">
      <c r="A129">
        <v>5</v>
      </c>
      <c r="B129" s="186">
        <f>B122*SQRT((1+0.2*B$11^2)^(-0.467))</f>
        <v>8.0354447762679158</v>
      </c>
      <c r="C129" s="327">
        <f t="shared" si="57"/>
        <v>7.9700146660747762E-2</v>
      </c>
      <c r="D129" s="186">
        <f t="shared" si="57"/>
        <v>0.23821762041051894</v>
      </c>
      <c r="E129" s="186"/>
      <c r="F129" s="186">
        <f t="shared" si="57"/>
        <v>0.54610874005228349</v>
      </c>
      <c r="G129" s="186">
        <f t="shared" si="57"/>
        <v>0.76413996225645675</v>
      </c>
      <c r="H129" s="186">
        <f t="shared" si="57"/>
        <v>1.0966639416289339</v>
      </c>
      <c r="I129" s="186">
        <f t="shared" si="57"/>
        <v>1.3902266173147253</v>
      </c>
      <c r="J129" s="186">
        <f t="shared" si="57"/>
        <v>1.8809254725424034</v>
      </c>
      <c r="K129" s="186">
        <f t="shared" si="57"/>
        <v>2.6238162710020334</v>
      </c>
    </row>
    <row r="130" spans="1:13" ht="14.5" collapsed="1"/>
    <row r="131" spans="1:13" ht="14.5"/>
    <row r="132" spans="1:13" ht="15" customHeight="1">
      <c r="A132" s="265" t="s">
        <v>518</v>
      </c>
    </row>
    <row r="133" spans="1:13" s="266" customFormat="1" ht="15" customHeight="1">
      <c r="A133" s="270" t="s">
        <v>380</v>
      </c>
      <c r="B133" s="276">
        <f t="shared" ref="B133:K133" si="59">IF(B10&lt;1,B99*RADIANS(B13),B100*RADIANS(B13))</f>
        <v>0.19011840186090945</v>
      </c>
      <c r="C133" s="334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44"/>
    </row>
    <row r="134" spans="1:13" ht="15" customHeight="1">
      <c r="A134" t="s">
        <v>381</v>
      </c>
    </row>
    <row r="135" spans="1:13" ht="15" hidden="1" customHeight="1" outlineLevel="1">
      <c r="A135">
        <v>1</v>
      </c>
      <c r="B135" s="191">
        <f t="shared" ref="B135:K135" si="60">B$33*(B87)*B$133</f>
        <v>9.6146437638054039</v>
      </c>
      <c r="C135" s="323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1">
      <c r="A136">
        <v>2</v>
      </c>
      <c r="B136" s="191">
        <f t="shared" ref="B136:K136" si="61">B$33*(B88)*B$133</f>
        <v>9.3141861461864881</v>
      </c>
      <c r="C136" s="323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1">
      <c r="A137">
        <v>3</v>
      </c>
      <c r="B137" s="191">
        <f t="shared" ref="B137:K137" si="62">B$33*(B89)*B$133</f>
        <v>9.0137285285675688</v>
      </c>
      <c r="C137" s="323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1">
      <c r="A138">
        <v>4</v>
      </c>
      <c r="B138" s="191">
        <f t="shared" ref="B138:K138" si="63">B$33*(B90)*B$133</f>
        <v>8.7132709109486495</v>
      </c>
      <c r="C138" s="323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1">
      <c r="A139">
        <v>5</v>
      </c>
      <c r="B139" s="191">
        <f t="shared" ref="B139:K139" si="64">B$33*(B91)*B$133</f>
        <v>8.4128132933297302</v>
      </c>
      <c r="C139" s="323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1">
      <c r="A140">
        <v>6</v>
      </c>
      <c r="B140" s="191">
        <f t="shared" ref="B140:K140" si="65">B$33*(B92)*B$133</f>
        <v>8.1123556757108108</v>
      </c>
      <c r="C140" s="323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1">
      <c r="A141">
        <v>7</v>
      </c>
      <c r="B141" s="191">
        <f t="shared" ref="B141:K141" si="66">B$33*(B93)*B$133</f>
        <v>7.8118980580918924</v>
      </c>
      <c r="C141" s="323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1">
      <c r="A142">
        <v>8</v>
      </c>
      <c r="B142" s="191">
        <f t="shared" ref="B142:K142" si="67">B$33*(B94)*B$133</f>
        <v>7.5114404404729731</v>
      </c>
      <c r="C142" s="323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1">
      <c r="A143">
        <v>9</v>
      </c>
      <c r="B143" s="191">
        <f t="shared" ref="B143:K143" si="68">B$33*(B95)*B$133</f>
        <v>7.2109828228540547</v>
      </c>
      <c r="C143" s="323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1">
      <c r="A144">
        <v>10</v>
      </c>
      <c r="B144" s="191">
        <f t="shared" ref="B144:K144" si="69">B$33*(B96)*B$133</f>
        <v>6.9105252052351354</v>
      </c>
      <c r="C144" s="323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customHeight="1" collapsed="1">
      <c r="A145" t="s">
        <v>497</v>
      </c>
    </row>
    <row r="146" spans="1:11" ht="15" hidden="1" customHeight="1" outlineLevel="1">
      <c r="A146">
        <v>1</v>
      </c>
      <c r="B146" s="191">
        <f>B135*$A146*(B$54/11)</f>
        <v>0.1311087785973464</v>
      </c>
      <c r="C146" s="323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1">
      <c r="A147">
        <v>2</v>
      </c>
      <c r="B147" s="191">
        <f t="shared" ref="B147:B155" si="71">B136*$A147*(B$54/11)</f>
        <v>0.25402325853235874</v>
      </c>
      <c r="C147" s="323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1">
      <c r="A148">
        <v>3</v>
      </c>
      <c r="B148" s="191">
        <f t="shared" si="71"/>
        <v>0.36874343980503688</v>
      </c>
      <c r="C148" s="323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1">
      <c r="A149">
        <v>4</v>
      </c>
      <c r="B149" s="191">
        <f t="shared" si="71"/>
        <v>0.47526932241538083</v>
      </c>
      <c r="C149" s="323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1">
      <c r="A150">
        <v>5</v>
      </c>
      <c r="B150" s="191">
        <f t="shared" si="71"/>
        <v>0.57360090636339067</v>
      </c>
      <c r="C150" s="323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1">
      <c r="A151">
        <v>6</v>
      </c>
      <c r="B151" s="191">
        <f t="shared" si="71"/>
        <v>0.66373819164906633</v>
      </c>
      <c r="C151" s="323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1">
      <c r="A152">
        <v>7</v>
      </c>
      <c r="B152" s="191">
        <f t="shared" si="71"/>
        <v>0.74568117827240787</v>
      </c>
      <c r="C152" s="323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1">
      <c r="A153">
        <v>8</v>
      </c>
      <c r="B153" s="191">
        <f t="shared" si="71"/>
        <v>0.81942986623341518</v>
      </c>
      <c r="C153" s="323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1">
      <c r="A154">
        <v>9</v>
      </c>
      <c r="B154" s="191">
        <f t="shared" si="71"/>
        <v>0.88498425553208837</v>
      </c>
      <c r="C154" s="323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1">
      <c r="A155">
        <v>10</v>
      </c>
      <c r="B155" s="191">
        <f t="shared" si="71"/>
        <v>0.94234434616842744</v>
      </c>
      <c r="C155" s="323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customHeight="1" collapsed="1">
      <c r="A156" t="s">
        <v>499</v>
      </c>
      <c r="B156" s="191">
        <f>SUM(B135:B144)</f>
        <v>82.625844845202693</v>
      </c>
      <c r="C156" s="323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customHeight="1">
      <c r="A157" t="s">
        <v>498</v>
      </c>
      <c r="B157" s="191">
        <f>SUM(B146:B155)</f>
        <v>5.8589235435689186</v>
      </c>
      <c r="C157" s="323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customHeight="1">
      <c r="A158" s="275" t="s">
        <v>382</v>
      </c>
      <c r="B158" s="191">
        <f t="shared" ref="B158:K158" si="74">(2*B156)/(B33*B97)</f>
        <v>0.38023680372181884</v>
      </c>
      <c r="C158" s="323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customHeight="1">
      <c r="A159" s="275" t="s">
        <v>633</v>
      </c>
      <c r="B159" s="191">
        <f>(B157/B156)*100</f>
        <v>7.0909090909090908</v>
      </c>
      <c r="C159" s="323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customHeight="1">
      <c r="A160" t="s">
        <v>383</v>
      </c>
    </row>
    <row r="161" spans="1:11" ht="15" hidden="1" customHeight="1" outlineLevel="1">
      <c r="A161">
        <v>0</v>
      </c>
      <c r="B161">
        <v>0</v>
      </c>
      <c r="C161" s="335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1">
      <c r="A162">
        <v>5</v>
      </c>
      <c r="B162">
        <v>0.355956543071071</v>
      </c>
      <c r="C162" s="335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1">
      <c r="A163">
        <v>10</v>
      </c>
      <c r="B163">
        <v>0.71191308614214277</v>
      </c>
      <c r="C163" s="335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1">
      <c r="A164" s="187">
        <v>15</v>
      </c>
      <c r="B164">
        <v>1.0678696292132142</v>
      </c>
      <c r="C164" s="335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1">
      <c r="A165" s="264">
        <v>20</v>
      </c>
      <c r="B165">
        <v>1.4238261722842855</v>
      </c>
      <c r="C165" s="335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1">
      <c r="A166" s="264">
        <v>25</v>
      </c>
      <c r="B166">
        <v>1.7797827153553569</v>
      </c>
      <c r="C166" s="335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1">
      <c r="A167" s="264">
        <v>30</v>
      </c>
      <c r="B167">
        <v>2.1357392584264283</v>
      </c>
      <c r="C167" s="335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customHeight="1" collapsed="1">
      <c r="A168" s="266" t="s">
        <v>487</v>
      </c>
      <c r="B168" s="263">
        <f>AVERAGE(B169:B173)</f>
        <v>7.1191308614214271E-2</v>
      </c>
      <c r="C168" s="336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1">
      <c r="A169">
        <v>0</v>
      </c>
      <c r="B169" s="263">
        <f t="shared" ref="B169:K173" si="77">(B162-B161)/($A162-$A161)</f>
        <v>7.1191308614214202E-2</v>
      </c>
      <c r="C169" s="336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1">
      <c r="A170">
        <v>5</v>
      </c>
      <c r="B170" s="263">
        <f t="shared" si="77"/>
        <v>7.1191308614214355E-2</v>
      </c>
      <c r="C170" s="336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1">
      <c r="A171">
        <v>10</v>
      </c>
      <c r="B171" s="263">
        <f t="shared" si="77"/>
        <v>7.1191308614214271E-2</v>
      </c>
      <c r="C171" s="336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1">
      <c r="A172">
        <v>15</v>
      </c>
      <c r="B172" s="263">
        <f t="shared" si="77"/>
        <v>7.1191308614214271E-2</v>
      </c>
      <c r="C172" s="336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1">
      <c r="A173">
        <v>20</v>
      </c>
      <c r="B173" s="263">
        <f t="shared" si="77"/>
        <v>7.1191308614214271E-2</v>
      </c>
      <c r="C173" s="336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customHeight="1" collapsed="1">
      <c r="A174" s="191"/>
    </row>
    <row r="175" spans="1:11" ht="15" customHeight="1">
      <c r="A175" s="273" t="s">
        <v>493</v>
      </c>
    </row>
    <row r="176" spans="1:11" ht="15" customHeight="1">
      <c r="A176" t="s">
        <v>523</v>
      </c>
    </row>
    <row r="177" spans="1:11" ht="15" hidden="1" customHeight="1" outlineLevel="1">
      <c r="A177">
        <v>0.06</v>
      </c>
      <c r="B177" s="263">
        <v>1.7811871342984904</v>
      </c>
      <c r="C177" s="336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1">
      <c r="A178">
        <v>0.1</v>
      </c>
      <c r="B178" s="263">
        <v>1.7868999999999999</v>
      </c>
      <c r="C178" s="336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1">
      <c r="A179">
        <v>0.3</v>
      </c>
      <c r="B179" s="263">
        <v>1.8637999999999999</v>
      </c>
      <c r="C179" s="336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1">
      <c r="A180">
        <v>0.5</v>
      </c>
      <c r="B180" s="263">
        <v>2.0529999999999999</v>
      </c>
      <c r="C180" s="336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1">
      <c r="A181">
        <v>0.7</v>
      </c>
      <c r="B181" s="263">
        <v>2.4897</v>
      </c>
      <c r="C181" s="336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1">
      <c r="A182">
        <v>1</v>
      </c>
      <c r="B182" s="263">
        <v>28.213824634343929</v>
      </c>
      <c r="C182" s="336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1">
      <c r="A183">
        <v>1.5</v>
      </c>
      <c r="B183" s="263">
        <v>3.5777000000000001</v>
      </c>
      <c r="C183" s="336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1">
      <c r="A184">
        <v>2</v>
      </c>
      <c r="B184" s="263">
        <v>2.3094000000000001</v>
      </c>
      <c r="C184" s="336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1">
      <c r="A185">
        <v>3</v>
      </c>
      <c r="B185" s="263">
        <v>1.4141999999999999</v>
      </c>
      <c r="C185" s="336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1">
      <c r="A186">
        <v>5</v>
      </c>
      <c r="B186" s="263">
        <v>0.8165</v>
      </c>
      <c r="C186" s="336"/>
      <c r="D186" s="263"/>
      <c r="E186" s="263"/>
      <c r="F186" s="263"/>
      <c r="G186" s="263"/>
      <c r="H186" s="263"/>
      <c r="I186" s="263"/>
      <c r="J186" s="263"/>
      <c r="K186" s="263"/>
    </row>
    <row r="187" spans="1:11" ht="15" customHeight="1" collapsed="1"/>
    <row r="188" spans="1:11" ht="15" customHeight="1">
      <c r="A188" s="283" t="s">
        <v>507</v>
      </c>
    </row>
    <row r="189" spans="1:11" ht="15" customHeight="1">
      <c r="A189" s="290" t="s">
        <v>508</v>
      </c>
    </row>
    <row r="190" spans="1:11" ht="15" customHeight="1">
      <c r="A190" t="s">
        <v>513</v>
      </c>
      <c r="B190" s="191">
        <f t="shared" ref="B190:K190" si="78">IF(B10&lt;1,B99,B100)</f>
        <v>2.1785964068804495</v>
      </c>
      <c r="C190" s="323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customHeight="1">
      <c r="A191" t="s">
        <v>509</v>
      </c>
      <c r="B191" s="191">
        <v>1.5</v>
      </c>
      <c r="C191" s="323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customHeight="1">
      <c r="A192" t="s">
        <v>510</v>
      </c>
      <c r="B192" s="191">
        <f t="shared" ref="B192:K192" si="79">B40*B191</f>
        <v>0.12</v>
      </c>
      <c r="C192" s="323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customHeight="1">
      <c r="A193" t="s">
        <v>514</v>
      </c>
      <c r="B193" s="287">
        <v>2</v>
      </c>
      <c r="C193" s="337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1">
      <c r="A194">
        <v>0.1</v>
      </c>
      <c r="B194" s="191">
        <f t="shared" ref="B194:D202" si="80">ATAN((-B$192*$A194)/B$3)</f>
        <v>-5.9018009648474473E-5</v>
      </c>
      <c r="C194" s="323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1">
      <c r="A195">
        <v>0.5</v>
      </c>
      <c r="B195" s="191">
        <f t="shared" si="80"/>
        <v>-2.9509004001968751E-4</v>
      </c>
      <c r="C195" s="323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1">
      <c r="A196">
        <v>0.8</v>
      </c>
      <c r="B196" s="191">
        <f t="shared" si="80"/>
        <v>-4.7214404265252216E-4</v>
      </c>
      <c r="C196" s="323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1">
      <c r="A197">
        <v>1</v>
      </c>
      <c r="B197" s="191">
        <f t="shared" si="80"/>
        <v>-5.9018002864760517E-4</v>
      </c>
      <c r="C197" s="323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1">
      <c r="A198">
        <v>5</v>
      </c>
      <c r="B198" s="191">
        <f t="shared" si="80"/>
        <v>-2.9508919205973893E-3</v>
      </c>
      <c r="C198" s="323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1">
      <c r="A199">
        <v>10</v>
      </c>
      <c r="B199" s="191">
        <f t="shared" si="80"/>
        <v>-5.9017324507540511E-3</v>
      </c>
      <c r="C199" s="323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1">
      <c r="A200">
        <v>20</v>
      </c>
      <c r="B200" s="191">
        <f t="shared" si="80"/>
        <v>-1.18030538101988E-2</v>
      </c>
      <c r="C200" s="323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1">
      <c r="A201">
        <v>50</v>
      </c>
      <c r="B201" s="191">
        <f t="shared" si="80"/>
        <v>-2.9500444033613821E-2</v>
      </c>
      <c r="C201" s="323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1">
      <c r="A202">
        <v>100</v>
      </c>
      <c r="B202" s="191">
        <f t="shared" si="80"/>
        <v>-5.8949630187270508E-2</v>
      </c>
      <c r="C202" s="323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customHeight="1" collapsed="1">
      <c r="A203" t="s">
        <v>515</v>
      </c>
    </row>
    <row r="204" spans="1:11" ht="15" hidden="1" customHeight="1" outlineLevel="1">
      <c r="A204">
        <v>0.1</v>
      </c>
      <c r="B204" s="191">
        <f>DEGREES(B194)</f>
        <v>-3.3814828681199586E-3</v>
      </c>
      <c r="C204" s="323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1">
      <c r="A205">
        <v>0.5</v>
      </c>
      <c r="B205" s="191">
        <f t="shared" ref="B205:B212" si="83">DEGREES(B195)</f>
        <v>-1.6907413869474655E-2</v>
      </c>
      <c r="C205" s="323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1">
      <c r="A206">
        <v>0.8</v>
      </c>
      <c r="B206" s="191">
        <f t="shared" si="83"/>
        <v>-2.7051860966234246E-2</v>
      </c>
      <c r="C206" s="323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1">
      <c r="A207">
        <v>1</v>
      </c>
      <c r="B207" s="191">
        <f t="shared" si="83"/>
        <v>-3.3814824794417796E-2</v>
      </c>
      <c r="C207" s="323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1">
      <c r="A208">
        <v>5</v>
      </c>
      <c r="B208" s="191">
        <f t="shared" si="83"/>
        <v>-0.16907365284948406</v>
      </c>
      <c r="C208" s="323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1">
      <c r="A209">
        <v>10</v>
      </c>
      <c r="B209" s="191">
        <f t="shared" si="83"/>
        <v>-0.33814436124360708</v>
      </c>
      <c r="C209" s="323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1">
      <c r="A210">
        <v>20</v>
      </c>
      <c r="B210" s="191">
        <f t="shared" si="83"/>
        <v>-0.67626516869019659</v>
      </c>
      <c r="C210" s="323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1">
      <c r="A211">
        <v>50</v>
      </c>
      <c r="B211" s="191">
        <f t="shared" si="83"/>
        <v>-1.6902509368879624</v>
      </c>
      <c r="C211" s="323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1">
      <c r="A212">
        <v>100</v>
      </c>
      <c r="B212" s="191">
        <f t="shared" si="83"/>
        <v>-3.377565013587593</v>
      </c>
      <c r="C212" s="323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customHeight="1" collapsed="1"/>
    <row r="214" spans="1:11" ht="15" customHeight="1">
      <c r="A214" t="s">
        <v>512</v>
      </c>
      <c r="B214" s="191">
        <v>20</v>
      </c>
      <c r="C214" s="323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customHeight="1">
      <c r="A215" t="s">
        <v>521</v>
      </c>
      <c r="B215" s="191">
        <f>B$190*VLOOKUP(B$214,$A$194:B$202,B$193,FALSE)</f>
        <v>-2.5714090621115702E-2</v>
      </c>
      <c r="C215" s="323">
        <f>C$190*VLOOKUP(C$214,$A$194:C$202,C$193,FALSE)</f>
        <v>-2.067490676737882E-2</v>
      </c>
      <c r="D215" s="191">
        <f>D$190*VLOOKUP(D$214,$A$194:D$202,D$193,FALSE)</f>
        <v>-2.1564553030567112E-2</v>
      </c>
      <c r="F215" s="191">
        <f>F$190*VLOOKUP(F$214,$A$194:F$202,F$193,FALSE)</f>
        <v>-2.880554318051181E-2</v>
      </c>
      <c r="G215" s="191">
        <f>G$190*VLOOKUP(G$214,$A$194:G$202,G$193,FALSE)</f>
        <v>-0.33300929035067389</v>
      </c>
      <c r="H215" s="191">
        <f>H$190*VLOOKUP(H$214,$A$194:H$202,H$193,FALSE)</f>
        <v>-4.2227889058707863E-2</v>
      </c>
      <c r="I215" s="191">
        <f>I$190*VLOOKUP(I$214,$A$194:I$202,I$193,FALSE)</f>
        <v>-2.7257985178311663E-2</v>
      </c>
      <c r="J215" s="191">
        <f>J$190*VLOOKUP(J$214,$A$194:J$202,J$193,FALSE)</f>
        <v>-1.6692038775802574E-2</v>
      </c>
      <c r="K215" s="191">
        <f>K$190*VLOOKUP(K$214,$A$194:K$202,K$193,FALSE)</f>
        <v>-9.6371530805332908E-3</v>
      </c>
    </row>
    <row r="216" spans="1:11" ht="15" customHeight="1">
      <c r="A216" t="s">
        <v>381</v>
      </c>
    </row>
    <row r="217" spans="1:11" ht="15" hidden="1" customHeight="1" outlineLevel="1">
      <c r="A217">
        <v>1</v>
      </c>
      <c r="B217" s="191">
        <f t="shared" ref="B217:K217" si="84">B$33*(B87)*B$215</f>
        <v>-1.3004097373652017</v>
      </c>
      <c r="C217" s="323">
        <f t="shared" si="84"/>
        <v>-2.9144427007558083E-2</v>
      </c>
      <c r="D217" s="191">
        <f t="shared" si="84"/>
        <v>-0.27358666906660628</v>
      </c>
      <c r="F217" s="191">
        <f t="shared" si="84"/>
        <v>-1.9896840137699097</v>
      </c>
      <c r="G217" s="191">
        <f t="shared" si="84"/>
        <v>-46.942726584756372</v>
      </c>
      <c r="H217" s="191">
        <f t="shared" si="84"/>
        <v>-13.393492891911619</v>
      </c>
      <c r="I217" s="191">
        <f t="shared" si="84"/>
        <v>-15.369711086791446</v>
      </c>
      <c r="J217" s="191">
        <f t="shared" si="84"/>
        <v>-21.176971681858046</v>
      </c>
      <c r="K217" s="191">
        <f t="shared" si="84"/>
        <v>-33.962584169838422</v>
      </c>
    </row>
    <row r="218" spans="1:11" ht="15" hidden="1" customHeight="1" outlineLevel="1">
      <c r="A218">
        <v>2</v>
      </c>
      <c r="B218" s="191">
        <f t="shared" ref="B218:K218" si="85">B$33*(B88)*B$215</f>
        <v>-1.2597719330725397</v>
      </c>
      <c r="C218" s="323">
        <f t="shared" si="85"/>
        <v>-2.8233663663571901E-2</v>
      </c>
      <c r="D218" s="191">
        <f t="shared" si="85"/>
        <v>-0.26503708565827488</v>
      </c>
      <c r="F218" s="191">
        <f t="shared" si="85"/>
        <v>-1.9275063883396002</v>
      </c>
      <c r="G218" s="191">
        <f t="shared" si="85"/>
        <v>-45.47576637898274</v>
      </c>
      <c r="H218" s="191">
        <f t="shared" si="85"/>
        <v>-12.974946239039385</v>
      </c>
      <c r="I218" s="191">
        <f t="shared" si="85"/>
        <v>-14.889407615329215</v>
      </c>
      <c r="J218" s="191">
        <f t="shared" si="85"/>
        <v>-20.515191316799989</v>
      </c>
      <c r="K218" s="191">
        <f t="shared" si="85"/>
        <v>-32.901253414530977</v>
      </c>
    </row>
    <row r="219" spans="1:11" ht="15" hidden="1" customHeight="1" outlineLevel="1">
      <c r="A219">
        <v>3</v>
      </c>
      <c r="B219" s="191">
        <f t="shared" ref="B219:K219" si="86">B$33*(B89)*B$215</f>
        <v>-1.2191341287798767</v>
      </c>
      <c r="C219" s="323">
        <f t="shared" si="86"/>
        <v>-2.7322900319585702E-2</v>
      </c>
      <c r="D219" s="191">
        <f t="shared" si="86"/>
        <v>-0.25648750224994338</v>
      </c>
      <c r="F219" s="191">
        <f t="shared" si="86"/>
        <v>-1.8653287629092903</v>
      </c>
      <c r="G219" s="191">
        <f t="shared" si="86"/>
        <v>-44.008806173209102</v>
      </c>
      <c r="H219" s="191">
        <f t="shared" si="86"/>
        <v>-12.556399586167144</v>
      </c>
      <c r="I219" s="191">
        <f t="shared" si="86"/>
        <v>-14.409104143866982</v>
      </c>
      <c r="J219" s="191">
        <f t="shared" si="86"/>
        <v>-19.853410951741921</v>
      </c>
      <c r="K219" s="191">
        <f t="shared" si="86"/>
        <v>-31.839922659223522</v>
      </c>
    </row>
    <row r="220" spans="1:11" ht="15" hidden="1" customHeight="1" outlineLevel="1">
      <c r="A220">
        <v>4</v>
      </c>
      <c r="B220" s="191">
        <f t="shared" ref="B220:K220" si="87">B$33*(B90)*B$215</f>
        <v>-1.1784963244872142</v>
      </c>
      <c r="C220" s="323">
        <f t="shared" si="87"/>
        <v>-2.6412136975599521E-2</v>
      </c>
      <c r="D220" s="191">
        <f t="shared" si="87"/>
        <v>-0.24793791884161201</v>
      </c>
      <c r="F220" s="191">
        <f t="shared" si="87"/>
        <v>-1.803151137478981</v>
      </c>
      <c r="G220" s="191">
        <f t="shared" si="87"/>
        <v>-42.541845967435471</v>
      </c>
      <c r="H220" s="191">
        <f t="shared" si="87"/>
        <v>-12.137852933294907</v>
      </c>
      <c r="I220" s="191">
        <f t="shared" si="87"/>
        <v>-13.928800672404751</v>
      </c>
      <c r="J220" s="191">
        <f t="shared" si="87"/>
        <v>-19.191630586683857</v>
      </c>
      <c r="K220" s="191">
        <f t="shared" si="87"/>
        <v>-30.778591903916073</v>
      </c>
    </row>
    <row r="221" spans="1:11" ht="15" hidden="1" customHeight="1" outlineLevel="1">
      <c r="A221">
        <v>5</v>
      </c>
      <c r="B221" s="191">
        <f t="shared" ref="B221:K221" si="88">B$33*(B91)*B$215</f>
        <v>-1.1378585201945517</v>
      </c>
      <c r="C221" s="323">
        <f t="shared" si="88"/>
        <v>-2.5501373631613325E-2</v>
      </c>
      <c r="D221" s="191">
        <f t="shared" si="88"/>
        <v>-0.23938833543328053</v>
      </c>
      <c r="F221" s="191">
        <f t="shared" si="88"/>
        <v>-1.7409735120486709</v>
      </c>
      <c r="G221" s="191">
        <f t="shared" si="88"/>
        <v>-41.074885761661825</v>
      </c>
      <c r="H221" s="191">
        <f t="shared" si="88"/>
        <v>-11.719306280422666</v>
      </c>
      <c r="I221" s="191">
        <f t="shared" si="88"/>
        <v>-13.448497200942514</v>
      </c>
      <c r="J221" s="191">
        <f t="shared" si="88"/>
        <v>-18.529850221625789</v>
      </c>
      <c r="K221" s="191">
        <f t="shared" si="88"/>
        <v>-29.717261148608618</v>
      </c>
    </row>
    <row r="222" spans="1:11" ht="15" hidden="1" customHeight="1" outlineLevel="1">
      <c r="A222">
        <v>6</v>
      </c>
      <c r="B222" s="191">
        <f t="shared" ref="B222:K222" si="89">B$33*(B92)*B$215</f>
        <v>-1.097220715901889</v>
      </c>
      <c r="C222" s="323">
        <f t="shared" si="89"/>
        <v>-2.4590610287627136E-2</v>
      </c>
      <c r="D222" s="191">
        <f t="shared" si="89"/>
        <v>-0.23083875202494908</v>
      </c>
      <c r="F222" s="191">
        <f t="shared" si="89"/>
        <v>-1.6787958866183612</v>
      </c>
      <c r="G222" s="191">
        <f t="shared" si="89"/>
        <v>-39.607925555888194</v>
      </c>
      <c r="H222" s="191">
        <f t="shared" si="89"/>
        <v>-11.300759627550431</v>
      </c>
      <c r="I222" s="191">
        <f t="shared" si="89"/>
        <v>-12.968193729480284</v>
      </c>
      <c r="J222" s="191">
        <f t="shared" si="89"/>
        <v>-17.868069856567729</v>
      </c>
      <c r="K222" s="191">
        <f t="shared" si="89"/>
        <v>-28.655930393301166</v>
      </c>
    </row>
    <row r="223" spans="1:11" ht="15" hidden="1" customHeight="1" outlineLevel="1">
      <c r="A223">
        <v>7</v>
      </c>
      <c r="B223" s="191">
        <f t="shared" ref="B223:K223" si="90">B$33*(B93)*B$215</f>
        <v>-1.0565829116092265</v>
      </c>
      <c r="C223" s="323">
        <f t="shared" si="90"/>
        <v>-2.3679846943640944E-2</v>
      </c>
      <c r="D223" s="191">
        <f t="shared" si="90"/>
        <v>-0.22228916861661766</v>
      </c>
      <c r="F223" s="191">
        <f t="shared" si="90"/>
        <v>-1.6166182611880517</v>
      </c>
      <c r="G223" s="191">
        <f t="shared" si="90"/>
        <v>-38.140965350114556</v>
      </c>
      <c r="H223" s="191">
        <f t="shared" si="90"/>
        <v>-10.882212974678191</v>
      </c>
      <c r="I223" s="191">
        <f t="shared" si="90"/>
        <v>-12.487890258018052</v>
      </c>
      <c r="J223" s="191">
        <f t="shared" si="90"/>
        <v>-17.206289491509661</v>
      </c>
      <c r="K223" s="191">
        <f t="shared" si="90"/>
        <v>-27.594599637993717</v>
      </c>
    </row>
    <row r="224" spans="1:11" ht="15" hidden="1" customHeight="1" outlineLevel="1">
      <c r="A224">
        <v>8</v>
      </c>
      <c r="B224" s="191">
        <f t="shared" ref="B224:K224" si="91">B$33*(B94)*B$215</f>
        <v>-1.015945107316564</v>
      </c>
      <c r="C224" s="323">
        <f t="shared" si="91"/>
        <v>-2.2769083599654752E-2</v>
      </c>
      <c r="D224" s="191">
        <f t="shared" si="91"/>
        <v>-0.21373958520828618</v>
      </c>
      <c r="F224" s="191">
        <f t="shared" si="91"/>
        <v>-1.5544406357577418</v>
      </c>
      <c r="G224" s="191">
        <f t="shared" si="91"/>
        <v>-36.674005144340917</v>
      </c>
      <c r="H224" s="191">
        <f t="shared" si="91"/>
        <v>-10.463666321805952</v>
      </c>
      <c r="I224" s="191">
        <f t="shared" si="91"/>
        <v>-12.007586786555818</v>
      </c>
      <c r="J224" s="191">
        <f t="shared" si="91"/>
        <v>-16.544509126451601</v>
      </c>
      <c r="K224" s="191">
        <f t="shared" si="91"/>
        <v>-26.533268882686269</v>
      </c>
    </row>
    <row r="225" spans="1:11" ht="15" hidden="1" customHeight="1" outlineLevel="1">
      <c r="A225">
        <v>9</v>
      </c>
      <c r="B225" s="191">
        <f t="shared" ref="B225:K225" si="92">B$33*(B95)*B$215</f>
        <v>-0.97530730302390145</v>
      </c>
      <c r="C225" s="323">
        <f t="shared" si="92"/>
        <v>-2.1858320255668563E-2</v>
      </c>
      <c r="D225" s="191">
        <f t="shared" si="92"/>
        <v>-0.20519000179995472</v>
      </c>
      <c r="F225" s="191">
        <f t="shared" si="92"/>
        <v>-1.4922630103274324</v>
      </c>
      <c r="G225" s="191">
        <f t="shared" si="92"/>
        <v>-35.207044938567279</v>
      </c>
      <c r="H225" s="191">
        <f t="shared" si="92"/>
        <v>-10.045119668933715</v>
      </c>
      <c r="I225" s="191">
        <f t="shared" si="92"/>
        <v>-11.527283315093586</v>
      </c>
      <c r="J225" s="191">
        <f t="shared" si="92"/>
        <v>-15.882728761393537</v>
      </c>
      <c r="K225" s="191">
        <f t="shared" si="92"/>
        <v>-25.471938127378817</v>
      </c>
    </row>
    <row r="226" spans="1:11" ht="15" hidden="1" customHeight="1" outlineLevel="1">
      <c r="A226">
        <v>10</v>
      </c>
      <c r="B226" s="191">
        <f t="shared" ref="B226:K226" si="93">B$33*(B96)*B$215</f>
        <v>-0.93466949873123883</v>
      </c>
      <c r="C226" s="323">
        <f t="shared" si="93"/>
        <v>-2.0947556911682371E-2</v>
      </c>
      <c r="D226" s="191">
        <f t="shared" si="93"/>
        <v>-0.19664041839162327</v>
      </c>
      <c r="F226" s="191">
        <f t="shared" si="93"/>
        <v>-1.4300853848971224</v>
      </c>
      <c r="G226" s="191">
        <f t="shared" si="93"/>
        <v>-33.74008473279364</v>
      </c>
      <c r="H226" s="191">
        <f t="shared" si="93"/>
        <v>-9.6265730160614762</v>
      </c>
      <c r="I226" s="191">
        <f t="shared" si="93"/>
        <v>-11.046979843631352</v>
      </c>
      <c r="J226" s="191">
        <f t="shared" si="93"/>
        <v>-15.220948396335471</v>
      </c>
      <c r="K226" s="191">
        <f t="shared" si="93"/>
        <v>-24.410607372071365</v>
      </c>
    </row>
    <row r="227" spans="1:11" ht="15" customHeight="1" collapsed="1">
      <c r="A227" t="s">
        <v>516</v>
      </c>
      <c r="B227" s="191">
        <f>SUM(B217:B226)</f>
        <v>-11.175396180482204</v>
      </c>
      <c r="C227" s="323">
        <f t="shared" ref="C227:K227" si="94">SUM(C217:C226)</f>
        <v>-0.25045991959620229</v>
      </c>
      <c r="D227" s="191">
        <f t="shared" si="94"/>
        <v>-2.3511354372911484</v>
      </c>
      <c r="F227" s="191">
        <f t="shared" si="94"/>
        <v>-17.098846993335162</v>
      </c>
      <c r="G227" s="191">
        <f t="shared" si="94"/>
        <v>-403.41405658775017</v>
      </c>
      <c r="H227" s="191">
        <f t="shared" si="94"/>
        <v>-115.10032953986548</v>
      </c>
      <c r="I227" s="191">
        <f t="shared" si="94"/>
        <v>-132.083454652114</v>
      </c>
      <c r="J227" s="191">
        <f t="shared" si="94"/>
        <v>-181.98960039096761</v>
      </c>
      <c r="K227" s="191">
        <f t="shared" si="94"/>
        <v>-291.86595770954892</v>
      </c>
    </row>
    <row r="228" spans="1:11" ht="15" customHeight="1">
      <c r="A228" t="s">
        <v>517</v>
      </c>
      <c r="B228" s="191">
        <f>B227*B192</f>
        <v>-1.3410475416578644</v>
      </c>
      <c r="C228" s="323">
        <f t="shared" ref="C228:K228" si="95">C227*C192</f>
        <v>-3.0055190351544272E-2</v>
      </c>
      <c r="D228" s="191">
        <f t="shared" si="95"/>
        <v>-0.28213625247493779</v>
      </c>
      <c r="F228" s="191">
        <f t="shared" si="95"/>
        <v>-2.0518616392002191</v>
      </c>
      <c r="G228" s="191">
        <f t="shared" si="95"/>
        <v>-48.409686790530017</v>
      </c>
      <c r="H228" s="191">
        <f t="shared" si="95"/>
        <v>-13.812039544783858</v>
      </c>
      <c r="I228" s="191">
        <f t="shared" si="95"/>
        <v>-15.85001455825368</v>
      </c>
      <c r="J228" s="191">
        <f t="shared" si="95"/>
        <v>-21.838752046916113</v>
      </c>
      <c r="K228" s="191">
        <f t="shared" si="95"/>
        <v>-35.023914925145867</v>
      </c>
    </row>
    <row r="229" spans="1:11" ht="15" customHeight="1">
      <c r="A229" t="s">
        <v>520</v>
      </c>
      <c r="B229" s="191">
        <f t="shared" ref="B229:K229" si="96">B44*(2/3)*((1+B50+B50^2)/(1+B50))</f>
        <v>0.12666666666666665</v>
      </c>
      <c r="C229" s="323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customHeight="1">
      <c r="A230" t="s">
        <v>522</v>
      </c>
      <c r="B230" s="191">
        <v>0.8</v>
      </c>
      <c r="C230" s="323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customHeight="1">
      <c r="A231" t="s">
        <v>519</v>
      </c>
      <c r="B231" s="191">
        <f t="shared" ref="B231:K231" si="97">B228/(B33*B97*B229)</f>
        <v>-2.4360717430530671E-2</v>
      </c>
      <c r="C231" s="323">
        <f t="shared" si="97"/>
        <v>-1.9586753779622039E-2</v>
      </c>
      <c r="D231" s="191">
        <f t="shared" si="97"/>
        <v>-2.0429576555274109E-2</v>
      </c>
      <c r="F231" s="191">
        <f t="shared" si="97"/>
        <v>-2.7289461960484877E-2</v>
      </c>
      <c r="G231" s="191">
        <f t="shared" si="97"/>
        <v>-0.31548248559537534</v>
      </c>
      <c r="H231" s="191">
        <f t="shared" si="97"/>
        <v>-4.0005368581933765E-2</v>
      </c>
      <c r="I231" s="191">
        <f t="shared" si="97"/>
        <v>-2.5823354379453156E-2</v>
      </c>
      <c r="J231" s="191">
        <f t="shared" si="97"/>
        <v>-1.581351041918139E-2</v>
      </c>
      <c r="K231" s="191">
        <f t="shared" si="97"/>
        <v>-9.1299344973473293E-3</v>
      </c>
    </row>
    <row r="232" spans="1:11" ht="15" customHeight="1">
      <c r="A232" s="291" t="s">
        <v>524</v>
      </c>
      <c r="B232" s="289">
        <f t="shared" ref="B232:K232" si="98">(-B190*B192^2)/(B230*B3)</f>
        <v>-1.9286463586602718E-4</v>
      </c>
      <c r="C232" s="338">
        <f t="shared" si="98"/>
        <v>-9.2656791636244057E-4</v>
      </c>
      <c r="D232" s="289">
        <f t="shared" si="98"/>
        <v>-3.2214611966789743E-4</v>
      </c>
      <c r="E232" s="289"/>
      <c r="F232" s="289">
        <f t="shared" si="98"/>
        <v>-1.8442157528556364E-4</v>
      </c>
      <c r="G232" s="289">
        <f t="shared" si="98"/>
        <v>-1.4924165209605816E-3</v>
      </c>
      <c r="H232" s="289">
        <f t="shared" si="98"/>
        <v>-1.2616584802612485E-4</v>
      </c>
      <c r="I232" s="289">
        <f t="shared" si="98"/>
        <v>-6.1079778533164696E-5</v>
      </c>
      <c r="J232" s="289">
        <f t="shared" si="98"/>
        <v>-2.4935715168075836E-5</v>
      </c>
      <c r="K232" s="289">
        <f t="shared" si="98"/>
        <v>-8.6379851188346516E-6</v>
      </c>
    </row>
    <row r="233" spans="1:11" ht="15" hidden="1" customHeight="1" outlineLevel="1">
      <c r="A233">
        <v>0.06</v>
      </c>
      <c r="B233" s="289">
        <v>-3.957435565420617E-3</v>
      </c>
      <c r="C233" s="338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1">
      <c r="A234">
        <v>0.1</v>
      </c>
      <c r="B234" s="289">
        <v>-1.0587217785124063E-3</v>
      </c>
      <c r="C234" s="338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1">
      <c r="A235">
        <v>0.3</v>
      </c>
      <c r="B235" s="289">
        <v>-2.3663117870606997E-4</v>
      </c>
      <c r="C235" s="338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1">
      <c r="A236">
        <v>0.5</v>
      </c>
      <c r="B236" s="289">
        <v>-1.1523587839424864E-4</v>
      </c>
      <c r="C236" s="338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1">
      <c r="A237">
        <v>0.7</v>
      </c>
      <c r="B237" s="289">
        <v>-7.9021921140809409E-5</v>
      </c>
      <c r="C237" s="338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1">
      <c r="A238">
        <v>1</v>
      </c>
      <c r="B238" s="289">
        <v>-5.1877556177959536E-4</v>
      </c>
      <c r="C238" s="338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1">
      <c r="A239">
        <v>1.5</v>
      </c>
      <c r="B239" s="289">
        <v>-3.1795765043958875E-4</v>
      </c>
      <c r="C239" s="338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1">
      <c r="A240">
        <v>2</v>
      </c>
      <c r="B240" s="289">
        <v>-6.841359360843149E-5</v>
      </c>
      <c r="C240" s="338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1">
      <c r="A241">
        <v>3</v>
      </c>
      <c r="B241" s="289">
        <v>-1.795482812258461E-5</v>
      </c>
      <c r="C241" s="338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1">
      <c r="A242">
        <v>5</v>
      </c>
      <c r="B242" s="289">
        <v>-4.5829625651869788E-6</v>
      </c>
      <c r="C242" s="338"/>
      <c r="D242" s="289"/>
      <c r="E242" s="289"/>
      <c r="F242" s="289"/>
      <c r="G242" s="289"/>
      <c r="H242" s="289"/>
      <c r="I242" s="289"/>
      <c r="J242" s="289"/>
      <c r="K242" s="289"/>
    </row>
    <row r="243" spans="1:11" ht="15" customHeight="1" collapsed="1"/>
    <row r="244" spans="1:11" ht="15" customHeight="1">
      <c r="A244" s="291" t="s">
        <v>525</v>
      </c>
      <c r="B244" s="191">
        <f>(B190*B192)/B230</f>
        <v>0.32678946103206741</v>
      </c>
      <c r="C244" s="323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1">
      <c r="A245">
        <v>0.06</v>
      </c>
      <c r="B245" s="191">
        <v>0.42414518635482801</v>
      </c>
    </row>
    <row r="246" spans="1:11" ht="15" hidden="1" customHeight="1" outlineLevel="1">
      <c r="A246">
        <v>0.1</v>
      </c>
      <c r="B246" s="191">
        <v>0.42551395211156007</v>
      </c>
    </row>
    <row r="247" spans="1:11" ht="15" hidden="1" customHeight="1" outlineLevel="1">
      <c r="A247">
        <v>0.3</v>
      </c>
      <c r="B247" s="191">
        <v>0.4438239208910964</v>
      </c>
    </row>
    <row r="248" spans="1:11" ht="15" hidden="1" customHeight="1" outlineLevel="1">
      <c r="A248">
        <v>0.5</v>
      </c>
      <c r="B248" s="191">
        <v>0.48887831097616802</v>
      </c>
    </row>
    <row r="249" spans="1:11" ht="15" hidden="1" customHeight="1" outlineLevel="1">
      <c r="A249">
        <v>0.7</v>
      </c>
      <c r="B249" s="191">
        <v>0.59285203359655836</v>
      </c>
    </row>
    <row r="250" spans="1:11" ht="15" hidden="1" customHeight="1" outlineLevel="1">
      <c r="A250">
        <v>1</v>
      </c>
      <c r="B250" s="191">
        <v>6.7184169910531475</v>
      </c>
    </row>
    <row r="251" spans="1:11" ht="15" hidden="1" customHeight="1" outlineLevel="1">
      <c r="A251">
        <v>1.5</v>
      </c>
      <c r="B251" s="191">
        <v>0.85194189942741982</v>
      </c>
    </row>
    <row r="252" spans="1:11" ht="15" hidden="1" customHeight="1" outlineLevel="1">
      <c r="A252">
        <v>2</v>
      </c>
      <c r="B252" s="191">
        <v>0.54992613140311863</v>
      </c>
    </row>
    <row r="253" spans="1:11" ht="15" hidden="1" customHeight="1" outlineLevel="1">
      <c r="A253">
        <v>3</v>
      </c>
      <c r="B253" s="191">
        <v>0.33675960454009318</v>
      </c>
    </row>
    <row r="254" spans="1:11" ht="15" hidden="1" customHeight="1" outlineLevel="1">
      <c r="A254">
        <v>5</v>
      </c>
      <c r="B254" s="191">
        <v>0.19442824833341479</v>
      </c>
    </row>
    <row r="255" spans="1:11" ht="15" customHeight="1" collapsed="1"/>
    <row r="257" spans="1:13" s="97" customFormat="1" ht="14.25" customHeight="1">
      <c r="A257" s="322" t="s">
        <v>620</v>
      </c>
      <c r="B257" s="321"/>
      <c r="C257" s="328"/>
      <c r="D257" s="321"/>
      <c r="E257" s="321"/>
      <c r="F257" s="321"/>
      <c r="G257" s="321"/>
      <c r="H257" s="321"/>
      <c r="I257" s="321"/>
      <c r="J257" s="321"/>
      <c r="K257" s="321"/>
      <c r="M257" s="340"/>
    </row>
    <row r="258" spans="1:13" ht="15" customHeight="1" thickBot="1"/>
    <row r="259" spans="1:13" ht="15" customHeight="1" thickBot="1">
      <c r="A259" s="309" t="s">
        <v>567</v>
      </c>
    </row>
    <row r="260" spans="1:13" ht="15" customHeight="1">
      <c r="A260" t="s">
        <v>353</v>
      </c>
      <c r="B260" s="191">
        <f t="shared" ref="B260" si="100">DiameterRocket</f>
        <v>8</v>
      </c>
    </row>
    <row r="261" spans="1:13" ht="15" customHeight="1">
      <c r="A261" t="s">
        <v>354</v>
      </c>
      <c r="B261" s="191">
        <f t="shared" ref="B261" si="101">B260/100</f>
        <v>0.08</v>
      </c>
    </row>
    <row r="262" spans="1:13" ht="15" customHeight="1">
      <c r="A262" s="311" t="s">
        <v>580</v>
      </c>
      <c r="B262" s="261">
        <v>15</v>
      </c>
    </row>
    <row r="263" spans="1:13" ht="15" customHeight="1">
      <c r="A263" t="s">
        <v>356</v>
      </c>
      <c r="B263" s="191">
        <f>B262/100</f>
        <v>0.15</v>
      </c>
    </row>
    <row r="264" spans="1:13" ht="15" customHeight="1">
      <c r="A264" t="s">
        <v>575</v>
      </c>
      <c r="B264" s="191">
        <f>B262/B260</f>
        <v>1.875</v>
      </c>
    </row>
    <row r="265" spans="1:13" ht="15" customHeight="1">
      <c r="A265" s="311" t="s">
        <v>576</v>
      </c>
      <c r="B265" s="191">
        <v>80</v>
      </c>
    </row>
    <row r="266" spans="1:13" ht="15" customHeight="1">
      <c r="A266" t="s">
        <v>356</v>
      </c>
      <c r="B266" s="191">
        <f>B265/100</f>
        <v>0.8</v>
      </c>
    </row>
    <row r="267" spans="1:13" ht="15" customHeight="1">
      <c r="A267" s="311" t="s">
        <v>577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11" t="s">
        <v>578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10" t="s">
        <v>579</v>
      </c>
      <c r="B271" s="191">
        <f>B262+B265+B267</f>
        <v>95</v>
      </c>
    </row>
    <row r="272" spans="1:13" ht="15" customHeight="1">
      <c r="A272" t="s">
        <v>356</v>
      </c>
      <c r="B272" s="191">
        <f>B271/100</f>
        <v>0.95</v>
      </c>
    </row>
    <row r="273" spans="1:2" ht="15" customHeight="1">
      <c r="A273" t="s">
        <v>610</v>
      </c>
      <c r="B273" s="191">
        <f t="shared" ref="B273" si="102">CrossSecAreaRocket</f>
        <v>6.2265482457436686E-3</v>
      </c>
    </row>
    <row r="275" spans="1:2" ht="15" customHeight="1">
      <c r="A275" s="265" t="s">
        <v>373</v>
      </c>
    </row>
    <row r="276" spans="1:2" ht="15" customHeight="1">
      <c r="A276" t="s">
        <v>621</v>
      </c>
      <c r="B276" s="186">
        <f>(B20*B3*B271)/B23</f>
        <v>1288413916.2392006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205.68682069018513</v>
      </c>
    </row>
    <row r="280" spans="1:2" ht="15" customHeight="1">
      <c r="A280" s="272" t="s">
        <v>495</v>
      </c>
      <c r="B280" s="278">
        <f>B292</f>
        <v>4.2844706142843387</v>
      </c>
    </row>
    <row r="281" spans="1:2" ht="15" hidden="1" customHeight="1" outlineLevel="1">
      <c r="A281" s="271" t="s">
        <v>527</v>
      </c>
      <c r="B281" s="191">
        <f>B271/$A286</f>
        <v>19</v>
      </c>
    </row>
    <row r="282" spans="1:2" ht="15" hidden="1" customHeight="1" outlineLevel="1">
      <c r="A282">
        <v>1</v>
      </c>
      <c r="B282" s="186">
        <f>(B$20*B$3*($A282*B$281))/B$23</f>
        <v>257682783.24784008</v>
      </c>
    </row>
    <row r="283" spans="1:2" ht="15" hidden="1" customHeight="1" outlineLevel="1">
      <c r="A283">
        <v>2</v>
      </c>
      <c r="B283" s="186">
        <f>(B$20*B$3*($A283*B$281))/B$23</f>
        <v>515365566.49568015</v>
      </c>
    </row>
    <row r="284" spans="1:2" ht="15" hidden="1" customHeight="1" outlineLevel="1">
      <c r="A284">
        <v>3</v>
      </c>
      <c r="B284" s="186">
        <f>(B$20*B$3*($A284*B$281))/B$23</f>
        <v>773048349.74352038</v>
      </c>
    </row>
    <row r="285" spans="1:2" ht="15" hidden="1" customHeight="1" outlineLevel="1">
      <c r="A285">
        <v>4</v>
      </c>
      <c r="B285" s="186">
        <f>(B$20*B$3*($A285*B$281))/B$23</f>
        <v>1030731132.9913603</v>
      </c>
    </row>
    <row r="286" spans="1:2" ht="15" hidden="1" customHeight="1" outlineLevel="1">
      <c r="A286">
        <v>5</v>
      </c>
      <c r="B286" s="186">
        <f>(B$20*B$3*($A286*B$281))/B$23</f>
        <v>1288413916.2392006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5.0326203446423445</v>
      </c>
    </row>
    <row r="289" spans="1:2" ht="15" hidden="1" customHeight="1" outlineLevel="1">
      <c r="A289">
        <v>2</v>
      </c>
      <c r="B289" s="186">
        <f t="shared" ref="B289:B292" si="103">B$279*(SQRT(0.0576/(2*($B283^(1/5)))))</f>
        <v>4.6956008154306437</v>
      </c>
    </row>
    <row r="290" spans="1:2" ht="15" hidden="1" customHeight="1" outlineLevel="1">
      <c r="A290">
        <v>3</v>
      </c>
      <c r="B290" s="186">
        <f t="shared" si="103"/>
        <v>4.5090187729490401</v>
      </c>
    </row>
    <row r="291" spans="1:2" ht="15" hidden="1" customHeight="1" outlineLevel="1">
      <c r="A291">
        <v>4</v>
      </c>
      <c r="B291" s="186">
        <f t="shared" si="103"/>
        <v>4.3811504758839277</v>
      </c>
    </row>
    <row r="292" spans="1:2" ht="15" hidden="1" customHeight="1" outlineLevel="1">
      <c r="A292">
        <v>5</v>
      </c>
      <c r="B292" s="186">
        <f t="shared" si="103"/>
        <v>4.2844706142843387</v>
      </c>
    </row>
    <row r="293" spans="1:2" ht="15" customHeight="1" collapsed="1">
      <c r="A293" s="272" t="s">
        <v>494</v>
      </c>
      <c r="B293" s="278">
        <f>B299</f>
        <v>4.2154766313739671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4.9515787053567308</v>
      </c>
    </row>
    <row r="296" spans="1:2" ht="15" hidden="1" customHeight="1" outlineLevel="1">
      <c r="A296">
        <v>2</v>
      </c>
      <c r="B296" s="186">
        <f t="shared" ref="B296:B299" si="104">B289*SQRT((1+0.2*B$11^2)^(-0.467))</f>
        <v>4.6199862922889405</v>
      </c>
    </row>
    <row r="297" spans="1:2" ht="15" hidden="1" customHeight="1" outlineLevel="1">
      <c r="A297">
        <v>3</v>
      </c>
      <c r="B297" s="186">
        <f t="shared" si="104"/>
        <v>4.4364088306317306</v>
      </c>
    </row>
    <row r="298" spans="1:2" ht="15" hidden="1" customHeight="1" outlineLevel="1">
      <c r="A298">
        <v>4</v>
      </c>
      <c r="B298" s="186">
        <f t="shared" si="104"/>
        <v>4.3105996311533952</v>
      </c>
    </row>
    <row r="299" spans="1:2" ht="15" hidden="1" customHeight="1" outlineLevel="1">
      <c r="A299">
        <v>5</v>
      </c>
      <c r="B299" s="186">
        <f t="shared" si="104"/>
        <v>4.2154766313739671</v>
      </c>
    </row>
    <row r="300" spans="1:2" ht="15" customHeight="1" collapsed="1"/>
    <row r="301" spans="1:2" ht="15" customHeight="1">
      <c r="A301" s="267" t="s">
        <v>611</v>
      </c>
      <c r="B301" s="191">
        <f>B8*B7*B302</f>
        <v>39.345009419023008</v>
      </c>
    </row>
    <row r="302" spans="1:2" ht="15" customHeight="1">
      <c r="A302" s="311" t="s">
        <v>588</v>
      </c>
      <c r="B302" s="315">
        <f>B304*B303+(4/PI())*(B265/B260)*B306*B310</f>
        <v>0.24783299473041148</v>
      </c>
    </row>
    <row r="303" spans="1:2" ht="15" customHeight="1">
      <c r="A303" t="s">
        <v>596</v>
      </c>
      <c r="B303" s="191">
        <f>SIN(RADIANS(B13))*COS(RADIANS(B13))</f>
        <v>8.6824088833465166E-2</v>
      </c>
    </row>
    <row r="304" spans="1:2" ht="15" customHeight="1">
      <c r="A304" t="s">
        <v>591</v>
      </c>
      <c r="B304" s="191">
        <f>IF(B264&lt;=1.5,VLOOKUP(B10,$A$328:$B$352,2,TRUE),IF(B264&lt;=3,VLOOKUP(B10,A354:B378,2,TRUE),IF(B264&lt;=5,VLOOKUP(B10,$A$380:$B$404,2,TRUE),VLOOKUP(B10,$A$406:$B$430,2,TRUE))))</f>
        <v>2.0499999999999998</v>
      </c>
    </row>
    <row r="305" spans="1:2" ht="15" customHeight="1">
      <c r="A305" t="s">
        <v>587</v>
      </c>
      <c r="B305" s="191">
        <f>0.5 *(4*(B264^2)-1)</f>
        <v>6.53125</v>
      </c>
    </row>
    <row r="306" spans="1:2" ht="15" customHeight="1">
      <c r="A306" t="s">
        <v>589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592</v>
      </c>
      <c r="B307" s="191">
        <f>0.5*(B308*B309-B305)</f>
        <v>0.67605404038471706</v>
      </c>
    </row>
    <row r="308" spans="1:2" ht="15" customHeight="1">
      <c r="A308" t="s">
        <v>593</v>
      </c>
      <c r="B308" s="191">
        <f>((B305+1)^2)/(SQRT(2*B305+1))</f>
        <v>15.125260416666666</v>
      </c>
    </row>
    <row r="309" spans="1:2" ht="15" customHeight="1">
      <c r="A309" t="s">
        <v>594</v>
      </c>
      <c r="B309" s="191">
        <f>ASIN((SQRT(2*B305+1))/(B305+1))</f>
        <v>0.52120478349468202</v>
      </c>
    </row>
    <row r="310" spans="1:2" ht="15" customHeight="1">
      <c r="A310" t="s">
        <v>595</v>
      </c>
      <c r="B310" s="191">
        <f>B309*(B262/B271)+(B267+B265)/B271</f>
        <v>0.92440075528863397</v>
      </c>
    </row>
    <row r="312" spans="1:2" ht="15" customHeight="1">
      <c r="A312" s="267" t="s">
        <v>608</v>
      </c>
      <c r="B312" s="191">
        <f>B313-B315</f>
        <v>-44.189999014603274</v>
      </c>
    </row>
    <row r="313" spans="1:2" ht="15" customHeight="1">
      <c r="A313" t="s">
        <v>607</v>
      </c>
      <c r="B313" s="191">
        <f>B314*B262</f>
        <v>6.99</v>
      </c>
    </row>
    <row r="314" spans="1:2" ht="15" customHeight="1">
      <c r="A314" t="s">
        <v>603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599</v>
      </c>
      <c r="B315" s="191">
        <f>(B271/2)*B318</f>
        <v>51.179999014603275</v>
      </c>
    </row>
    <row r="316" spans="1:2" ht="15" customHeight="1">
      <c r="A316" t="s">
        <v>598</v>
      </c>
      <c r="B316" s="191">
        <f>(1/B307)*(B308*B309-B317)</f>
        <v>1.2428832293338909</v>
      </c>
    </row>
    <row r="317" spans="1:2" ht="15" customHeight="1">
      <c r="A317" t="s">
        <v>594</v>
      </c>
      <c r="B317" s="191">
        <f>(2/(2*B305+1))*(B305^2+B305+1/3)</f>
        <v>7.0431018518518522</v>
      </c>
    </row>
    <row r="318" spans="1:2" ht="15" customHeight="1">
      <c r="A318" t="s">
        <v>597</v>
      </c>
      <c r="B318" s="191">
        <f>(1/B310)*(B319+B320+B321+B322-B323)</f>
        <v>1.0774736634653321</v>
      </c>
    </row>
    <row r="319" spans="1:2" ht="15" customHeight="1">
      <c r="A319" t="s">
        <v>593</v>
      </c>
      <c r="B319" s="191">
        <f>B307*B316*((B262/B271)^2)</f>
        <v>2.0948216233402317E-2</v>
      </c>
    </row>
    <row r="320" spans="1:2" ht="15" customHeight="1">
      <c r="A320" t="s">
        <v>594</v>
      </c>
      <c r="B320" s="191">
        <f>(B265/B271)^2</f>
        <v>0.70914127423822704</v>
      </c>
    </row>
    <row r="321" spans="1:2" ht="15" customHeight="1">
      <c r="A321" t="s">
        <v>600</v>
      </c>
      <c r="B321" s="191">
        <f>2*(B265*B262)/B271^2</f>
        <v>0.26592797783933519</v>
      </c>
    </row>
    <row r="322" spans="1:2" ht="15" customHeight="1">
      <c r="A322" t="s">
        <v>601</v>
      </c>
      <c r="B322" s="191">
        <f>2*(B267/B271)</f>
        <v>0</v>
      </c>
    </row>
    <row r="323" spans="1:2" ht="15" customHeight="1">
      <c r="A323" t="s">
        <v>602</v>
      </c>
      <c r="B323" s="191">
        <f>(B267/B271)^2</f>
        <v>0</v>
      </c>
    </row>
    <row r="325" spans="1:2" ht="15" customHeight="1">
      <c r="A325" s="312" t="s">
        <v>584</v>
      </c>
    </row>
    <row r="326" spans="1:2" ht="15" customHeight="1">
      <c r="A326" s="266" t="s">
        <v>590</v>
      </c>
    </row>
    <row r="327" spans="1:2" ht="15" hidden="1" customHeight="1" outlineLevel="1">
      <c r="A327" t="s">
        <v>586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3" t="s">
        <v>585</v>
      </c>
      <c r="B353" s="313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3" t="s">
        <v>585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585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10" t="s">
        <v>604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10" t="s">
        <v>605</v>
      </c>
      <c r="B440" s="310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606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612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613</v>
      </c>
    </row>
    <row r="501" spans="1:2" ht="15" hidden="1" customHeight="1" outlineLevel="1">
      <c r="A501">
        <v>0</v>
      </c>
      <c r="B501" s="191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15">
        <f>(B499-B493)/(RADIANS(A499-A493))</f>
        <v>2.6165447807264344</v>
      </c>
    </row>
    <row r="508" spans="1:2" ht="15" hidden="1" customHeight="1" outlineLevel="1">
      <c r="A508" s="319" t="s">
        <v>615</v>
      </c>
      <c r="B508" s="320">
        <f>(B496-B493)/(RADIANS(A496-A493))</f>
        <v>2.9120776693435939</v>
      </c>
    </row>
    <row r="509" spans="1:2" ht="15" hidden="1" customHeight="1" outlineLevel="1">
      <c r="A509" s="316" t="s">
        <v>618</v>
      </c>
      <c r="B509" s="315">
        <f>(B499-B496)/(RADIANS(A499-A496))</f>
        <v>2.3210118921092744</v>
      </c>
    </row>
    <row r="510" spans="1:2" ht="15" hidden="1" customHeight="1" outlineLevel="1">
      <c r="A510" t="s">
        <v>614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0.40976847294297647</v>
      </c>
    </row>
    <row r="513" spans="1:2" ht="15" hidden="1" customHeight="1" outlineLevel="1">
      <c r="A513">
        <v>10</v>
      </c>
      <c r="B513" s="191">
        <f t="shared" ref="B513:B517" si="106">B$289*RADIANS(A513)</f>
        <v>0.81953694588595294</v>
      </c>
    </row>
    <row r="514" spans="1:2" ht="15" hidden="1" customHeight="1" outlineLevel="1">
      <c r="A514">
        <v>15</v>
      </c>
      <c r="B514" s="191">
        <f t="shared" si="106"/>
        <v>1.2293054188289292</v>
      </c>
    </row>
    <row r="515" spans="1:2" ht="15" hidden="1" customHeight="1" outlineLevel="1">
      <c r="A515">
        <v>20</v>
      </c>
      <c r="B515" s="191">
        <f t="shared" si="106"/>
        <v>1.6390738917719059</v>
      </c>
    </row>
    <row r="516" spans="1:2" ht="15" hidden="1" customHeight="1" outlineLevel="1">
      <c r="A516">
        <v>25</v>
      </c>
      <c r="B516" s="191">
        <f t="shared" si="106"/>
        <v>2.0488423647148823</v>
      </c>
    </row>
    <row r="517" spans="1:2" ht="15" hidden="1" customHeight="1" outlineLevel="1">
      <c r="A517">
        <v>30</v>
      </c>
      <c r="B517" s="191">
        <f t="shared" si="106"/>
        <v>2.4586108376578584</v>
      </c>
    </row>
    <row r="518" spans="1:2" ht="15" hidden="1" customHeight="1" outlineLevel="1">
      <c r="A518" t="s">
        <v>616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7">B$290*RADIANS(A520)</f>
        <v>0.39348611811097689</v>
      </c>
    </row>
    <row r="521" spans="1:2" ht="15" hidden="1" customHeight="1" outlineLevel="1">
      <c r="A521">
        <v>10</v>
      </c>
      <c r="B521" s="191">
        <f t="shared" si="107"/>
        <v>0.78697223622195378</v>
      </c>
    </row>
    <row r="522" spans="1:2" ht="15" hidden="1" customHeight="1" outlineLevel="1">
      <c r="A522">
        <v>15</v>
      </c>
      <c r="B522" s="191">
        <f t="shared" si="107"/>
        <v>1.1804583543329306</v>
      </c>
    </row>
    <row r="523" spans="1:2" ht="15" hidden="1" customHeight="1" outlineLevel="1">
      <c r="A523" s="317" t="s">
        <v>617</v>
      </c>
      <c r="B523" s="318"/>
    </row>
    <row r="524" spans="1:2" ht="15" hidden="1" customHeight="1" outlineLevel="1">
      <c r="A524" s="317">
        <v>15</v>
      </c>
      <c r="B524" s="318">
        <f>B$291*RADIANS(A524)</f>
        <v>1.1469825124423643</v>
      </c>
    </row>
    <row r="525" spans="1:2" ht="15" hidden="1" customHeight="1" outlineLevel="1">
      <c r="A525" s="317">
        <v>20</v>
      </c>
      <c r="B525" s="318">
        <f t="shared" ref="B525:B527" si="108">B$291*RADIANS(A525)</f>
        <v>1.5293100165898192</v>
      </c>
    </row>
    <row r="526" spans="1:2" ht="15" hidden="1" customHeight="1" outlineLevel="1">
      <c r="A526" s="317">
        <v>25</v>
      </c>
      <c r="B526" s="318">
        <f t="shared" si="108"/>
        <v>1.911637520737274</v>
      </c>
    </row>
    <row r="527" spans="1:2" ht="15" hidden="1" customHeight="1" outlineLevel="1">
      <c r="A527" s="317">
        <v>30</v>
      </c>
      <c r="B527" s="318">
        <f t="shared" si="108"/>
        <v>2.2939650248847285</v>
      </c>
    </row>
    <row r="528" spans="1:2" ht="15" customHeight="1" collapsed="1"/>
    <row r="529" spans="1:26" ht="15" customHeight="1">
      <c r="A529" t="s">
        <v>619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22" t="s">
        <v>630</v>
      </c>
      <c r="B540" s="321"/>
      <c r="C540" s="328"/>
      <c r="D540" s="321"/>
      <c r="E540" s="321"/>
      <c r="F540" s="321"/>
      <c r="G540" s="321"/>
      <c r="H540" s="321"/>
      <c r="I540" s="321"/>
      <c r="J540" s="321"/>
      <c r="K540" s="321"/>
      <c r="M540" s="340"/>
    </row>
    <row r="542" spans="1:26" ht="15" customHeight="1" thickBot="1">
      <c r="A542" t="s">
        <v>627</v>
      </c>
      <c r="B542" s="191">
        <v>15</v>
      </c>
      <c r="N542" t="s">
        <v>252</v>
      </c>
      <c r="R542" t="s">
        <v>637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407" t="s">
        <v>636</v>
      </c>
      <c r="S543" s="30" t="s">
        <v>638</v>
      </c>
      <c r="T543" s="345" t="s">
        <v>639</v>
      </c>
      <c r="U543" s="30" t="s">
        <v>640</v>
      </c>
      <c r="W543" s="30" t="s">
        <v>644</v>
      </c>
      <c r="X543" s="30" t="s">
        <v>681</v>
      </c>
      <c r="Z543" t="s">
        <v>642</v>
      </c>
    </row>
    <row r="544" spans="1:26" ht="15" customHeight="1">
      <c r="A544" s="266" t="s">
        <v>626</v>
      </c>
      <c r="B544" s="191">
        <f>B271-B542</f>
        <v>80</v>
      </c>
      <c r="N544" s="34" t="s">
        <v>275</v>
      </c>
      <c r="O544" s="30" t="s">
        <v>276</v>
      </c>
      <c r="P544" s="35" t="s">
        <v>277</v>
      </c>
      <c r="R544" s="30" t="s">
        <v>645</v>
      </c>
      <c r="S544" s="30" t="s">
        <v>646</v>
      </c>
      <c r="T544" s="30" t="s">
        <v>647</v>
      </c>
      <c r="U544" s="30" t="s">
        <v>648</v>
      </c>
      <c r="W544" s="30" t="s">
        <v>654</v>
      </c>
      <c r="X544" s="30" t="s">
        <v>682</v>
      </c>
      <c r="Z544" t="s">
        <v>641</v>
      </c>
    </row>
    <row r="545" spans="1:26" ht="15" customHeight="1" thickBot="1">
      <c r="A545" s="271" t="s">
        <v>356</v>
      </c>
      <c r="B545" s="191">
        <f>B544/100</f>
        <v>0.8</v>
      </c>
      <c r="N545" s="36" t="s">
        <v>280</v>
      </c>
      <c r="O545" s="37" t="s">
        <v>277</v>
      </c>
      <c r="P545" s="38" t="s">
        <v>281</v>
      </c>
      <c r="R545" s="407" t="s">
        <v>649</v>
      </c>
      <c r="S545" s="407" t="s">
        <v>650</v>
      </c>
      <c r="T545" s="407" t="s">
        <v>651</v>
      </c>
      <c r="U545" s="407" t="s">
        <v>652</v>
      </c>
      <c r="W545" s="30" t="s">
        <v>655</v>
      </c>
      <c r="X545" s="30" t="s">
        <v>683</v>
      </c>
      <c r="Z545" s="347" t="s">
        <v>643</v>
      </c>
    </row>
    <row r="546" spans="1:26" ht="15" customHeight="1">
      <c r="N546" s="346"/>
      <c r="O546" s="346"/>
      <c r="P546" s="346"/>
      <c r="R546" s="345">
        <v>0</v>
      </c>
      <c r="S546" s="345">
        <v>0</v>
      </c>
      <c r="T546" s="348" t="s">
        <v>653</v>
      </c>
      <c r="U546" s="345">
        <v>0</v>
      </c>
      <c r="W546" s="345">
        <v>0</v>
      </c>
      <c r="X546" s="345">
        <v>0</v>
      </c>
    </row>
    <row r="547" spans="1:26" ht="15" customHeight="1">
      <c r="A547" t="s">
        <v>628</v>
      </c>
      <c r="N547" s="345"/>
      <c r="O547" s="345"/>
      <c r="P547" s="345"/>
    </row>
    <row r="548" spans="1:26" ht="15" customHeight="1">
      <c r="A548" t="s">
        <v>632</v>
      </c>
      <c r="N548" s="345"/>
      <c r="O548" s="345"/>
      <c r="P548" s="345"/>
      <c r="R548" s="345"/>
      <c r="S548" s="345"/>
      <c r="T548" s="345"/>
      <c r="U548" s="345"/>
      <c r="W548" s="345"/>
    </row>
    <row r="549" spans="1:26" ht="15" customHeight="1">
      <c r="A549" t="s">
        <v>631</v>
      </c>
      <c r="R549" s="345"/>
      <c r="S549" s="345"/>
      <c r="T549" s="345"/>
      <c r="U549" s="345"/>
      <c r="W549" s="345"/>
    </row>
    <row r="550" spans="1:26" ht="15" customHeight="1">
      <c r="A550" t="s">
        <v>629</v>
      </c>
      <c r="R550" s="345"/>
      <c r="S550" s="345"/>
      <c r="T550" s="345"/>
      <c r="U550" s="345"/>
      <c r="W550" s="345"/>
    </row>
    <row r="551" spans="1:26" ht="15" customHeight="1">
      <c r="A551" t="s">
        <v>356</v>
      </c>
      <c r="R551" s="345"/>
      <c r="S551" s="345"/>
      <c r="T551" s="345"/>
      <c r="U551" s="345"/>
      <c r="W551" s="345"/>
    </row>
    <row r="552" spans="1:26" ht="15" customHeight="1">
      <c r="A552" t="s">
        <v>634</v>
      </c>
    </row>
    <row r="553" spans="1:26" ht="15" customHeight="1">
      <c r="A553" t="s">
        <v>356</v>
      </c>
    </row>
    <row r="574" spans="28:28" ht="15" customHeight="1">
      <c r="AB574" t="s">
        <v>642</v>
      </c>
    </row>
    <row r="575" spans="28:28" ht="15" customHeight="1">
      <c r="AB575" s="406" t="s">
        <v>668</v>
      </c>
    </row>
    <row r="576" spans="28:28" ht="15" customHeight="1">
      <c r="AB576" t="s">
        <v>669</v>
      </c>
    </row>
    <row r="577" spans="14:28" ht="15" customHeight="1">
      <c r="AB577" t="s">
        <v>641</v>
      </c>
    </row>
    <row r="578" spans="14:28" ht="15" customHeight="1">
      <c r="AB578" s="347" t="s">
        <v>643</v>
      </c>
    </row>
    <row r="579" spans="14:28" ht="15" customHeight="1">
      <c r="N579" t="s">
        <v>656</v>
      </c>
    </row>
    <row r="581" spans="14:28" ht="15" customHeight="1">
      <c r="N581" s="345" t="s">
        <v>657</v>
      </c>
      <c r="O581" s="345" t="s">
        <v>660</v>
      </c>
      <c r="P581" s="345" t="s">
        <v>663</v>
      </c>
      <c r="Q581" s="345" t="s">
        <v>670</v>
      </c>
      <c r="R581" s="345" t="s">
        <v>671</v>
      </c>
      <c r="T581" s="345" t="s">
        <v>676</v>
      </c>
      <c r="U581" s="345">
        <v>0</v>
      </c>
    </row>
    <row r="582" spans="14:28" ht="15" customHeight="1">
      <c r="N582" s="345" t="s">
        <v>658</v>
      </c>
      <c r="O582" s="345" t="s">
        <v>661</v>
      </c>
      <c r="P582" s="345" t="s">
        <v>664</v>
      </c>
      <c r="Q582" s="345" t="s">
        <v>672</v>
      </c>
      <c r="R582" s="345" t="s">
        <v>674</v>
      </c>
      <c r="T582" s="345" t="s">
        <v>677</v>
      </c>
      <c r="U582" s="345" t="s">
        <v>679</v>
      </c>
    </row>
    <row r="583" spans="14:28" ht="15" customHeight="1">
      <c r="N583" s="345" t="s">
        <v>659</v>
      </c>
      <c r="O583" s="345" t="s">
        <v>662</v>
      </c>
      <c r="P583" s="345" t="s">
        <v>665</v>
      </c>
      <c r="Q583" s="345" t="s">
        <v>673</v>
      </c>
      <c r="R583" s="345" t="s">
        <v>675</v>
      </c>
      <c r="T583" s="345" t="s">
        <v>678</v>
      </c>
      <c r="U583" s="345" t="s">
        <v>680</v>
      </c>
    </row>
    <row r="584" spans="14:28" ht="15" customHeight="1">
      <c r="N584" s="345">
        <v>0</v>
      </c>
      <c r="O584" s="345">
        <v>1</v>
      </c>
      <c r="P584" s="345" t="s">
        <v>666</v>
      </c>
      <c r="Q584" s="345">
        <v>0</v>
      </c>
      <c r="R584" s="345">
        <v>0</v>
      </c>
      <c r="T584" s="345">
        <v>0</v>
      </c>
      <c r="U584" s="345">
        <v>0</v>
      </c>
    </row>
    <row r="585" spans="14:28" ht="15" customHeight="1">
      <c r="N585" s="345">
        <v>0</v>
      </c>
      <c r="O585" s="345">
        <v>0</v>
      </c>
      <c r="P585" s="345" t="s">
        <v>667</v>
      </c>
      <c r="Q585" s="345">
        <v>0</v>
      </c>
      <c r="R585" s="345">
        <v>0</v>
      </c>
      <c r="T585" s="345">
        <v>0</v>
      </c>
      <c r="U585" s="345">
        <v>0</v>
      </c>
    </row>
    <row r="587" spans="14:28" ht="15" customHeight="1">
      <c r="N587" s="345"/>
      <c r="O587" s="345"/>
      <c r="P587" s="345"/>
      <c r="Q587" s="345"/>
      <c r="R587" s="345"/>
      <c r="T587" s="345"/>
      <c r="U587" s="345"/>
    </row>
    <row r="588" spans="14:28" ht="15" customHeight="1">
      <c r="N588" s="345"/>
      <c r="O588" s="345"/>
      <c r="P588" s="345"/>
      <c r="Q588" s="345"/>
      <c r="R588" s="345"/>
      <c r="T588" s="345"/>
      <c r="U588" s="345"/>
    </row>
    <row r="589" spans="14:28" ht="15" customHeight="1">
      <c r="N589" s="345"/>
      <c r="O589" s="345"/>
      <c r="P589" s="345"/>
      <c r="Q589" s="345"/>
      <c r="R589" s="345"/>
      <c r="T589" s="345"/>
      <c r="U589" s="345"/>
    </row>
    <row r="590" spans="14:28" ht="15" customHeight="1">
      <c r="N590" s="345"/>
      <c r="O590" s="345"/>
      <c r="P590" s="345"/>
      <c r="Q590" s="345"/>
      <c r="R590" s="345"/>
      <c r="T590" s="345"/>
      <c r="U590" s="345"/>
    </row>
    <row r="591" spans="14:28" ht="15" customHeight="1">
      <c r="N591" s="345"/>
      <c r="O591" s="345"/>
      <c r="P591" s="345"/>
      <c r="Q591" s="345"/>
      <c r="R591" s="345"/>
      <c r="T591" s="345"/>
      <c r="U591" s="345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13"/>
  <sheetViews>
    <sheetView zoomScale="85" zoomScaleNormal="85" workbookViewId="0">
      <pane ySplit="12" topLeftCell="A278" activePane="bottomLeft" state="frozen"/>
      <selection pane="bottomLeft" activeCell="B8" sqref="B8"/>
    </sheetView>
  </sheetViews>
  <sheetFormatPr defaultColWidth="9.08984375" defaultRowHeight="15" customHeight="1" outlineLevelRow="1"/>
  <cols>
    <col min="1" max="1" width="46.08984375" customWidth="1"/>
    <col min="2" max="2" width="12.7265625" style="191" customWidth="1"/>
  </cols>
  <sheetData>
    <row r="1" spans="1:2" ht="30.75" customHeight="1" thickBot="1">
      <c r="A1" s="269" t="s">
        <v>496</v>
      </c>
      <c r="B1" s="191">
        <v>1</v>
      </c>
    </row>
    <row r="2" spans="1:2" ht="14.5">
      <c r="A2" t="s">
        <v>327</v>
      </c>
      <c r="B2" s="191">
        <f>B7*B9</f>
        <v>201.78803730647661</v>
      </c>
    </row>
    <row r="3" spans="1:2" ht="14.5" outlineLevel="1">
      <c r="A3" t="s">
        <v>328</v>
      </c>
      <c r="B3" s="191">
        <f>B2*COS(RADIANS(B11))*COS(RADIANS(B12))</f>
        <v>201.02017290305136</v>
      </c>
    </row>
    <row r="4" spans="1:2" ht="14.5" outlineLevel="1">
      <c r="A4" t="s">
        <v>329</v>
      </c>
      <c r="B4" s="191">
        <f t="shared" ref="B4" si="0">B2*SIN(RADIANS(B12))</f>
        <v>0</v>
      </c>
    </row>
    <row r="5" spans="1:2" ht="14.5" outlineLevel="1">
      <c r="A5" t="s">
        <v>330</v>
      </c>
      <c r="B5" s="191">
        <f t="shared" ref="B5" si="1">B2*SIN(RADIANS(B11))*COS(RADIANS(B12))</f>
        <v>17.586986269038125</v>
      </c>
    </row>
    <row r="6" spans="1:2" ht="14.5" outlineLevel="1">
      <c r="A6" t="s">
        <v>336</v>
      </c>
      <c r="B6" s="191">
        <v>1000</v>
      </c>
    </row>
    <row r="7" spans="1:2" s="284" customFormat="1" ht="14.5">
      <c r="A7" s="284" t="s">
        <v>484</v>
      </c>
      <c r="B7" s="285">
        <v>0.6</v>
      </c>
    </row>
    <row r="8" spans="1:2" ht="14.5">
      <c r="A8" t="s">
        <v>331</v>
      </c>
      <c r="B8" s="282">
        <f t="shared" ref="B8" si="2">B2/B9</f>
        <v>0.6</v>
      </c>
    </row>
    <row r="9" spans="1:2" ht="14.5">
      <c r="A9" t="s">
        <v>485</v>
      </c>
      <c r="B9" s="191">
        <f>(SQRT(1.4*B18*287))</f>
        <v>336.31339551079435</v>
      </c>
    </row>
    <row r="10" spans="1:2" ht="14.5">
      <c r="A10" t="s">
        <v>609</v>
      </c>
      <c r="B10" s="191">
        <f>B30</f>
        <v>22613.861176595397</v>
      </c>
    </row>
    <row r="11" spans="1:2" s="284" customFormat="1" ht="14.5">
      <c r="A11" s="284" t="s">
        <v>332</v>
      </c>
      <c r="B11" s="286">
        <v>5</v>
      </c>
    </row>
    <row r="12" spans="1:2" ht="14.5">
      <c r="A12" s="267" t="s">
        <v>333</v>
      </c>
      <c r="B12" s="191">
        <v>0</v>
      </c>
    </row>
    <row r="13" spans="1:2" ht="14.5">
      <c r="A13" t="s">
        <v>334</v>
      </c>
      <c r="B13" s="191">
        <f t="shared" ref="B13" si="3">RADIANS(AoAfins)</f>
        <v>8.7266462599716474E-2</v>
      </c>
    </row>
    <row r="14" spans="1:2" thickBot="1">
      <c r="A14" t="s">
        <v>335</v>
      </c>
      <c r="B14" s="191">
        <f t="shared" ref="B14" si="4">RADIANS(AoSfins)</f>
        <v>0</v>
      </c>
    </row>
    <row r="15" spans="1:2" thickBot="1">
      <c r="A15" s="268" t="s">
        <v>486</v>
      </c>
    </row>
    <row r="16" spans="1:2" ht="14.5" hidden="1" outlineLevel="1">
      <c r="A16" t="s">
        <v>348</v>
      </c>
      <c r="B16" s="191">
        <f>101325*(B18/288.08)^5.256</f>
        <v>89737.544351569042</v>
      </c>
    </row>
    <row r="17" spans="1:2" ht="14.5" hidden="1" outlineLevel="1">
      <c r="A17" t="s">
        <v>337</v>
      </c>
      <c r="B17" s="191">
        <f t="shared" ref="B17" si="5">B16/(287*B18)</f>
        <v>1.1107437675415928</v>
      </c>
    </row>
    <row r="18" spans="1:2" ht="14.5" hidden="1" outlineLevel="1">
      <c r="A18" t="s">
        <v>338</v>
      </c>
      <c r="B18" s="191">
        <f>(15-0.0065*B6)+273</f>
        <v>281.5</v>
      </c>
    </row>
    <row r="19" spans="1:2" ht="14.5" hidden="1" outlineLevel="1">
      <c r="A19" t="s">
        <v>483</v>
      </c>
      <c r="B19" s="191">
        <f>B18-273</f>
        <v>8.5</v>
      </c>
    </row>
    <row r="20" spans="1:2" ht="14.5" hidden="1" outlineLevel="1">
      <c r="A20" t="s">
        <v>339</v>
      </c>
      <c r="B20" s="186">
        <f>(1.76*10^-5)*((B18/273)^(3/2))*((273+110)/(B18+110))</f>
        <v>1.8028238864608104E-5</v>
      </c>
    </row>
    <row r="21" spans="1:2" ht="14.5" hidden="1" outlineLevel="1">
      <c r="A21" t="s">
        <v>340</v>
      </c>
      <c r="B21" s="186">
        <f t="shared" ref="B21" si="6">B20/B17</f>
        <v>1.6230781023880937E-5</v>
      </c>
    </row>
    <row r="22" spans="1:2" ht="14.5" hidden="1" outlineLevel="1">
      <c r="A22" t="s">
        <v>341</v>
      </c>
      <c r="B22" s="191">
        <v>9</v>
      </c>
    </row>
    <row r="23" spans="1:2" ht="14.5" hidden="1" outlineLevel="1">
      <c r="A23" t="s">
        <v>349</v>
      </c>
    </row>
    <row r="24" spans="1:2" ht="14.5" hidden="1" outlineLevel="1">
      <c r="A24" t="s">
        <v>350</v>
      </c>
    </row>
    <row r="25" spans="1:2" ht="14.5" hidden="1" outlineLevel="1">
      <c r="A25" t="s">
        <v>351</v>
      </c>
    </row>
    <row r="26" spans="1:2" ht="14.5" hidden="1" outlineLevel="1">
      <c r="A26" t="s">
        <v>342</v>
      </c>
      <c r="B26" s="191">
        <f>DEGREES(ATAN((B5+B22)/B3))</f>
        <v>7.5342279187263124</v>
      </c>
    </row>
    <row r="27" spans="1:2" ht="14.5" hidden="1" outlineLevel="1">
      <c r="A27" t="s">
        <v>343</v>
      </c>
      <c r="B27" s="191">
        <f>DEGREES(ATAN((B4+B22)/B3))</f>
        <v>2.563513273615377</v>
      </c>
    </row>
    <row r="28" spans="1:2" ht="14.5" hidden="1" outlineLevel="1">
      <c r="A28" t="s">
        <v>344</v>
      </c>
      <c r="B28" s="191">
        <f t="shared" ref="B28:B29" si="7">RADIANS(B26)</f>
        <v>0.13149708377745389</v>
      </c>
    </row>
    <row r="29" spans="1:2" ht="14.5" hidden="1" outlineLevel="1">
      <c r="A29" t="s">
        <v>345</v>
      </c>
      <c r="B29" s="191">
        <f t="shared" si="7"/>
        <v>4.4741747043166608E-2</v>
      </c>
    </row>
    <row r="30" spans="1:2" ht="14.5" hidden="1" outlineLevel="1">
      <c r="A30" s="266" t="s">
        <v>346</v>
      </c>
      <c r="B30" s="314">
        <f>0.5*B17*B2^2</f>
        <v>22613.861176595397</v>
      </c>
    </row>
    <row r="31" spans="1:2" ht="14.5" hidden="1" outlineLevel="1">
      <c r="A31" t="s">
        <v>347</v>
      </c>
      <c r="B31" s="191">
        <f t="shared" ref="B31" si="8">CrossSecAreaRocket</f>
        <v>6.2265482457436686E-3</v>
      </c>
    </row>
    <row r="32" spans="1:2" ht="15" customHeight="1" collapsed="1" thickBot="1"/>
    <row r="33" spans="1:2" thickBot="1">
      <c r="A33" s="309" t="s">
        <v>567</v>
      </c>
    </row>
    <row r="34" spans="1:2" ht="14.5" hidden="1" outlineLevel="1">
      <c r="A34" t="s">
        <v>353</v>
      </c>
      <c r="B34" s="191">
        <f t="shared" ref="B34" si="9">DiameterRocket</f>
        <v>8</v>
      </c>
    </row>
    <row r="35" spans="1:2" ht="14.5" hidden="1" outlineLevel="1">
      <c r="A35" t="s">
        <v>354</v>
      </c>
      <c r="B35" s="191">
        <f t="shared" ref="B35" si="10">B34/100</f>
        <v>0.08</v>
      </c>
    </row>
    <row r="36" spans="1:2" ht="14.5" hidden="1" outlineLevel="1">
      <c r="A36" s="311" t="s">
        <v>580</v>
      </c>
      <c r="B36" s="261">
        <v>15</v>
      </c>
    </row>
    <row r="37" spans="1:2" ht="14.5" hidden="1" outlineLevel="1">
      <c r="A37" t="s">
        <v>356</v>
      </c>
      <c r="B37" s="191">
        <f>B36/100</f>
        <v>0.15</v>
      </c>
    </row>
    <row r="38" spans="1:2" ht="14.5" hidden="1" outlineLevel="1">
      <c r="A38" t="s">
        <v>575</v>
      </c>
      <c r="B38" s="191">
        <f>B36/B34</f>
        <v>1.875</v>
      </c>
    </row>
    <row r="39" spans="1:2" ht="14.5" hidden="1" outlineLevel="1">
      <c r="A39" s="311" t="s">
        <v>576</v>
      </c>
      <c r="B39" s="191">
        <v>80</v>
      </c>
    </row>
    <row r="40" spans="1:2" ht="14.5" hidden="1" outlineLevel="1">
      <c r="A40" t="s">
        <v>356</v>
      </c>
      <c r="B40" s="191">
        <f>B39/100</f>
        <v>0.8</v>
      </c>
    </row>
    <row r="41" spans="1:2" ht="14.5" hidden="1" outlineLevel="1">
      <c r="A41" s="311" t="s">
        <v>577</v>
      </c>
      <c r="B41" s="191">
        <v>0</v>
      </c>
    </row>
    <row r="42" spans="1:2" ht="14.5" hidden="1" outlineLevel="1">
      <c r="A42" t="s">
        <v>356</v>
      </c>
      <c r="B42" s="191">
        <f>B41/100</f>
        <v>0</v>
      </c>
    </row>
    <row r="43" spans="1:2" ht="14.5" hidden="1" outlineLevel="1">
      <c r="A43" s="311" t="s">
        <v>578</v>
      </c>
      <c r="B43" s="191">
        <v>0</v>
      </c>
    </row>
    <row r="44" spans="1:2" ht="14.5" hidden="1" outlineLevel="1">
      <c r="A44" t="s">
        <v>356</v>
      </c>
      <c r="B44" s="191">
        <f>B43/100</f>
        <v>0</v>
      </c>
    </row>
    <row r="45" spans="1:2" ht="14.5" hidden="1" outlineLevel="1">
      <c r="A45" s="310" t="s">
        <v>579</v>
      </c>
      <c r="B45" s="191">
        <f>B36+B39+B41</f>
        <v>95</v>
      </c>
    </row>
    <row r="46" spans="1:2" ht="14.5" hidden="1" outlineLevel="1">
      <c r="A46" t="s">
        <v>356</v>
      </c>
      <c r="B46" s="191">
        <f>B45/100</f>
        <v>0.95</v>
      </c>
    </row>
    <row r="47" spans="1:2" ht="14.5" hidden="1" outlineLevel="1">
      <c r="A47" t="s">
        <v>610</v>
      </c>
      <c r="B47" s="191">
        <f t="shared" ref="B47" si="11">CrossSecAreaRocket</f>
        <v>6.2265482457436686E-3</v>
      </c>
    </row>
    <row r="48" spans="1:2" ht="14.5" hidden="1" outlineLevel="1"/>
    <row r="49" spans="1:2" ht="14.5" collapsed="1">
      <c r="A49" s="265" t="s">
        <v>373</v>
      </c>
    </row>
    <row r="50" spans="1:2" ht="14.5">
      <c r="A50" t="s">
        <v>378</v>
      </c>
      <c r="B50" s="186">
        <f>(B17*B3*B45)/B20</f>
        <v>1176586413.0439498</v>
      </c>
    </row>
    <row r="51" spans="1:2" ht="14.5">
      <c r="A51" t="s">
        <v>379</v>
      </c>
      <c r="B51" s="186">
        <f>(B17*B3*B40)/B20</f>
        <v>9908096.1098437887</v>
      </c>
    </row>
    <row r="52" spans="1:2" s="274" customFormat="1" ht="14.5">
      <c r="A52" s="275" t="s">
        <v>488</v>
      </c>
      <c r="B52" s="277">
        <v>2.1985695237376403E-2</v>
      </c>
    </row>
    <row r="53" spans="1:2" ht="14.5">
      <c r="A53" s="275" t="s">
        <v>489</v>
      </c>
      <c r="B53" s="186">
        <f>B52/1000</f>
        <v>2.1985695237376404E-5</v>
      </c>
    </row>
    <row r="54" spans="1:2" ht="14.5">
      <c r="A54" t="s">
        <v>490</v>
      </c>
      <c r="B54" s="191">
        <f>(B53*B3)/B20</f>
        <v>245.14697698439164</v>
      </c>
    </row>
    <row r="55" spans="1:2" s="187" customFormat="1" ht="14.5">
      <c r="A55" s="292" t="s">
        <v>582</v>
      </c>
      <c r="B55" s="278">
        <f>B67</f>
        <v>8.1669595225352634</v>
      </c>
    </row>
    <row r="56" spans="1:2" ht="14.5">
      <c r="A56" s="271" t="s">
        <v>527</v>
      </c>
      <c r="B56" s="191">
        <f>B46/$A61</f>
        <v>0.19</v>
      </c>
    </row>
    <row r="57" spans="1:2" ht="14.5" hidden="1" outlineLevel="1">
      <c r="A57">
        <v>1</v>
      </c>
      <c r="B57" s="186">
        <f>(B$17*B$3*($A57*B$56))/B$20</f>
        <v>2353172.8260878995</v>
      </c>
    </row>
    <row r="58" spans="1:2" ht="14.5" hidden="1" outlineLevel="1">
      <c r="A58">
        <v>2</v>
      </c>
      <c r="B58" s="186">
        <f>(B$17*B$3*($A58*B$56))/B$20</f>
        <v>4706345.652175799</v>
      </c>
    </row>
    <row r="59" spans="1:2" ht="14.5" hidden="1" outlineLevel="1">
      <c r="A59">
        <v>3</v>
      </c>
      <c r="B59" s="186">
        <f>(B$17*B$3*($A59*B$56))/B$20</f>
        <v>7059518.4782636994</v>
      </c>
    </row>
    <row r="60" spans="1:2" ht="14.5" hidden="1" outlineLevel="1">
      <c r="A60">
        <v>4</v>
      </c>
      <c r="B60" s="186">
        <f>(B$17*B$3*($A60*B$56))/B$20</f>
        <v>9412691.304351598</v>
      </c>
    </row>
    <row r="61" spans="1:2" ht="14.5" hidden="1" outlineLevel="1">
      <c r="A61">
        <v>5</v>
      </c>
      <c r="B61" s="186">
        <f>(B$17*B$3*($A61*B$56))/B$20</f>
        <v>11765864.130439496</v>
      </c>
    </row>
    <row r="62" spans="1:2" ht="14.5" collapsed="1">
      <c r="A62" s="271" t="s">
        <v>491</v>
      </c>
      <c r="B62" s="186"/>
    </row>
    <row r="63" spans="1:2" ht="14.5" hidden="1" outlineLevel="1">
      <c r="A63">
        <v>1</v>
      </c>
      <c r="B63" s="186">
        <f>B$54*(SQRT(0.0576/(2*($B57^(1/5)))))</f>
        <v>9.5930653626030029</v>
      </c>
    </row>
    <row r="64" spans="1:2" ht="14.5" hidden="1" outlineLevel="1">
      <c r="A64">
        <v>2</v>
      </c>
      <c r="B64" s="186">
        <f>B$54*(SQRT(0.0576/(2*($B58^(1/5)))))</f>
        <v>8.9506464732776081</v>
      </c>
    </row>
    <row r="65" spans="1:2" ht="14.5" hidden="1" outlineLevel="1">
      <c r="A65">
        <v>3</v>
      </c>
      <c r="B65" s="186">
        <f>B$54*(SQRT(0.0576/(2*($B59^(1/5)))))</f>
        <v>8.5949880674295507</v>
      </c>
    </row>
    <row r="66" spans="1:2" ht="14.5" hidden="1" outlineLevel="1">
      <c r="A66">
        <v>4</v>
      </c>
      <c r="B66" s="186">
        <f>B$54*(SQRT(0.0576/(2*($B60^(1/5)))))</f>
        <v>8.3512484551505803</v>
      </c>
    </row>
    <row r="67" spans="1:2" ht="14.5" hidden="1" outlineLevel="1">
      <c r="A67">
        <v>5</v>
      </c>
      <c r="B67" s="186">
        <f>B$54*(SQRT(0.0576/(2*($B61^(1/5)))))</f>
        <v>8.1669595225352634</v>
      </c>
    </row>
    <row r="68" spans="1:2" s="187" customFormat="1" ht="14.5" collapsed="1">
      <c r="A68" s="292" t="s">
        <v>583</v>
      </c>
      <c r="B68" s="278">
        <f>B74</f>
        <v>8.0354447762679193</v>
      </c>
    </row>
    <row r="69" spans="1:2" ht="14.5">
      <c r="A69" s="271" t="s">
        <v>528</v>
      </c>
    </row>
    <row r="70" spans="1:2" ht="14.5" hidden="1" outlineLevel="1">
      <c r="A70">
        <v>1</v>
      </c>
      <c r="B70" s="186">
        <f>B63*SQRT((1+0.2*B$8^2)^(-0.467))</f>
        <v>9.4385856503419667</v>
      </c>
    </row>
    <row r="71" spans="1:2" ht="14.5" hidden="1" outlineLevel="1">
      <c r="A71">
        <v>2</v>
      </c>
      <c r="B71" s="186">
        <f t="shared" ref="B71:B73" si="12">B64*SQRT((1+0.2*B$8^2)^(-0.467))</f>
        <v>8.8065118052149476</v>
      </c>
    </row>
    <row r="72" spans="1:2" ht="14.5" hidden="1" outlineLevel="1">
      <c r="A72">
        <v>3</v>
      </c>
      <c r="B72" s="186">
        <f t="shared" si="12"/>
        <v>8.456580662355508</v>
      </c>
    </row>
    <row r="73" spans="1:2" ht="14.5" hidden="1" outlineLevel="1">
      <c r="A73">
        <v>4</v>
      </c>
      <c r="B73" s="186">
        <f t="shared" si="12"/>
        <v>8.2167660546239123</v>
      </c>
    </row>
    <row r="74" spans="1:2" ht="14.5" hidden="1" outlineLevel="1">
      <c r="A74">
        <v>5</v>
      </c>
      <c r="B74" s="186">
        <f>B67*SQRT((1+0.2*B$8^2)^(-0.467))</f>
        <v>8.0354447762679193</v>
      </c>
    </row>
    <row r="75" spans="1:2" ht="14.5" collapsed="1"/>
    <row r="76" spans="1:2" ht="14.5">
      <c r="A76" s="267" t="s">
        <v>611</v>
      </c>
      <c r="B76" s="191">
        <f>B10*B47*B77</f>
        <v>34.896446420681087</v>
      </c>
    </row>
    <row r="77" spans="1:2" s="167" customFormat="1" ht="14.5">
      <c r="A77" s="311" t="s">
        <v>588</v>
      </c>
      <c r="B77" s="315">
        <f>B79*B78+(4/PI())*(B39/B34)*B81*B85</f>
        <v>0.24783299473041148</v>
      </c>
    </row>
    <row r="78" spans="1:2" ht="14.5">
      <c r="A78" t="s">
        <v>596</v>
      </c>
      <c r="B78" s="191">
        <f>SIN(RADIANS(B11))*COS(RADIANS(B11))</f>
        <v>8.6824088833465166E-2</v>
      </c>
    </row>
    <row r="79" spans="1:2" ht="14.5">
      <c r="A79" t="s">
        <v>591</v>
      </c>
      <c r="B79" s="191">
        <f>IF(B38&lt;=1.5,VLOOKUP(B8,$A$103:$B$128,2,TRUE),IF(B38&lt;=3,VLOOKUP(B8,$A$129:$B$154,2,TRUE),IF(B38&lt;=5,VLOOKUP(B8,$A$181:$B$206,2,TRUE),VLOOKUP(B8,$A$155:$B$180,2,TRUE))))</f>
        <v>2.0499999999999998</v>
      </c>
    </row>
    <row r="80" spans="1:2" ht="14.5">
      <c r="A80" t="s">
        <v>587</v>
      </c>
      <c r="B80" s="191">
        <f>0.5 *(4*(B38^2)-1)</f>
        <v>6.53125</v>
      </c>
    </row>
    <row r="81" spans="1:2" ht="14.5">
      <c r="A81" t="s">
        <v>589</v>
      </c>
      <c r="B81" s="191">
        <f>IF(B8&lt;0.5,VLOOKUP(B11,$A$208:$B$215,2,TRUE),RADIANS(B11)*VLOOKUP(B8,$A$216:$B$229,2,TRUE))</f>
        <v>5.9341194567807207E-3</v>
      </c>
    </row>
    <row r="82" spans="1:2" ht="14.5">
      <c r="A82" t="s">
        <v>592</v>
      </c>
      <c r="B82" s="191">
        <f>0.5*(B83*B84-B80)</f>
        <v>0.67605404038471706</v>
      </c>
    </row>
    <row r="83" spans="1:2" ht="14.5">
      <c r="A83" t="s">
        <v>593</v>
      </c>
      <c r="B83" s="191">
        <f>((B80+1)^2)/(SQRT(2*B80+1))</f>
        <v>15.125260416666666</v>
      </c>
    </row>
    <row r="84" spans="1:2" ht="14.5">
      <c r="A84" t="s">
        <v>594</v>
      </c>
      <c r="B84" s="191">
        <f>ASIN((SQRT(2*B80+1))/(B80+1))</f>
        <v>0.52120478349468202</v>
      </c>
    </row>
    <row r="85" spans="1:2" ht="14.5">
      <c r="A85" t="s">
        <v>595</v>
      </c>
      <c r="B85" s="191">
        <f>B84*(B36/B45)+(B41+B39)/B45</f>
        <v>0.92440075528863397</v>
      </c>
    </row>
    <row r="86" spans="1:2" ht="14.5"/>
    <row r="87" spans="1:2" ht="14.5">
      <c r="A87" s="267" t="s">
        <v>608</v>
      </c>
      <c r="B87" s="191">
        <f>B88-B90</f>
        <v>-44.189999014603274</v>
      </c>
    </row>
    <row r="88" spans="1:2" ht="14.5" hidden="1" outlineLevel="1">
      <c r="A88" t="s">
        <v>607</v>
      </c>
      <c r="B88" s="191">
        <f>B89*B36</f>
        <v>6.99</v>
      </c>
    </row>
    <row r="89" spans="1:2" ht="14.5" hidden="1" outlineLevel="1">
      <c r="A89" t="s">
        <v>603</v>
      </c>
      <c r="B89" s="191">
        <f>IF(B38&lt;=1.5,VLOOKUP(B7,$A$233:$B$238,2,TRUE),IF(B38&lt;=2,VLOOKUP(B7,$A$240:$B$245,2,TRUE),IF(B38&lt;=3,VLOOKUP(B7,$A$247:$B$252,2,TRUE),IF(B38&lt;=5,VLOOKUP(B7,$A$254:$B$259,2,TRUE),IF(B38&lt;=7,VLOOKUP(B7,$A$261:$B$266,2,TRUE))))))</f>
        <v>0.46600000000000003</v>
      </c>
    </row>
    <row r="90" spans="1:2" ht="14.5" hidden="1" outlineLevel="1">
      <c r="A90" t="s">
        <v>599</v>
      </c>
      <c r="B90" s="191">
        <f>(B45/2)*B93</f>
        <v>51.179999014603275</v>
      </c>
    </row>
    <row r="91" spans="1:2" ht="14.5" hidden="1" outlineLevel="1">
      <c r="A91" t="s">
        <v>598</v>
      </c>
      <c r="B91" s="191">
        <f>(1/B82)*(B83*B84-B92)</f>
        <v>1.2428832293338909</v>
      </c>
    </row>
    <row r="92" spans="1:2" ht="14.5" hidden="1" outlineLevel="1">
      <c r="A92" t="s">
        <v>594</v>
      </c>
      <c r="B92" s="191">
        <f>(2/(2*B80+1))*(B80^2+B80+1/3)</f>
        <v>7.0431018518518522</v>
      </c>
    </row>
    <row r="93" spans="1:2" ht="14.5" hidden="1" outlineLevel="1">
      <c r="A93" t="s">
        <v>597</v>
      </c>
      <c r="B93" s="191">
        <f>(1/B85)*(B94+B95+B96+B97-B98)</f>
        <v>1.0774736634653321</v>
      </c>
    </row>
    <row r="94" spans="1:2" ht="14.5" hidden="1" outlineLevel="1">
      <c r="A94" t="s">
        <v>593</v>
      </c>
      <c r="B94" s="191">
        <f>B82*B91*((B36/B45)^2)</f>
        <v>2.0948216233402317E-2</v>
      </c>
    </row>
    <row r="95" spans="1:2" ht="14.5" hidden="1" outlineLevel="1">
      <c r="A95" t="s">
        <v>594</v>
      </c>
      <c r="B95" s="191">
        <f>(B39/B45)^2</f>
        <v>0.70914127423822704</v>
      </c>
    </row>
    <row r="96" spans="1:2" ht="14.5" hidden="1" outlineLevel="1">
      <c r="A96" t="s">
        <v>600</v>
      </c>
      <c r="B96" s="191">
        <f>2*(B39*B36)/B45^2</f>
        <v>0.26592797783933519</v>
      </c>
    </row>
    <row r="97" spans="1:2" ht="14.5" hidden="1" outlineLevel="1">
      <c r="A97" t="s">
        <v>601</v>
      </c>
      <c r="B97" s="191">
        <f>2*(B41/B45)</f>
        <v>0</v>
      </c>
    </row>
    <row r="98" spans="1:2" ht="14.5" hidden="1" outlineLevel="1">
      <c r="A98" t="s">
        <v>602</v>
      </c>
      <c r="B98" s="191">
        <f>(B41/B45)^2</f>
        <v>0</v>
      </c>
    </row>
    <row r="99" spans="1:2" ht="14.5" collapsed="1"/>
    <row r="100" spans="1:2" ht="14.5"/>
    <row r="101" spans="1:2" ht="15" customHeight="1">
      <c r="A101" s="312" t="s">
        <v>584</v>
      </c>
    </row>
    <row r="102" spans="1:2" ht="15" customHeight="1">
      <c r="A102" t="s">
        <v>590</v>
      </c>
    </row>
    <row r="103" spans="1:2" ht="15" hidden="1" customHeight="1" outlineLevel="1">
      <c r="A103" t="s">
        <v>586</v>
      </c>
      <c r="B103">
        <v>1.5</v>
      </c>
    </row>
    <row r="104" spans="1:2" ht="15" hidden="1" customHeight="1" outlineLevel="1">
      <c r="A104">
        <v>0</v>
      </c>
      <c r="B104">
        <v>2</v>
      </c>
    </row>
    <row r="105" spans="1:2" ht="15" hidden="1" customHeight="1" outlineLevel="1">
      <c r="A105">
        <v>0.3</v>
      </c>
      <c r="B105">
        <v>2.0099999999999998</v>
      </c>
    </row>
    <row r="106" spans="1:2" ht="15" hidden="1" customHeight="1" outlineLevel="1">
      <c r="A106">
        <v>0.4</v>
      </c>
      <c r="B106">
        <v>2.02</v>
      </c>
    </row>
    <row r="107" spans="1:2" ht="15" hidden="1" customHeight="1" outlineLevel="1">
      <c r="A107">
        <v>0.5</v>
      </c>
      <c r="B107">
        <v>2.0299999999999998</v>
      </c>
    </row>
    <row r="108" spans="1:2" ht="15" hidden="1" customHeight="1" outlineLevel="1">
      <c r="A108">
        <v>0.6</v>
      </c>
      <c r="B108">
        <v>2.0499999999999998</v>
      </c>
    </row>
    <row r="109" spans="1:2" ht="15" hidden="1" customHeight="1" outlineLevel="1">
      <c r="A109">
        <v>0.7</v>
      </c>
      <c r="B109">
        <v>2.06</v>
      </c>
    </row>
    <row r="110" spans="1:2" ht="15" hidden="1" customHeight="1" outlineLevel="1">
      <c r="A110">
        <v>0.8</v>
      </c>
      <c r="B110">
        <v>2.1</v>
      </c>
    </row>
    <row r="111" spans="1:2" ht="15" hidden="1" customHeight="1" outlineLevel="1">
      <c r="A111">
        <v>0.9</v>
      </c>
      <c r="B111">
        <v>2.16</v>
      </c>
    </row>
    <row r="112" spans="1:2" ht="15" hidden="1" customHeight="1" outlineLevel="1">
      <c r="A112">
        <v>1</v>
      </c>
      <c r="B112">
        <v>2.2999999999999998</v>
      </c>
    </row>
    <row r="113" spans="1:2" ht="15" hidden="1" customHeight="1" outlineLevel="1">
      <c r="A113">
        <v>1.05</v>
      </c>
      <c r="B113">
        <v>2.36</v>
      </c>
    </row>
    <row r="114" spans="1:2" ht="15" hidden="1" customHeight="1" outlineLevel="1">
      <c r="A114">
        <v>1.1000000000000001</v>
      </c>
      <c r="B114">
        <v>2.4</v>
      </c>
    </row>
    <row r="115" spans="1:2" ht="15" hidden="1" customHeight="1" outlineLevel="1">
      <c r="A115">
        <v>1.1499999999999999</v>
      </c>
      <c r="B115">
        <v>2.38</v>
      </c>
    </row>
    <row r="116" spans="1:2" ht="15" hidden="1" customHeight="1" outlineLevel="1">
      <c r="A116">
        <v>1.2</v>
      </c>
      <c r="B116">
        <v>2.37</v>
      </c>
    </row>
    <row r="117" spans="1:2" ht="15" hidden="1" customHeight="1" outlineLevel="1">
      <c r="A117">
        <v>1.3</v>
      </c>
      <c r="B117">
        <v>2.35</v>
      </c>
    </row>
    <row r="118" spans="1:2" ht="15" hidden="1" customHeight="1" outlineLevel="1">
      <c r="A118">
        <v>1.4</v>
      </c>
      <c r="B118">
        <v>2.35</v>
      </c>
    </row>
    <row r="119" spans="1:2" ht="15" hidden="1" customHeight="1" outlineLevel="1">
      <c r="A119">
        <v>1.5</v>
      </c>
      <c r="B119">
        <v>2.35</v>
      </c>
    </row>
    <row r="120" spans="1:2" ht="15" hidden="1" customHeight="1" outlineLevel="1">
      <c r="A120">
        <v>1.75</v>
      </c>
      <c r="B120">
        <v>2.37</v>
      </c>
    </row>
    <row r="121" spans="1:2" ht="15" hidden="1" customHeight="1" outlineLevel="1">
      <c r="A121">
        <v>2</v>
      </c>
      <c r="B121">
        <v>2.4</v>
      </c>
    </row>
    <row r="122" spans="1:2" ht="15" hidden="1" customHeight="1" outlineLevel="1">
      <c r="A122">
        <v>2.25</v>
      </c>
      <c r="B122">
        <v>2.42</v>
      </c>
    </row>
    <row r="123" spans="1:2" ht="15" hidden="1" customHeight="1" outlineLevel="1">
      <c r="A123">
        <v>2.5</v>
      </c>
      <c r="B123">
        <v>2.4500000000000002</v>
      </c>
    </row>
    <row r="124" spans="1:2" ht="15" hidden="1" customHeight="1" outlineLevel="1">
      <c r="A124">
        <v>3</v>
      </c>
      <c r="B124">
        <v>2.48</v>
      </c>
    </row>
    <row r="125" spans="1:2" ht="15" hidden="1" customHeight="1" outlineLevel="1">
      <c r="A125">
        <v>3.5</v>
      </c>
      <c r="B125">
        <v>2.5099999999999998</v>
      </c>
    </row>
    <row r="126" spans="1:2" ht="15" hidden="1" customHeight="1" outlineLevel="1">
      <c r="A126">
        <v>4</v>
      </c>
      <c r="B126">
        <v>2.5299999999999998</v>
      </c>
    </row>
    <row r="127" spans="1:2" ht="15" hidden="1" customHeight="1" outlineLevel="1">
      <c r="A127">
        <v>4.5</v>
      </c>
      <c r="B127">
        <v>2.56</v>
      </c>
    </row>
    <row r="128" spans="1:2" ht="15" hidden="1" customHeight="1" outlineLevel="1">
      <c r="A128" s="187">
        <v>5</v>
      </c>
      <c r="B128" s="187">
        <v>2.57</v>
      </c>
    </row>
    <row r="129" spans="1:2" ht="15" hidden="1" customHeight="1" outlineLevel="1">
      <c r="A129" s="313" t="s">
        <v>585</v>
      </c>
      <c r="B129" s="313">
        <v>3</v>
      </c>
    </row>
    <row r="130" spans="1:2" ht="15" hidden="1" customHeight="1" outlineLevel="1">
      <c r="A130">
        <v>0</v>
      </c>
      <c r="B130">
        <v>2</v>
      </c>
    </row>
    <row r="131" spans="1:2" ht="15" hidden="1" customHeight="1" outlineLevel="1">
      <c r="A131">
        <v>0.3</v>
      </c>
      <c r="B131">
        <v>2.0099999999999998</v>
      </c>
    </row>
    <row r="132" spans="1:2" ht="15" hidden="1" customHeight="1" outlineLevel="1">
      <c r="A132">
        <v>0.4</v>
      </c>
      <c r="B132">
        <v>2.02</v>
      </c>
    </row>
    <row r="133" spans="1:2" ht="15" hidden="1" customHeight="1" outlineLevel="1">
      <c r="A133">
        <v>0.5</v>
      </c>
      <c r="B133">
        <v>2.0299999999999998</v>
      </c>
    </row>
    <row r="134" spans="1:2" ht="15" hidden="1" customHeight="1" outlineLevel="1">
      <c r="A134">
        <v>0.6</v>
      </c>
      <c r="B134">
        <v>2.0499999999999998</v>
      </c>
    </row>
    <row r="135" spans="1:2" ht="15" hidden="1" customHeight="1" outlineLevel="1">
      <c r="A135">
        <v>0.7</v>
      </c>
      <c r="B135">
        <v>2.06</v>
      </c>
    </row>
    <row r="136" spans="1:2" ht="15" hidden="1" customHeight="1" outlineLevel="1">
      <c r="A136">
        <v>0.8</v>
      </c>
      <c r="B136">
        <v>2.1</v>
      </c>
    </row>
    <row r="137" spans="1:2" ht="15" hidden="1" customHeight="1" outlineLevel="1">
      <c r="A137">
        <v>0.9</v>
      </c>
      <c r="B137">
        <v>2.16</v>
      </c>
    </row>
    <row r="138" spans="1:2" ht="15" hidden="1" customHeight="1" outlineLevel="1">
      <c r="A138">
        <v>1</v>
      </c>
      <c r="B138">
        <v>2.2999999999999998</v>
      </c>
    </row>
    <row r="139" spans="1:2" ht="15" hidden="1" customHeight="1" outlineLevel="1">
      <c r="A139">
        <v>1.05</v>
      </c>
      <c r="B139">
        <v>2.36</v>
      </c>
    </row>
    <row r="140" spans="1:2" ht="15" hidden="1" customHeight="1" outlineLevel="1">
      <c r="A140">
        <v>1.1000000000000001</v>
      </c>
      <c r="B140">
        <v>2.4</v>
      </c>
    </row>
    <row r="141" spans="1:2" ht="15" hidden="1" customHeight="1" outlineLevel="1">
      <c r="A141">
        <v>1.1499999999999999</v>
      </c>
      <c r="B141">
        <v>2.37</v>
      </c>
    </row>
    <row r="142" spans="1:2" ht="15" hidden="1" customHeight="1" outlineLevel="1">
      <c r="A142">
        <v>1.2</v>
      </c>
      <c r="B142">
        <v>2.3199999999999998</v>
      </c>
    </row>
    <row r="143" spans="1:2" ht="15" hidden="1" customHeight="1" outlineLevel="1">
      <c r="A143">
        <v>1.3</v>
      </c>
      <c r="B143">
        <v>2.27</v>
      </c>
    </row>
    <row r="144" spans="1:2" ht="15" hidden="1" customHeight="1" outlineLevel="1">
      <c r="A144">
        <v>1.4</v>
      </c>
      <c r="B144">
        <v>2.25</v>
      </c>
    </row>
    <row r="145" spans="1:2" ht="15" hidden="1" customHeight="1" outlineLevel="1">
      <c r="A145">
        <v>1.5</v>
      </c>
      <c r="B145">
        <v>2.2400000000000002</v>
      </c>
    </row>
    <row r="146" spans="1:2" ht="15" hidden="1" customHeight="1" outlineLevel="1">
      <c r="A146">
        <v>1.75</v>
      </c>
      <c r="B146">
        <v>2.2599999999999998</v>
      </c>
    </row>
    <row r="147" spans="1:2" ht="15" hidden="1" customHeight="1" outlineLevel="1">
      <c r="A147">
        <v>2</v>
      </c>
      <c r="B147">
        <v>2.31</v>
      </c>
    </row>
    <row r="148" spans="1:2" ht="15" hidden="1" customHeight="1" outlineLevel="1">
      <c r="A148">
        <v>2.25</v>
      </c>
      <c r="B148">
        <v>2.36</v>
      </c>
    </row>
    <row r="149" spans="1:2" ht="15" hidden="1" customHeight="1" outlineLevel="1">
      <c r="A149">
        <v>2.5</v>
      </c>
      <c r="B149">
        <v>2.4</v>
      </c>
    </row>
    <row r="150" spans="1:2" ht="15" hidden="1" customHeight="1" outlineLevel="1">
      <c r="A150">
        <v>3</v>
      </c>
      <c r="B150">
        <v>2.4900000000000002</v>
      </c>
    </row>
    <row r="151" spans="1:2" ht="15" hidden="1" customHeight="1" outlineLevel="1">
      <c r="A151">
        <v>3.5</v>
      </c>
      <c r="B151">
        <v>2.57</v>
      </c>
    </row>
    <row r="152" spans="1:2" ht="15" hidden="1" customHeight="1" outlineLevel="1">
      <c r="A152">
        <v>4</v>
      </c>
      <c r="B152">
        <v>2.63</v>
      </c>
    </row>
    <row r="153" spans="1:2" ht="15" hidden="1" customHeight="1" outlineLevel="1">
      <c r="A153">
        <v>4.5</v>
      </c>
      <c r="B153">
        <v>2.67</v>
      </c>
    </row>
    <row r="154" spans="1:2" ht="15" hidden="1" customHeight="1" outlineLevel="1">
      <c r="A154" s="187">
        <v>5</v>
      </c>
      <c r="B154" s="187">
        <v>2.7</v>
      </c>
    </row>
    <row r="155" spans="1:2" ht="15" hidden="1" customHeight="1" outlineLevel="1">
      <c r="A155" s="313" t="s">
        <v>585</v>
      </c>
      <c r="B155">
        <v>5</v>
      </c>
    </row>
    <row r="156" spans="1:2" ht="15" hidden="1" customHeight="1" outlineLevel="1">
      <c r="A156">
        <v>0</v>
      </c>
      <c r="B156">
        <v>2</v>
      </c>
    </row>
    <row r="157" spans="1:2" ht="15" hidden="1" customHeight="1" outlineLevel="1">
      <c r="A157">
        <v>0.3</v>
      </c>
      <c r="B157">
        <v>2.0099999999999998</v>
      </c>
    </row>
    <row r="158" spans="1:2" ht="15" hidden="1" customHeight="1" outlineLevel="1">
      <c r="A158">
        <v>0.4</v>
      </c>
      <c r="B158">
        <v>2.02</v>
      </c>
    </row>
    <row r="159" spans="1:2" ht="15" hidden="1" customHeight="1" outlineLevel="1">
      <c r="A159">
        <v>0.5</v>
      </c>
      <c r="B159">
        <v>2.0299999999999998</v>
      </c>
    </row>
    <row r="160" spans="1:2" ht="15" hidden="1" customHeight="1" outlineLevel="1">
      <c r="A160">
        <v>0.6</v>
      </c>
      <c r="B160">
        <v>2.0499999999999998</v>
      </c>
    </row>
    <row r="161" spans="1:2" ht="15" hidden="1" customHeight="1" outlineLevel="1">
      <c r="A161">
        <v>0.7</v>
      </c>
      <c r="B161">
        <v>2.06</v>
      </c>
    </row>
    <row r="162" spans="1:2" ht="15" hidden="1" customHeight="1" outlineLevel="1">
      <c r="A162">
        <v>0.8</v>
      </c>
      <c r="B162">
        <v>2.1</v>
      </c>
    </row>
    <row r="163" spans="1:2" ht="15" hidden="1" customHeight="1" outlineLevel="1">
      <c r="A163">
        <v>0.9</v>
      </c>
      <c r="B163">
        <v>2.16</v>
      </c>
    </row>
    <row r="164" spans="1:2" ht="15" hidden="1" customHeight="1" outlineLevel="1">
      <c r="A164">
        <v>1</v>
      </c>
      <c r="B164">
        <v>2.2999999999999998</v>
      </c>
    </row>
    <row r="165" spans="1:2" ht="15" hidden="1" customHeight="1" outlineLevel="1">
      <c r="A165">
        <v>1.05</v>
      </c>
      <c r="B165">
        <v>2.36</v>
      </c>
    </row>
    <row r="166" spans="1:2" ht="15" hidden="1" customHeight="1" outlineLevel="1">
      <c r="A166">
        <v>1.1000000000000001</v>
      </c>
      <c r="B166">
        <v>2.4</v>
      </c>
    </row>
    <row r="167" spans="1:2" ht="15" hidden="1" customHeight="1" outlineLevel="1">
      <c r="A167">
        <v>1.1499999999999999</v>
      </c>
      <c r="B167">
        <v>2.37</v>
      </c>
    </row>
    <row r="168" spans="1:2" ht="15" hidden="1" customHeight="1" outlineLevel="1">
      <c r="A168">
        <v>1.2</v>
      </c>
      <c r="B168">
        <v>2.2999999999999998</v>
      </c>
    </row>
    <row r="169" spans="1:2" ht="15" hidden="1" customHeight="1" outlineLevel="1">
      <c r="A169">
        <v>1.3</v>
      </c>
      <c r="B169">
        <v>2.21</v>
      </c>
    </row>
    <row r="170" spans="1:2" ht="15" hidden="1" customHeight="1" outlineLevel="1">
      <c r="A170">
        <v>1.4</v>
      </c>
      <c r="B170">
        <v>2.16</v>
      </c>
    </row>
    <row r="171" spans="1:2" ht="15" hidden="1" customHeight="1" outlineLevel="1">
      <c r="A171">
        <v>1.5</v>
      </c>
      <c r="B171">
        <v>2.12</v>
      </c>
    </row>
    <row r="172" spans="1:2" ht="15" hidden="1" customHeight="1" outlineLevel="1">
      <c r="A172">
        <v>1.75</v>
      </c>
      <c r="B172">
        <v>2.08</v>
      </c>
    </row>
    <row r="173" spans="1:2" ht="15" hidden="1" customHeight="1" outlineLevel="1">
      <c r="A173">
        <v>2</v>
      </c>
      <c r="B173">
        <v>2.08</v>
      </c>
    </row>
    <row r="174" spans="1:2" ht="15" hidden="1" customHeight="1" outlineLevel="1">
      <c r="A174">
        <v>2.25</v>
      </c>
      <c r="B174">
        <v>2.12</v>
      </c>
    </row>
    <row r="175" spans="1:2" ht="15" hidden="1" customHeight="1" outlineLevel="1">
      <c r="A175">
        <v>2.5</v>
      </c>
      <c r="B175">
        <v>2.15</v>
      </c>
    </row>
    <row r="176" spans="1:2" ht="15" hidden="1" customHeight="1" outlineLevel="1">
      <c r="A176">
        <v>3</v>
      </c>
      <c r="B176">
        <v>2.2200000000000002</v>
      </c>
    </row>
    <row r="177" spans="1:2" ht="15" hidden="1" customHeight="1" outlineLevel="1">
      <c r="A177">
        <v>3.5</v>
      </c>
      <c r="B177">
        <v>2.2799999999999998</v>
      </c>
    </row>
    <row r="178" spans="1:2" ht="15" hidden="1" customHeight="1" outlineLevel="1">
      <c r="A178">
        <v>4</v>
      </c>
      <c r="B178">
        <v>2.34</v>
      </c>
    </row>
    <row r="179" spans="1:2" ht="15" hidden="1" customHeight="1" outlineLevel="1">
      <c r="A179">
        <v>4.5</v>
      </c>
      <c r="B179">
        <v>2.39</v>
      </c>
    </row>
    <row r="180" spans="1:2" ht="15" hidden="1" customHeight="1" outlineLevel="1">
      <c r="A180" s="187">
        <v>5</v>
      </c>
      <c r="B180" s="187">
        <v>2.4300000000000002</v>
      </c>
    </row>
    <row r="181" spans="1:2" ht="15" hidden="1" customHeight="1" outlineLevel="1">
      <c r="A181" t="s">
        <v>585</v>
      </c>
      <c r="B181">
        <v>7</v>
      </c>
    </row>
    <row r="182" spans="1:2" ht="15" hidden="1" customHeight="1" outlineLevel="1">
      <c r="A182">
        <v>0</v>
      </c>
      <c r="B182">
        <v>2</v>
      </c>
    </row>
    <row r="183" spans="1:2" ht="15" hidden="1" customHeight="1" outlineLevel="1">
      <c r="A183">
        <v>0.3</v>
      </c>
      <c r="B183">
        <v>2.0099999999999998</v>
      </c>
    </row>
    <row r="184" spans="1:2" ht="15" hidden="1" customHeight="1" outlineLevel="1">
      <c r="A184">
        <v>0.4</v>
      </c>
      <c r="B184">
        <v>2.02</v>
      </c>
    </row>
    <row r="185" spans="1:2" ht="15" hidden="1" customHeight="1" outlineLevel="1">
      <c r="A185">
        <v>0.5</v>
      </c>
      <c r="B185">
        <v>2.0299999999999998</v>
      </c>
    </row>
    <row r="186" spans="1:2" ht="15" hidden="1" customHeight="1" outlineLevel="1">
      <c r="A186">
        <v>0.6</v>
      </c>
      <c r="B186">
        <v>2.0499999999999998</v>
      </c>
    </row>
    <row r="187" spans="1:2" ht="15" hidden="1" customHeight="1" outlineLevel="1">
      <c r="A187">
        <v>0.7</v>
      </c>
      <c r="B187">
        <v>2.06</v>
      </c>
    </row>
    <row r="188" spans="1:2" ht="15" hidden="1" customHeight="1" outlineLevel="1">
      <c r="A188">
        <v>0.8</v>
      </c>
      <c r="B188">
        <v>2.1</v>
      </c>
    </row>
    <row r="189" spans="1:2" ht="15" hidden="1" customHeight="1" outlineLevel="1">
      <c r="A189">
        <v>0.9</v>
      </c>
      <c r="B189">
        <v>2.16</v>
      </c>
    </row>
    <row r="190" spans="1:2" ht="15" hidden="1" customHeight="1" outlineLevel="1">
      <c r="A190">
        <v>1</v>
      </c>
      <c r="B190">
        <v>2.2999999999999998</v>
      </c>
    </row>
    <row r="191" spans="1:2" ht="15" hidden="1" customHeight="1" outlineLevel="1">
      <c r="A191">
        <v>1.05</v>
      </c>
      <c r="B191">
        <v>2.36</v>
      </c>
    </row>
    <row r="192" spans="1:2" ht="15" hidden="1" customHeight="1" outlineLevel="1">
      <c r="A192">
        <v>1.1000000000000001</v>
      </c>
      <c r="B192">
        <v>2.4</v>
      </c>
    </row>
    <row r="193" spans="1:2" ht="15" hidden="1" customHeight="1" outlineLevel="1">
      <c r="A193">
        <v>1.1499999999999999</v>
      </c>
      <c r="B193">
        <v>2.38</v>
      </c>
    </row>
    <row r="194" spans="1:2" ht="15" hidden="1" customHeight="1" outlineLevel="1">
      <c r="A194">
        <v>1.2</v>
      </c>
      <c r="B194">
        <v>2.2999999999999998</v>
      </c>
    </row>
    <row r="195" spans="1:2" ht="15" hidden="1" customHeight="1" outlineLevel="1">
      <c r="A195">
        <v>1.3</v>
      </c>
      <c r="B195">
        <v>2.21</v>
      </c>
    </row>
    <row r="196" spans="1:2" ht="15" hidden="1" customHeight="1" outlineLevel="1">
      <c r="A196">
        <v>1.4</v>
      </c>
      <c r="B196">
        <v>2.13</v>
      </c>
    </row>
    <row r="197" spans="1:2" ht="15" hidden="1" customHeight="1" outlineLevel="1">
      <c r="A197">
        <v>1.5</v>
      </c>
      <c r="B197">
        <v>2.08</v>
      </c>
    </row>
    <row r="198" spans="1:2" ht="15" hidden="1" customHeight="1" outlineLevel="1">
      <c r="A198">
        <v>1.75</v>
      </c>
      <c r="B198">
        <v>2.0299999999999998</v>
      </c>
    </row>
    <row r="199" spans="1:2" ht="15" hidden="1" customHeight="1" outlineLevel="1">
      <c r="A199">
        <v>2</v>
      </c>
      <c r="B199">
        <v>2.0099999999999998</v>
      </c>
    </row>
    <row r="200" spans="1:2" ht="15" hidden="1" customHeight="1" outlineLevel="1">
      <c r="A200">
        <v>2.25</v>
      </c>
      <c r="B200">
        <v>2.0299999999999998</v>
      </c>
    </row>
    <row r="201" spans="1:2" ht="15" hidden="1" customHeight="1" outlineLevel="1">
      <c r="A201">
        <v>2.5</v>
      </c>
      <c r="B201">
        <v>2.06</v>
      </c>
    </row>
    <row r="202" spans="1:2" ht="15" hidden="1" customHeight="1" outlineLevel="1">
      <c r="A202">
        <v>3</v>
      </c>
      <c r="B202">
        <v>2.1</v>
      </c>
    </row>
    <row r="203" spans="1:2" ht="15" hidden="1" customHeight="1" outlineLevel="1">
      <c r="A203">
        <v>3.5</v>
      </c>
      <c r="B203">
        <v>2.14</v>
      </c>
    </row>
    <row r="204" spans="1:2" ht="15" hidden="1" customHeight="1" outlineLevel="1">
      <c r="A204">
        <v>4</v>
      </c>
      <c r="B204">
        <v>2.1800000000000002</v>
      </c>
    </row>
    <row r="205" spans="1:2" ht="15" hidden="1" customHeight="1" outlineLevel="1">
      <c r="A205">
        <v>4.5</v>
      </c>
      <c r="B205">
        <v>2.21</v>
      </c>
    </row>
    <row r="206" spans="1:2" ht="15" hidden="1" customHeight="1" outlineLevel="1">
      <c r="A206" s="187">
        <v>5</v>
      </c>
      <c r="B206" s="187">
        <v>2.2400000000000002</v>
      </c>
    </row>
    <row r="207" spans="1:2" ht="15" customHeight="1" collapsed="1">
      <c r="A207" s="310" t="s">
        <v>604</v>
      </c>
    </row>
    <row r="208" spans="1:2" ht="15" hidden="1" customHeight="1" outlineLevel="1">
      <c r="A208" t="s">
        <v>84</v>
      </c>
      <c r="B208" t="s">
        <v>391</v>
      </c>
    </row>
    <row r="209" spans="1:2" ht="15" hidden="1" customHeight="1" outlineLevel="1">
      <c r="A209">
        <v>0</v>
      </c>
      <c r="B209">
        <v>0</v>
      </c>
    </row>
    <row r="210" spans="1:2" ht="15" hidden="1" customHeight="1" outlineLevel="1">
      <c r="A210">
        <v>5</v>
      </c>
      <c r="B210">
        <v>5.0000000000000001E-3</v>
      </c>
    </row>
    <row r="211" spans="1:2" ht="15" hidden="1" customHeight="1" outlineLevel="1">
      <c r="A211">
        <v>10</v>
      </c>
      <c r="B211">
        <v>1.4999999999999999E-2</v>
      </c>
    </row>
    <row r="212" spans="1:2" ht="15" hidden="1" customHeight="1" outlineLevel="1">
      <c r="A212">
        <v>15</v>
      </c>
      <c r="B212">
        <v>3.5000000000000003E-2</v>
      </c>
    </row>
    <row r="213" spans="1:2" ht="15" hidden="1" customHeight="1" outlineLevel="1">
      <c r="A213">
        <v>20</v>
      </c>
      <c r="B213">
        <v>6.5000000000000002E-2</v>
      </c>
    </row>
    <row r="214" spans="1:2" ht="15" hidden="1" customHeight="1" outlineLevel="1">
      <c r="A214">
        <v>25</v>
      </c>
      <c r="B214">
        <v>0.11</v>
      </c>
    </row>
    <row r="215" spans="1:2" ht="15" hidden="1" customHeight="1" outlineLevel="1">
      <c r="A215">
        <v>30</v>
      </c>
      <c r="B215">
        <v>0.17499999999999999</v>
      </c>
    </row>
    <row r="216" spans="1:2" ht="15" customHeight="1" collapsed="1">
      <c r="A216" s="310" t="s">
        <v>605</v>
      </c>
      <c r="B216" s="310" t="s">
        <v>396</v>
      </c>
    </row>
    <row r="217" spans="1:2" ht="15" hidden="1" customHeight="1" outlineLevel="1">
      <c r="A217">
        <v>0</v>
      </c>
      <c r="B217">
        <v>6.3E-2</v>
      </c>
    </row>
    <row r="218" spans="1:2" ht="15" hidden="1" customHeight="1" outlineLevel="1">
      <c r="A218">
        <v>0.5</v>
      </c>
      <c r="B218">
        <v>6.8000000000000005E-2</v>
      </c>
    </row>
    <row r="219" spans="1:2" ht="15" hidden="1" customHeight="1" outlineLevel="1">
      <c r="A219">
        <v>0.7</v>
      </c>
      <c r="B219">
        <v>6.9000000000000006E-2</v>
      </c>
    </row>
    <row r="220" spans="1:2" ht="15" hidden="1" customHeight="1" outlineLevel="1">
      <c r="A220">
        <v>0.8</v>
      </c>
      <c r="B220">
        <v>6.9000000000000006E-2</v>
      </c>
    </row>
    <row r="221" spans="1:2" ht="15" hidden="1" customHeight="1" outlineLevel="1">
      <c r="A221">
        <v>0.9</v>
      </c>
      <c r="B221">
        <v>6.7000000000000004E-2</v>
      </c>
    </row>
    <row r="222" spans="1:2" ht="15" hidden="1" customHeight="1" outlineLevel="1">
      <c r="A222">
        <v>1</v>
      </c>
      <c r="B222">
        <v>6.6000000000000003E-2</v>
      </c>
    </row>
    <row r="223" spans="1:2" ht="15" hidden="1" customHeight="1" outlineLevel="1">
      <c r="A223">
        <v>1.2</v>
      </c>
      <c r="B223">
        <v>6.3E-2</v>
      </c>
    </row>
    <row r="224" spans="1:2" ht="15" hidden="1" customHeight="1" outlineLevel="1">
      <c r="A224">
        <v>1.5</v>
      </c>
      <c r="B224">
        <v>5.7000000000000002E-2</v>
      </c>
    </row>
    <row r="225" spans="1:2" ht="15" hidden="1" customHeight="1" outlineLevel="1">
      <c r="A225">
        <v>2</v>
      </c>
      <c r="B225">
        <v>0.06</v>
      </c>
    </row>
    <row r="226" spans="1:2" ht="15" hidden="1" customHeight="1" outlineLevel="1">
      <c r="A226">
        <v>2.5</v>
      </c>
      <c r="B226">
        <v>6.6000000000000003E-2</v>
      </c>
    </row>
    <row r="227" spans="1:2" ht="15" hidden="1" customHeight="1" outlineLevel="1">
      <c r="A227">
        <v>3</v>
      </c>
      <c r="B227">
        <v>7.6999999999999999E-2</v>
      </c>
    </row>
    <row r="228" spans="1:2" ht="15" hidden="1" customHeight="1" outlineLevel="1">
      <c r="A228">
        <v>3.5</v>
      </c>
      <c r="B228">
        <v>9.1999999999999998E-2</v>
      </c>
    </row>
    <row r="229" spans="1:2" ht="15" hidden="1" customHeight="1" outlineLevel="1">
      <c r="A229">
        <v>4</v>
      </c>
      <c r="B229">
        <v>0.115</v>
      </c>
    </row>
    <row r="230" spans="1:2" ht="15" customHeight="1" collapsed="1"/>
    <row r="231" spans="1:2" ht="15" customHeight="1">
      <c r="A231" t="s">
        <v>606</v>
      </c>
    </row>
    <row r="232" spans="1:2" ht="15" hidden="1" customHeight="1" outlineLevel="1">
      <c r="A232" s="305" t="s">
        <v>386</v>
      </c>
      <c r="B232" s="305">
        <v>1.5</v>
      </c>
    </row>
    <row r="233" spans="1:2" ht="15" hidden="1" customHeight="1" outlineLevel="1">
      <c r="A233" s="305">
        <v>0</v>
      </c>
      <c r="B233" s="305">
        <v>0.46600000000000003</v>
      </c>
    </row>
    <row r="234" spans="1:2" ht="15" hidden="1" customHeight="1" outlineLevel="1">
      <c r="A234" s="305">
        <v>1</v>
      </c>
      <c r="B234" s="305">
        <v>0.46600000000000003</v>
      </c>
    </row>
    <row r="235" spans="1:2" ht="15" hidden="1" customHeight="1" outlineLevel="1">
      <c r="A235" s="305">
        <v>2</v>
      </c>
      <c r="B235" s="305">
        <v>0.75</v>
      </c>
    </row>
    <row r="236" spans="1:2" ht="15" hidden="1" customHeight="1" outlineLevel="1">
      <c r="A236" s="305">
        <v>3</v>
      </c>
      <c r="B236" s="305">
        <v>0.93</v>
      </c>
    </row>
    <row r="237" spans="1:2" ht="15" hidden="1" customHeight="1" outlineLevel="1">
      <c r="A237" s="305">
        <v>4</v>
      </c>
      <c r="B237" s="305">
        <v>1.2</v>
      </c>
    </row>
    <row r="238" spans="1:2" ht="15" hidden="1" customHeight="1" outlineLevel="1">
      <c r="A238" s="306">
        <v>5</v>
      </c>
      <c r="B238" s="306">
        <v>1.35</v>
      </c>
    </row>
    <row r="239" spans="1:2" ht="15" hidden="1" customHeight="1" outlineLevel="1">
      <c r="B239" s="305">
        <v>2</v>
      </c>
    </row>
    <row r="240" spans="1:2" ht="15" hidden="1" customHeight="1" outlineLevel="1">
      <c r="A240" s="305">
        <v>0</v>
      </c>
      <c r="B240" s="305">
        <v>0.46600000000000003</v>
      </c>
    </row>
    <row r="241" spans="1:2" ht="15" hidden="1" customHeight="1" outlineLevel="1">
      <c r="A241" s="305">
        <v>1</v>
      </c>
      <c r="B241" s="305">
        <v>0.46600000000000003</v>
      </c>
    </row>
    <row r="242" spans="1:2" ht="15" hidden="1" customHeight="1" outlineLevel="1">
      <c r="A242" s="305">
        <v>2</v>
      </c>
      <c r="B242" s="305">
        <v>1.02</v>
      </c>
    </row>
    <row r="243" spans="1:2" ht="15" hidden="1" customHeight="1" outlineLevel="1">
      <c r="A243" s="305">
        <v>3</v>
      </c>
      <c r="B243" s="305">
        <v>1.25</v>
      </c>
    </row>
    <row r="244" spans="1:2" ht="15" hidden="1" customHeight="1" outlineLevel="1">
      <c r="A244" s="305">
        <v>4</v>
      </c>
      <c r="B244" s="305">
        <v>1.52</v>
      </c>
    </row>
    <row r="245" spans="1:2" ht="15" hidden="1" customHeight="1" outlineLevel="1">
      <c r="A245" s="306">
        <v>5</v>
      </c>
      <c r="B245" s="306">
        <v>1.62</v>
      </c>
    </row>
    <row r="246" spans="1:2" ht="15" hidden="1" customHeight="1" outlineLevel="1">
      <c r="B246" s="305">
        <v>3</v>
      </c>
    </row>
    <row r="247" spans="1:2" ht="15" hidden="1" customHeight="1" outlineLevel="1">
      <c r="A247" s="305">
        <v>0</v>
      </c>
      <c r="B247" s="305">
        <v>0.46600000000000003</v>
      </c>
    </row>
    <row r="248" spans="1:2" ht="15" hidden="1" customHeight="1" outlineLevel="1">
      <c r="A248" s="305">
        <v>1</v>
      </c>
      <c r="B248" s="305">
        <v>0.46600000000000003</v>
      </c>
    </row>
    <row r="249" spans="1:2" ht="15" hidden="1" customHeight="1" outlineLevel="1">
      <c r="A249" s="305">
        <v>2</v>
      </c>
      <c r="B249" s="305">
        <v>1.59</v>
      </c>
    </row>
    <row r="250" spans="1:2" ht="15" hidden="1" customHeight="1" outlineLevel="1">
      <c r="A250" s="305">
        <v>3</v>
      </c>
      <c r="B250" s="305">
        <v>1.84</v>
      </c>
    </row>
    <row r="251" spans="1:2" ht="15" hidden="1" customHeight="1" outlineLevel="1">
      <c r="A251" s="305">
        <v>4</v>
      </c>
      <c r="B251" s="305">
        <v>2.08</v>
      </c>
    </row>
    <row r="252" spans="1:2" ht="15" hidden="1" customHeight="1" outlineLevel="1">
      <c r="A252" s="306">
        <v>5</v>
      </c>
      <c r="B252" s="306">
        <v>2.12</v>
      </c>
    </row>
    <row r="253" spans="1:2" ht="15" hidden="1" customHeight="1" outlineLevel="1">
      <c r="B253" s="305">
        <v>5</v>
      </c>
    </row>
    <row r="254" spans="1:2" ht="15" hidden="1" customHeight="1" outlineLevel="1">
      <c r="A254" s="305">
        <v>0</v>
      </c>
      <c r="B254" s="305">
        <v>0.46600000000000003</v>
      </c>
    </row>
    <row r="255" spans="1:2" ht="15" hidden="1" customHeight="1" outlineLevel="1">
      <c r="A255" s="305">
        <v>1</v>
      </c>
      <c r="B255" s="305">
        <v>0.46600000000000003</v>
      </c>
    </row>
    <row r="256" spans="1:2" ht="15" hidden="1" customHeight="1" outlineLevel="1">
      <c r="A256" s="305">
        <v>2</v>
      </c>
      <c r="B256" s="305">
        <v>2.1</v>
      </c>
    </row>
    <row r="257" spans="1:2" ht="15" hidden="1" customHeight="1" outlineLevel="1">
      <c r="A257" s="305">
        <v>3</v>
      </c>
      <c r="B257" s="305">
        <v>2.4</v>
      </c>
    </row>
    <row r="258" spans="1:2" ht="15" hidden="1" customHeight="1" outlineLevel="1">
      <c r="A258" s="305">
        <v>4</v>
      </c>
      <c r="B258" s="305">
        <v>2.6</v>
      </c>
    </row>
    <row r="259" spans="1:2" ht="15" hidden="1" customHeight="1" outlineLevel="1">
      <c r="A259" s="306">
        <v>5</v>
      </c>
      <c r="B259" s="306">
        <v>2.6</v>
      </c>
    </row>
    <row r="260" spans="1:2" ht="15" hidden="1" customHeight="1" outlineLevel="1">
      <c r="B260" s="305">
        <v>6</v>
      </c>
    </row>
    <row r="261" spans="1:2" ht="15" hidden="1" customHeight="1" outlineLevel="1">
      <c r="A261" s="305">
        <v>0</v>
      </c>
      <c r="B261" s="305">
        <v>0.46600000000000003</v>
      </c>
    </row>
    <row r="262" spans="1:2" ht="15" hidden="1" customHeight="1" outlineLevel="1">
      <c r="A262" s="305">
        <v>1</v>
      </c>
      <c r="B262" s="305">
        <v>0.46600000000000003</v>
      </c>
    </row>
    <row r="263" spans="1:2" ht="15" hidden="1" customHeight="1" outlineLevel="1">
      <c r="A263" s="305">
        <v>2</v>
      </c>
      <c r="B263" s="305">
        <v>3.02</v>
      </c>
    </row>
    <row r="264" spans="1:2" ht="15" hidden="1" customHeight="1" outlineLevel="1">
      <c r="A264" s="305">
        <v>3</v>
      </c>
      <c r="B264" s="305">
        <v>3.23</v>
      </c>
    </row>
    <row r="265" spans="1:2" ht="15" hidden="1" customHeight="1" outlineLevel="1">
      <c r="A265" s="305">
        <v>4</v>
      </c>
      <c r="B265" s="305">
        <v>3.43</v>
      </c>
    </row>
    <row r="266" spans="1:2" ht="15" hidden="1" customHeight="1" outlineLevel="1">
      <c r="A266" s="306">
        <v>5</v>
      </c>
      <c r="B266" s="306">
        <v>3.43</v>
      </c>
    </row>
    <row r="267" spans="1:2" ht="15" customHeight="1" collapsed="1">
      <c r="B267"/>
    </row>
    <row r="268" spans="1:2" ht="15" customHeight="1">
      <c r="A268" t="s">
        <v>612</v>
      </c>
    </row>
    <row r="269" spans="1:2" ht="15" customHeight="1" outlineLevel="1">
      <c r="A269">
        <v>0</v>
      </c>
      <c r="B269">
        <v>0</v>
      </c>
    </row>
    <row r="270" spans="1:2" ht="15" customHeight="1" outlineLevel="1">
      <c r="A270">
        <v>5</v>
      </c>
      <c r="B270">
        <v>0.26219036222454678</v>
      </c>
    </row>
    <row r="271" spans="1:2" ht="15" customHeight="1" outlineLevel="1">
      <c r="A271">
        <v>10</v>
      </c>
      <c r="B271">
        <v>0.5182866995796318</v>
      </c>
    </row>
    <row r="272" spans="1:2" ht="15" customHeight="1" outlineLevel="1">
      <c r="A272">
        <v>15</v>
      </c>
      <c r="B272">
        <v>0.76238015105772672</v>
      </c>
    </row>
    <row r="273" spans="1:3" ht="15" customHeight="1" outlineLevel="1">
      <c r="A273">
        <v>20</v>
      </c>
      <c r="B273">
        <v>0.98892655726492207</v>
      </c>
    </row>
    <row r="274" spans="1:3" ht="15" customHeight="1" outlineLevel="1">
      <c r="A274">
        <v>25</v>
      </c>
      <c r="B274">
        <v>1.1929149168986308</v>
      </c>
    </row>
    <row r="275" spans="1:3" ht="15" customHeight="1" outlineLevel="1">
      <c r="A275">
        <v>30</v>
      </c>
      <c r="B275">
        <v>1.3700196434864802</v>
      </c>
    </row>
    <row r="276" spans="1:3" ht="15" customHeight="1" outlineLevel="1">
      <c r="A276" t="s">
        <v>613</v>
      </c>
    </row>
    <row r="277" spans="1:3" ht="15" customHeight="1" outlineLevel="1">
      <c r="A277">
        <v>0</v>
      </c>
      <c r="B277" s="191">
        <f t="shared" ref="B277:B282" si="13">(B270-B269)/(RADIANS(A270-A269))</f>
        <v>3.004480236894564</v>
      </c>
    </row>
    <row r="278" spans="1:3" ht="15" customHeight="1" outlineLevel="1">
      <c r="A278">
        <v>5</v>
      </c>
      <c r="B278" s="191">
        <f t="shared" si="13"/>
        <v>2.9346478558409799</v>
      </c>
    </row>
    <row r="279" spans="1:3" ht="15" customHeight="1" outlineLevel="1">
      <c r="A279">
        <v>10</v>
      </c>
      <c r="B279" s="191">
        <f t="shared" si="13"/>
        <v>2.797104915295237</v>
      </c>
    </row>
    <row r="280" spans="1:3" ht="15" customHeight="1" outlineLevel="1">
      <c r="A280">
        <v>15</v>
      </c>
      <c r="B280" s="191">
        <f t="shared" si="13"/>
        <v>2.5960305879057297</v>
      </c>
    </row>
    <row r="281" spans="1:3" ht="15" customHeight="1" outlineLevel="1">
      <c r="A281">
        <v>20</v>
      </c>
      <c r="B281" s="191">
        <f t="shared" si="13"/>
        <v>2.337534415361664</v>
      </c>
    </row>
    <row r="282" spans="1:3" ht="15" customHeight="1" outlineLevel="1">
      <c r="A282">
        <v>25</v>
      </c>
      <c r="B282" s="191">
        <f t="shared" si="13"/>
        <v>2.0294706730604291</v>
      </c>
    </row>
    <row r="283" spans="1:3" ht="15" customHeight="1" outlineLevel="1">
      <c r="A283" s="167">
        <v>30</v>
      </c>
      <c r="B283" s="315">
        <f>(B275-B269)/(RADIANS(A275-A269))</f>
        <v>2.6165447807264344</v>
      </c>
    </row>
    <row r="284" spans="1:3" ht="15" customHeight="1" outlineLevel="1">
      <c r="A284" s="319" t="s">
        <v>615</v>
      </c>
      <c r="B284" s="320">
        <f>(B272-B269)/(RADIANS(A272-A269))</f>
        <v>2.9120776693435939</v>
      </c>
    </row>
    <row r="285" spans="1:3" ht="15" customHeight="1" outlineLevel="1">
      <c r="A285" s="316" t="s">
        <v>618</v>
      </c>
      <c r="B285" s="315">
        <f>(B275-B272)/(RADIANS(A275-A272))</f>
        <v>2.3210118921092744</v>
      </c>
    </row>
    <row r="286" spans="1:3" ht="15" customHeight="1" outlineLevel="1">
      <c r="A286" t="s">
        <v>614</v>
      </c>
    </row>
    <row r="287" spans="1:3" ht="15" customHeight="1" outlineLevel="1">
      <c r="A287">
        <v>0</v>
      </c>
      <c r="B287" s="191">
        <f>B$283*RADIANS(A287)</f>
        <v>0</v>
      </c>
    </row>
    <row r="288" spans="1:3" ht="15" customHeight="1" outlineLevel="1">
      <c r="A288">
        <v>5</v>
      </c>
      <c r="B288" s="191">
        <f>B$283*RADIANS(A288)</f>
        <v>0.22833660724774674</v>
      </c>
      <c r="C288" s="191"/>
    </row>
    <row r="289" spans="1:2" ht="15" customHeight="1" outlineLevel="1">
      <c r="A289">
        <v>10</v>
      </c>
      <c r="B289" s="191">
        <f t="shared" ref="B289:B293" si="14">B$283*RADIANS(A289)</f>
        <v>0.45667321449549347</v>
      </c>
    </row>
    <row r="290" spans="1:2" ht="15" customHeight="1" outlineLevel="1">
      <c r="A290">
        <v>15</v>
      </c>
      <c r="B290" s="191">
        <f t="shared" si="14"/>
        <v>0.6850098217432401</v>
      </c>
    </row>
    <row r="291" spans="1:2" ht="15" customHeight="1" outlineLevel="1">
      <c r="A291">
        <v>20</v>
      </c>
      <c r="B291" s="191">
        <f t="shared" si="14"/>
        <v>0.91334642899098695</v>
      </c>
    </row>
    <row r="292" spans="1:2" ht="15" customHeight="1" outlineLevel="1">
      <c r="A292">
        <v>25</v>
      </c>
      <c r="B292" s="191">
        <f t="shared" si="14"/>
        <v>1.1416830362387336</v>
      </c>
    </row>
    <row r="293" spans="1:2" ht="15" customHeight="1" outlineLevel="1">
      <c r="A293">
        <v>30</v>
      </c>
      <c r="B293" s="191">
        <f t="shared" si="14"/>
        <v>1.3700196434864802</v>
      </c>
    </row>
    <row r="294" spans="1:2" ht="15" customHeight="1" outlineLevel="1">
      <c r="A294" t="s">
        <v>616</v>
      </c>
    </row>
    <row r="295" spans="1:2" ht="15" customHeight="1" outlineLevel="1">
      <c r="A295">
        <v>0</v>
      </c>
      <c r="B295" s="191">
        <f>B$284*RADIANS(A295)</f>
        <v>0</v>
      </c>
    </row>
    <row r="296" spans="1:2" ht="15" customHeight="1" outlineLevel="1">
      <c r="A296">
        <v>5</v>
      </c>
      <c r="B296" s="191">
        <f t="shared" ref="B296:B298" si="15">B$284*RADIANS(A296)</f>
        <v>0.25412671701924228</v>
      </c>
    </row>
    <row r="297" spans="1:2" ht="15" customHeight="1" outlineLevel="1">
      <c r="A297">
        <v>10</v>
      </c>
      <c r="B297" s="191">
        <f t="shared" si="15"/>
        <v>0.50825343403848455</v>
      </c>
    </row>
    <row r="298" spans="1:2" ht="15" customHeight="1" outlineLevel="1">
      <c r="A298">
        <v>15</v>
      </c>
      <c r="B298" s="191">
        <f t="shared" si="15"/>
        <v>0.76238015105772672</v>
      </c>
    </row>
    <row r="299" spans="1:2" ht="15" customHeight="1" outlineLevel="1">
      <c r="A299" s="317" t="s">
        <v>617</v>
      </c>
      <c r="B299" s="318"/>
    </row>
    <row r="300" spans="1:2" ht="15" customHeight="1" outlineLevel="1">
      <c r="A300" s="317">
        <v>15</v>
      </c>
      <c r="B300" s="318">
        <f>B$285*RADIANS(A300)</f>
        <v>0.60763949242875348</v>
      </c>
    </row>
    <row r="301" spans="1:2" ht="15" customHeight="1" outlineLevel="1">
      <c r="A301" s="317">
        <v>20</v>
      </c>
      <c r="B301" s="318">
        <f t="shared" ref="B301:B303" si="16">B$285*RADIANS(A301)</f>
        <v>0.81018598990500468</v>
      </c>
    </row>
    <row r="302" spans="1:2" ht="15" customHeight="1" outlineLevel="1">
      <c r="A302" s="317">
        <v>25</v>
      </c>
      <c r="B302" s="318">
        <f t="shared" si="16"/>
        <v>1.0127324873812558</v>
      </c>
    </row>
    <row r="303" spans="1:2" ht="15" customHeight="1" outlineLevel="1">
      <c r="A303" s="317">
        <v>30</v>
      </c>
      <c r="B303" s="318">
        <f t="shared" si="16"/>
        <v>1.215278984857507</v>
      </c>
    </row>
    <row r="305" spans="1:2" ht="15" customHeight="1">
      <c r="A305" t="s">
        <v>619</v>
      </c>
    </row>
    <row r="306" spans="1:2" ht="15" customHeight="1">
      <c r="A306">
        <v>0.06</v>
      </c>
      <c r="B306" s="191">
        <v>3.4833704790227635</v>
      </c>
    </row>
    <row r="307" spans="1:2" ht="15" customHeight="1">
      <c r="A307">
        <v>0.1</v>
      </c>
      <c r="B307" s="191">
        <v>3.4833704790227635</v>
      </c>
    </row>
    <row r="308" spans="1:2" ht="15" customHeight="1">
      <c r="A308">
        <v>0.3</v>
      </c>
      <c r="B308" s="191">
        <v>3.4929197756082773</v>
      </c>
    </row>
    <row r="309" spans="1:2" ht="15" customHeight="1">
      <c r="A309">
        <v>0.5</v>
      </c>
      <c r="B309" s="191">
        <v>2.7388560526945325</v>
      </c>
    </row>
    <row r="310" spans="1:2" ht="15" customHeight="1">
      <c r="A310">
        <v>0.7</v>
      </c>
      <c r="B310" s="191">
        <v>2.7792737784192396</v>
      </c>
    </row>
    <row r="311" spans="1:2" ht="15" customHeight="1">
      <c r="A311">
        <v>1</v>
      </c>
      <c r="B311" s="191">
        <v>2.9731473885670701</v>
      </c>
    </row>
    <row r="312" spans="1:2" ht="15" customHeight="1">
      <c r="A312">
        <v>1.5</v>
      </c>
      <c r="B312" s="191">
        <v>2.8099230853405017</v>
      </c>
    </row>
    <row r="313" spans="1:2" ht="15" customHeight="1">
      <c r="A313">
        <v>2</v>
      </c>
      <c r="B313" s="191">
        <v>2.9120776693435939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1" val="0" numFmtId="165"/>
    </scenario>
    <scenario name="AoA 5deg" locked="1" count="1" user="Leonardo Valadez Ortiz" comment="Created by Leonardo Valadez Ortiz on 08/07/2025">
      <inputCells r="B11" val="5" numFmtId="165"/>
    </scenario>
  </scenario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2:R123"/>
  <sheetViews>
    <sheetView topLeftCell="A128" zoomScale="97" workbookViewId="0">
      <selection activeCell="J138" sqref="J138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8" t="s">
        <v>384</v>
      </c>
    </row>
    <row r="4" spans="1:5">
      <c r="A4" s="187" t="s">
        <v>385</v>
      </c>
    </row>
    <row r="5" spans="1:5">
      <c r="B5" s="403"/>
      <c r="C5" s="403"/>
      <c r="D5" s="403"/>
      <c r="E5" s="403"/>
    </row>
    <row r="6" spans="1:5">
      <c r="A6" s="305" t="s">
        <v>386</v>
      </c>
      <c r="B6" s="305">
        <v>1.5</v>
      </c>
      <c r="C6" s="305">
        <v>3</v>
      </c>
      <c r="D6" s="305">
        <v>5</v>
      </c>
      <c r="E6" s="305">
        <v>7</v>
      </c>
    </row>
    <row r="7" spans="1:5">
      <c r="A7" s="305">
        <v>0</v>
      </c>
      <c r="B7" s="305">
        <v>2</v>
      </c>
      <c r="C7" s="305">
        <v>2</v>
      </c>
      <c r="D7" s="305">
        <v>2</v>
      </c>
      <c r="E7" s="305">
        <v>2</v>
      </c>
    </row>
    <row r="8" spans="1:5">
      <c r="A8" s="305">
        <v>0.3</v>
      </c>
      <c r="B8" s="305">
        <v>2.0099999999999998</v>
      </c>
      <c r="C8" s="305">
        <v>2.0099999999999998</v>
      </c>
      <c r="D8" s="305">
        <v>2.0099999999999998</v>
      </c>
      <c r="E8" s="305">
        <v>2.0099999999999998</v>
      </c>
    </row>
    <row r="9" spans="1:5">
      <c r="A9" s="305">
        <v>0.4</v>
      </c>
      <c r="B9" s="305">
        <v>2.02</v>
      </c>
      <c r="C9" s="305">
        <v>2.02</v>
      </c>
      <c r="D9" s="305">
        <v>2.02</v>
      </c>
      <c r="E9" s="305">
        <v>2.02</v>
      </c>
    </row>
    <row r="10" spans="1:5">
      <c r="A10" s="305">
        <v>0.5</v>
      </c>
      <c r="B10" s="305">
        <v>2.0299999999999998</v>
      </c>
      <c r="C10" s="305">
        <v>2.0299999999999998</v>
      </c>
      <c r="D10" s="305">
        <v>2.0299999999999998</v>
      </c>
      <c r="E10" s="305">
        <v>2.0299999999999998</v>
      </c>
    </row>
    <row r="11" spans="1:5">
      <c r="A11" s="305">
        <v>0.6</v>
      </c>
      <c r="B11" s="305">
        <v>2.0499999999999998</v>
      </c>
      <c r="C11" s="305">
        <v>2.0499999999999998</v>
      </c>
      <c r="D11" s="305">
        <v>2.0499999999999998</v>
      </c>
      <c r="E11" s="305">
        <v>2.0499999999999998</v>
      </c>
    </row>
    <row r="12" spans="1:5">
      <c r="A12" s="305">
        <v>0.7</v>
      </c>
      <c r="B12" s="305">
        <v>2.06</v>
      </c>
      <c r="C12" s="305">
        <v>2.06</v>
      </c>
      <c r="D12" s="305">
        <v>2.06</v>
      </c>
      <c r="E12" s="305">
        <v>2.06</v>
      </c>
    </row>
    <row r="13" spans="1:5">
      <c r="A13" s="305">
        <v>0.8</v>
      </c>
      <c r="B13" s="305">
        <v>2.1</v>
      </c>
      <c r="C13" s="305">
        <v>2.1</v>
      </c>
      <c r="D13" s="305">
        <v>2.1</v>
      </c>
      <c r="E13" s="305">
        <v>2.1</v>
      </c>
    </row>
    <row r="14" spans="1:5">
      <c r="A14" s="305">
        <v>0.9</v>
      </c>
      <c r="B14" s="305">
        <v>2.16</v>
      </c>
      <c r="C14" s="305">
        <v>2.16</v>
      </c>
      <c r="D14" s="305">
        <v>2.16</v>
      </c>
      <c r="E14" s="305">
        <v>2.16</v>
      </c>
    </row>
    <row r="15" spans="1:5">
      <c r="A15" s="305">
        <v>1</v>
      </c>
      <c r="B15" s="305">
        <v>2.2999999999999998</v>
      </c>
      <c r="C15" s="305">
        <v>2.2999999999999998</v>
      </c>
      <c r="D15" s="305">
        <v>2.2999999999999998</v>
      </c>
      <c r="E15" s="305">
        <v>2.2999999999999998</v>
      </c>
    </row>
    <row r="16" spans="1:5">
      <c r="A16" s="305">
        <v>1.05</v>
      </c>
      <c r="B16" s="305">
        <v>2.36</v>
      </c>
      <c r="C16" s="305">
        <v>2.36</v>
      </c>
      <c r="D16" s="305">
        <v>2.36</v>
      </c>
      <c r="E16" s="305">
        <v>2.36</v>
      </c>
    </row>
    <row r="17" spans="1:5">
      <c r="A17" s="305">
        <v>1.1000000000000001</v>
      </c>
      <c r="B17" s="305">
        <v>2.4</v>
      </c>
      <c r="C17" s="305">
        <v>2.4</v>
      </c>
      <c r="D17" s="305">
        <v>2.4</v>
      </c>
      <c r="E17" s="305">
        <v>2.4</v>
      </c>
    </row>
    <row r="18" spans="1:5">
      <c r="A18" s="305">
        <v>1.1499999999999999</v>
      </c>
      <c r="B18" s="305">
        <v>2.38</v>
      </c>
      <c r="C18" s="305">
        <v>2.37</v>
      </c>
      <c r="D18" s="305">
        <v>2.37</v>
      </c>
      <c r="E18" s="305">
        <v>2.38</v>
      </c>
    </row>
    <row r="19" spans="1:5">
      <c r="A19" s="305">
        <v>1.2</v>
      </c>
      <c r="B19" s="305">
        <v>2.37</v>
      </c>
      <c r="C19" s="305">
        <v>2.3199999999999998</v>
      </c>
      <c r="D19" s="305">
        <v>2.2999999999999998</v>
      </c>
      <c r="E19" s="305">
        <v>2.2999999999999998</v>
      </c>
    </row>
    <row r="20" spans="1:5">
      <c r="A20" s="305">
        <v>1.3</v>
      </c>
      <c r="B20" s="305">
        <v>2.35</v>
      </c>
      <c r="C20" s="305">
        <v>2.27</v>
      </c>
      <c r="D20" s="305">
        <v>2.21</v>
      </c>
      <c r="E20" s="305">
        <v>2.21</v>
      </c>
    </row>
    <row r="21" spans="1:5">
      <c r="A21" s="305">
        <v>1.4</v>
      </c>
      <c r="B21" s="305">
        <v>2.35</v>
      </c>
      <c r="C21" s="305">
        <v>2.25</v>
      </c>
      <c r="D21" s="305">
        <v>2.16</v>
      </c>
      <c r="E21" s="305">
        <v>2.13</v>
      </c>
    </row>
    <row r="22" spans="1:5">
      <c r="A22" s="305">
        <v>1.5</v>
      </c>
      <c r="B22" s="305">
        <v>2.35</v>
      </c>
      <c r="C22" s="305">
        <v>2.2400000000000002</v>
      </c>
      <c r="D22" s="305">
        <v>2.12</v>
      </c>
      <c r="E22" s="305">
        <v>2.08</v>
      </c>
    </row>
    <row r="23" spans="1:5">
      <c r="A23" s="305">
        <v>1.75</v>
      </c>
      <c r="B23" s="305">
        <v>2.37</v>
      </c>
      <c r="C23" s="305">
        <v>2.2599999999999998</v>
      </c>
      <c r="D23" s="305">
        <v>2.08</v>
      </c>
      <c r="E23" s="305">
        <v>2.0299999999999998</v>
      </c>
    </row>
    <row r="24" spans="1:5">
      <c r="A24" s="305">
        <v>2</v>
      </c>
      <c r="B24" s="305">
        <v>2.4</v>
      </c>
      <c r="C24" s="305">
        <v>2.31</v>
      </c>
      <c r="D24" s="305">
        <v>2.08</v>
      </c>
      <c r="E24" s="305">
        <v>2.0099999999999998</v>
      </c>
    </row>
    <row r="25" spans="1:5">
      <c r="A25" s="305">
        <v>2.25</v>
      </c>
      <c r="B25" s="305">
        <v>2.42</v>
      </c>
      <c r="C25" s="305">
        <v>2.36</v>
      </c>
      <c r="D25" s="305">
        <v>2.12</v>
      </c>
      <c r="E25" s="305">
        <v>2.0299999999999998</v>
      </c>
    </row>
    <row r="26" spans="1:5">
      <c r="A26" s="305">
        <v>2.5</v>
      </c>
      <c r="B26" s="305">
        <v>2.4500000000000002</v>
      </c>
      <c r="C26" s="305">
        <v>2.4</v>
      </c>
      <c r="D26" s="305">
        <v>2.15</v>
      </c>
      <c r="E26" s="305">
        <v>2.06</v>
      </c>
    </row>
    <row r="27" spans="1:5">
      <c r="A27" s="305">
        <v>3</v>
      </c>
      <c r="B27" s="305">
        <v>2.48</v>
      </c>
      <c r="C27" s="305">
        <v>2.4900000000000002</v>
      </c>
      <c r="D27" s="305">
        <v>2.2200000000000002</v>
      </c>
      <c r="E27" s="305">
        <v>2.1</v>
      </c>
    </row>
    <row r="28" spans="1:5">
      <c r="A28" s="305">
        <v>3.5</v>
      </c>
      <c r="B28" s="305">
        <v>2.5099999999999998</v>
      </c>
      <c r="C28" s="305">
        <v>2.57</v>
      </c>
      <c r="D28" s="305">
        <v>2.2799999999999998</v>
      </c>
      <c r="E28" s="305">
        <v>2.14</v>
      </c>
    </row>
    <row r="29" spans="1:5">
      <c r="A29" s="305">
        <v>4</v>
      </c>
      <c r="B29" s="305">
        <v>2.5299999999999998</v>
      </c>
      <c r="C29" s="305">
        <v>2.63</v>
      </c>
      <c r="D29" s="305">
        <v>2.34</v>
      </c>
      <c r="E29" s="305">
        <v>2.1800000000000002</v>
      </c>
    </row>
    <row r="30" spans="1:5">
      <c r="A30" s="305">
        <v>4.5</v>
      </c>
      <c r="B30" s="305">
        <v>2.56</v>
      </c>
      <c r="C30" s="305">
        <v>2.67</v>
      </c>
      <c r="D30" s="305">
        <v>2.39</v>
      </c>
      <c r="E30" s="305">
        <v>2.21</v>
      </c>
    </row>
    <row r="31" spans="1:5">
      <c r="A31" s="305">
        <v>5</v>
      </c>
      <c r="B31" s="305">
        <v>2.57</v>
      </c>
      <c r="C31" s="305">
        <v>2.7</v>
      </c>
      <c r="D31" s="305">
        <v>2.4300000000000002</v>
      </c>
      <c r="E31" s="305">
        <v>2.2400000000000002</v>
      </c>
    </row>
    <row r="33" spans="1:7">
      <c r="A33" s="306" t="s">
        <v>557</v>
      </c>
      <c r="B33" s="305"/>
      <c r="C33" s="305"/>
      <c r="D33" s="305"/>
      <c r="E33" s="305"/>
      <c r="F33" s="305"/>
      <c r="G33" s="305"/>
    </row>
    <row r="34" spans="1:7">
      <c r="A34" s="305"/>
      <c r="B34" s="305" t="s">
        <v>387</v>
      </c>
      <c r="C34" s="305"/>
      <c r="D34" s="305"/>
      <c r="E34" s="305"/>
      <c r="F34" s="305"/>
      <c r="G34" s="305"/>
    </row>
    <row r="35" spans="1:7">
      <c r="A35" s="305" t="s">
        <v>386</v>
      </c>
      <c r="B35" s="305">
        <v>1.5</v>
      </c>
      <c r="C35" s="305">
        <v>2</v>
      </c>
      <c r="D35" s="305">
        <v>3</v>
      </c>
      <c r="E35" s="305">
        <v>5</v>
      </c>
      <c r="F35" s="305">
        <v>6</v>
      </c>
      <c r="G35" s="305">
        <v>7</v>
      </c>
    </row>
    <row r="36" spans="1:7">
      <c r="A36" s="305">
        <v>0</v>
      </c>
      <c r="B36" s="305">
        <v>0.46600000000000003</v>
      </c>
      <c r="C36" s="305">
        <v>0.46600000000000003</v>
      </c>
      <c r="D36" s="305">
        <v>0.46600000000000003</v>
      </c>
      <c r="E36" s="305">
        <v>0.46600000000000003</v>
      </c>
      <c r="F36" s="305">
        <v>0.46600000000000003</v>
      </c>
      <c r="G36" s="305">
        <v>0.46600000000000003</v>
      </c>
    </row>
    <row r="37" spans="1:7">
      <c r="A37" s="305">
        <v>1</v>
      </c>
      <c r="B37" s="305">
        <v>0.46600000000000003</v>
      </c>
      <c r="C37" s="305">
        <v>0.46600000000000003</v>
      </c>
      <c r="D37" s="305">
        <v>0.46600000000000003</v>
      </c>
      <c r="E37" s="305">
        <v>0.46600000000000003</v>
      </c>
      <c r="F37" s="305">
        <v>0.46600000000000003</v>
      </c>
      <c r="G37" s="305">
        <v>0.46600000000000003</v>
      </c>
    </row>
    <row r="38" spans="1:7">
      <c r="A38" s="305">
        <v>2</v>
      </c>
      <c r="B38" s="305">
        <v>0.75</v>
      </c>
      <c r="C38" s="305">
        <v>1.02</v>
      </c>
      <c r="D38" s="305">
        <v>1.59</v>
      </c>
      <c r="E38" s="305">
        <v>2.1</v>
      </c>
      <c r="F38" s="305">
        <v>3.02</v>
      </c>
      <c r="G38" s="305">
        <v>3.35</v>
      </c>
    </row>
    <row r="39" spans="1:7">
      <c r="A39" s="305">
        <v>3</v>
      </c>
      <c r="B39" s="305">
        <v>0.93</v>
      </c>
      <c r="C39" s="305">
        <v>1.25</v>
      </c>
      <c r="D39" s="305">
        <v>1.84</v>
      </c>
      <c r="E39" s="305">
        <v>2.4</v>
      </c>
      <c r="F39" s="305">
        <v>3.23</v>
      </c>
      <c r="G39" s="305">
        <v>3.43</v>
      </c>
    </row>
    <row r="40" spans="1:7">
      <c r="A40" s="305">
        <v>4</v>
      </c>
      <c r="B40" s="305">
        <v>1.2</v>
      </c>
      <c r="C40" s="305">
        <v>1.52</v>
      </c>
      <c r="D40" s="305">
        <v>2.08</v>
      </c>
      <c r="E40" s="305">
        <v>2.6</v>
      </c>
      <c r="F40" s="305">
        <v>3.43</v>
      </c>
      <c r="G40" s="305">
        <v>3.74</v>
      </c>
    </row>
    <row r="41" spans="1:7">
      <c r="A41" s="305">
        <v>5</v>
      </c>
      <c r="B41" s="305">
        <v>1.35</v>
      </c>
      <c r="C41" s="305">
        <v>1.62</v>
      </c>
      <c r="D41" s="305">
        <v>2.12</v>
      </c>
      <c r="E41" s="305">
        <v>2.6</v>
      </c>
      <c r="F41" s="305">
        <v>3.43</v>
      </c>
      <c r="G41" s="305">
        <v>3.74</v>
      </c>
    </row>
    <row r="43" spans="1:7">
      <c r="A43" t="s">
        <v>549</v>
      </c>
      <c r="B43">
        <f>B35</f>
        <v>1.5</v>
      </c>
      <c r="C43" t="s">
        <v>388</v>
      </c>
      <c r="D43" t="s">
        <v>551</v>
      </c>
    </row>
    <row r="44" spans="1:7">
      <c r="A44" s="304" t="s">
        <v>550</v>
      </c>
      <c r="B44" s="304">
        <f>1.5*B45</f>
        <v>12</v>
      </c>
      <c r="C44" s="304" t="s">
        <v>196</v>
      </c>
      <c r="D44" t="s">
        <v>552</v>
      </c>
      <c r="E44">
        <f>B45*10</f>
        <v>80</v>
      </c>
      <c r="F44" t="s">
        <v>196</v>
      </c>
    </row>
    <row r="45" spans="1:7">
      <c r="A45" s="304" t="s">
        <v>554</v>
      </c>
      <c r="B45" s="304">
        <v>8</v>
      </c>
      <c r="C45" s="304" t="s">
        <v>196</v>
      </c>
      <c r="D45" t="s">
        <v>553</v>
      </c>
    </row>
    <row r="48" spans="1:7" ht="29">
      <c r="A48" s="188" t="s">
        <v>389</v>
      </c>
    </row>
    <row r="56" spans="1:4">
      <c r="A56" s="305" t="s">
        <v>390</v>
      </c>
      <c r="B56" s="305"/>
      <c r="C56" s="305"/>
      <c r="D56" s="305"/>
    </row>
    <row r="57" spans="1:4">
      <c r="A57" s="305" t="s">
        <v>84</v>
      </c>
      <c r="B57" s="305" t="s">
        <v>391</v>
      </c>
      <c r="C57" s="305" t="s">
        <v>392</v>
      </c>
      <c r="D57" s="305" t="s">
        <v>566</v>
      </c>
    </row>
    <row r="58" spans="1:4">
      <c r="A58" s="305">
        <v>0</v>
      </c>
      <c r="B58" s="305">
        <v>0</v>
      </c>
      <c r="C58" s="307">
        <v>1E-3</v>
      </c>
      <c r="D58" s="308">
        <f>(C58-C58)/C58</f>
        <v>0</v>
      </c>
    </row>
    <row r="59" spans="1:4">
      <c r="A59" s="305">
        <v>5</v>
      </c>
      <c r="B59" s="305">
        <v>5.0000000000000001E-3</v>
      </c>
      <c r="C59" s="307">
        <f t="shared" ref="C59:C64" si="0">(B59-B58)/(A59)</f>
        <v>1E-3</v>
      </c>
      <c r="D59" s="308">
        <f>(C59-C58)/C58</f>
        <v>0</v>
      </c>
    </row>
    <row r="60" spans="1:4">
      <c r="A60" s="305">
        <v>10</v>
      </c>
      <c r="B60" s="305">
        <v>1.4999999999999999E-2</v>
      </c>
      <c r="C60" s="307">
        <f t="shared" si="0"/>
        <v>9.999999999999998E-4</v>
      </c>
      <c r="D60" s="308">
        <f t="shared" ref="D60:D64" si="1">(C60-C59)/C59</f>
        <v>-2.1684043449710089E-16</v>
      </c>
    </row>
    <row r="61" spans="1:4">
      <c r="A61" s="305">
        <v>15</v>
      </c>
      <c r="B61" s="305">
        <v>3.5000000000000003E-2</v>
      </c>
      <c r="C61" s="307">
        <f t="shared" si="0"/>
        <v>1.3333333333333335E-3</v>
      </c>
      <c r="D61" s="308">
        <f>(C61-C60)/C60</f>
        <v>0.33333333333333376</v>
      </c>
    </row>
    <row r="62" spans="1:4">
      <c r="A62" s="305">
        <v>20</v>
      </c>
      <c r="B62" s="305">
        <v>6.5000000000000002E-2</v>
      </c>
      <c r="C62" s="307">
        <f t="shared" si="0"/>
        <v>1.5E-3</v>
      </c>
      <c r="D62" s="308">
        <f t="shared" si="1"/>
        <v>0.12499999999999988</v>
      </c>
    </row>
    <row r="63" spans="1:4">
      <c r="A63" s="305">
        <v>25</v>
      </c>
      <c r="B63" s="305">
        <v>0.11</v>
      </c>
      <c r="C63" s="307">
        <f t="shared" si="0"/>
        <v>1.8E-3</v>
      </c>
      <c r="D63" s="308">
        <f t="shared" si="1"/>
        <v>0.19999999999999996</v>
      </c>
    </row>
    <row r="64" spans="1:4">
      <c r="A64" s="305">
        <v>30</v>
      </c>
      <c r="B64" s="305">
        <v>0.17499999999999999</v>
      </c>
      <c r="C64" s="307">
        <f t="shared" si="0"/>
        <v>2.1666666666666661E-3</v>
      </c>
      <c r="D64" s="308">
        <f t="shared" si="1"/>
        <v>0.20370370370370344</v>
      </c>
    </row>
    <row r="65" spans="1:14">
      <c r="A65" s="305"/>
      <c r="B65" s="305" t="s">
        <v>393</v>
      </c>
      <c r="C65" s="307">
        <f>AVERAGE(C58:C64)</f>
        <v>1.3999999999999998E-3</v>
      </c>
      <c r="D65" s="305"/>
    </row>
    <row r="67" spans="1:14">
      <c r="A67" s="305" t="s">
        <v>394</v>
      </c>
      <c r="B67" s="305"/>
    </row>
    <row r="68" spans="1:14">
      <c r="A68" s="305" t="s">
        <v>395</v>
      </c>
      <c r="B68" s="305" t="s">
        <v>396</v>
      </c>
    </row>
    <row r="69" spans="1:14">
      <c r="A69" s="305">
        <v>0</v>
      </c>
      <c r="B69" s="305">
        <v>6.3E-2</v>
      </c>
    </row>
    <row r="70" spans="1:14">
      <c r="A70" s="305">
        <v>0.5</v>
      </c>
      <c r="B70" s="305">
        <v>6.8000000000000005E-2</v>
      </c>
    </row>
    <row r="71" spans="1:14">
      <c r="A71" s="305">
        <v>0.7</v>
      </c>
      <c r="B71" s="305">
        <v>6.9000000000000006E-2</v>
      </c>
      <c r="M71" t="s">
        <v>581</v>
      </c>
      <c r="N71">
        <v>0.85</v>
      </c>
    </row>
    <row r="72" spans="1:14">
      <c r="A72" s="305">
        <v>0.8</v>
      </c>
      <c r="B72" s="305">
        <v>6.9000000000000006E-2</v>
      </c>
      <c r="M72" t="s">
        <v>392</v>
      </c>
      <c r="N72">
        <f>VLOOKUP(N71,A69:B81,2,TRUE)</f>
        <v>6.9000000000000006E-2</v>
      </c>
    </row>
    <row r="73" spans="1:14">
      <c r="A73" s="305">
        <v>0.9</v>
      </c>
      <c r="B73" s="305">
        <v>6.7000000000000004E-2</v>
      </c>
    </row>
    <row r="74" spans="1:14">
      <c r="A74" s="305">
        <v>1</v>
      </c>
      <c r="B74" s="305">
        <v>6.6000000000000003E-2</v>
      </c>
    </row>
    <row r="75" spans="1:14">
      <c r="A75" s="305">
        <v>1.2</v>
      </c>
      <c r="B75" s="305">
        <v>6.3E-2</v>
      </c>
    </row>
    <row r="76" spans="1:14">
      <c r="A76" s="305">
        <v>1.5</v>
      </c>
      <c r="B76" s="305">
        <v>5.7000000000000002E-2</v>
      </c>
    </row>
    <row r="77" spans="1:14">
      <c r="A77" s="305">
        <v>2</v>
      </c>
      <c r="B77" s="305">
        <v>0.06</v>
      </c>
    </row>
    <row r="78" spans="1:14">
      <c r="A78" s="305">
        <v>2.5</v>
      </c>
      <c r="B78" s="305">
        <v>6.6000000000000003E-2</v>
      </c>
    </row>
    <row r="79" spans="1:14">
      <c r="A79" s="305">
        <v>3</v>
      </c>
      <c r="B79" s="305">
        <v>7.6999999999999999E-2</v>
      </c>
    </row>
    <row r="80" spans="1:14">
      <c r="A80" s="305">
        <v>3.5</v>
      </c>
      <c r="B80" s="305">
        <v>9.1999999999999998E-2</v>
      </c>
    </row>
    <row r="81" spans="1:4">
      <c r="A81" s="305">
        <v>4</v>
      </c>
      <c r="B81" s="305">
        <v>0.115</v>
      </c>
    </row>
    <row r="83" spans="1:4">
      <c r="A83" t="s">
        <v>397</v>
      </c>
      <c r="B83" t="s">
        <v>398</v>
      </c>
    </row>
    <row r="85" spans="1:4">
      <c r="D85" t="s">
        <v>555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556</v>
      </c>
    </row>
    <row r="103" spans="1:10">
      <c r="A103" t="s">
        <v>558</v>
      </c>
    </row>
    <row r="105" spans="1:10">
      <c r="I105" t="s">
        <v>559</v>
      </c>
    </row>
    <row r="111" spans="1:10">
      <c r="J111" t="s">
        <v>560</v>
      </c>
    </row>
    <row r="112" spans="1:10">
      <c r="J112" t="s">
        <v>561</v>
      </c>
    </row>
    <row r="114" spans="1:18">
      <c r="J114" t="s">
        <v>562</v>
      </c>
    </row>
    <row r="115" spans="1:18">
      <c r="J115" t="s">
        <v>563</v>
      </c>
    </row>
    <row r="117" spans="1:18">
      <c r="R117" t="s">
        <v>565</v>
      </c>
    </row>
    <row r="123" spans="1:18">
      <c r="A123" t="s">
        <v>564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96"/>
  <sheetViews>
    <sheetView zoomScale="85" zoomScaleNormal="85" workbookViewId="0">
      <pane ySplit="3" topLeftCell="A4" activePane="bottomLeft" state="frozen"/>
      <selection pane="bottomLeft" activeCell="G1" sqref="G1:G1048576"/>
    </sheetView>
  </sheetViews>
  <sheetFormatPr defaultColWidth="9.08984375" defaultRowHeight="14.5"/>
  <cols>
    <col min="1" max="1" width="44.7265625" style="280" customWidth="1"/>
    <col min="2" max="12" width="9.36328125" style="281" customWidth="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 t="shared" si="0"/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 t="shared" ref="B3:L3" si="1">0.5*$O$25*B2^2</f>
        <v>254.68991999999997</v>
      </c>
      <c r="C3" s="281">
        <f t="shared" si="1"/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 t="shared" si="1"/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>B5/(B$3*$O$24)</f>
        <v>1.3275888668284246E-3</v>
      </c>
      <c r="C54" s="281">
        <f>C5/(C$3*$O$24)</f>
        <v>4.8425676243421013E-5</v>
      </c>
      <c r="D54" s="281">
        <f>D5/(D$3*$O$24)</f>
        <v>1.7140628475887629E-4</v>
      </c>
      <c r="E54" s="281">
        <f>E5/(E$3*$O$24)</f>
        <v>7.2128803428533675E-5</v>
      </c>
      <c r="F54" s="281">
        <f>F5/(F$3*$O$24)</f>
        <v>4.7739308759510138E-5</v>
      </c>
      <c r="H54" s="281">
        <f>H5/(H$3*$O$24)</f>
        <v>1.1924612416902101E-5</v>
      </c>
      <c r="I54" s="281">
        <f>I5/(I$3*$O$24)</f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>B13/(B$3*$O$24)</f>
        <v>1.9073524221190751E-3</v>
      </c>
      <c r="C64" s="281">
        <f>C13/(C$3*$O$24)</f>
        <v>1.7251273447885158E-3</v>
      </c>
      <c r="D64" s="281">
        <f>D13/(D$3*$O$24)</f>
        <v>1.196446644812942E-4</v>
      </c>
      <c r="E64" s="281">
        <f>E13/(E$3*$O$24)</f>
        <v>7.9496567401092229E-5</v>
      </c>
      <c r="F64" s="281">
        <f>F13/(F$3*$O$24)</f>
        <v>1.8944266696932341E-5</v>
      </c>
      <c r="H64" s="281">
        <f>H13/(H$3*$O$24)</f>
        <v>8.2199318511650367E-5</v>
      </c>
      <c r="I64" s="281">
        <f>I13/(I$3*$O$24)</f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>B21/(B$3*$O$24)</f>
        <v>0.27990070185165045</v>
      </c>
      <c r="C73" s="281">
        <f>C21/(C$3*$O$24)</f>
        <v>0.2674280983466692</v>
      </c>
      <c r="D73" s="281">
        <f>D21/(D$3*$O$24)</f>
        <v>0.25103209927166154</v>
      </c>
      <c r="E73" s="281">
        <f>E21/(E$3*$O$24)</f>
        <v>0.2474155244931</v>
      </c>
      <c r="F73" s="281">
        <f>F21/(F$3*$O$24)</f>
        <v>0.25031566031126029</v>
      </c>
      <c r="H73" s="281">
        <f>H21/(H$3*$O$24)</f>
        <v>0.42770460311533853</v>
      </c>
      <c r="I73" s="281">
        <f>I21/(I$3*$O$24)</f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2">B37/B5</f>
        <v>-0.39930727654120662</v>
      </c>
      <c r="C82" s="281">
        <f t="shared" si="2"/>
        <v>-4.6610647947528304E-2</v>
      </c>
      <c r="D82" s="281">
        <f t="shared" si="2"/>
        <v>-0.42056601112583708</v>
      </c>
      <c r="E82" s="281">
        <f t="shared" si="2"/>
        <v>-0.34953687600147854</v>
      </c>
      <c r="F82" s="281">
        <f t="shared" si="2"/>
        <v>-0.34743337042052802</v>
      </c>
      <c r="H82" s="281">
        <f t="shared" si="2"/>
        <v>-2.4114624068603963</v>
      </c>
      <c r="I82" s="281">
        <f t="shared" si="2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3">B45/B13</f>
        <v>-0.41464066168686775</v>
      </c>
      <c r="C90" s="281">
        <f t="shared" si="3"/>
        <v>-0.43743291880967239</v>
      </c>
      <c r="D90" s="281">
        <f t="shared" si="3"/>
        <v>-0.57466148543661322</v>
      </c>
      <c r="E90" s="281">
        <f t="shared" si="3"/>
        <v>-0.66093708494079895</v>
      </c>
      <c r="F90" s="281">
        <f t="shared" si="3"/>
        <v>-1.5354261032797718</v>
      </c>
      <c r="H90" s="281">
        <f t="shared" si="3"/>
        <v>0.81692879353958603</v>
      </c>
      <c r="I90" s="281">
        <f t="shared" si="3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P96"/>
  <sheetViews>
    <sheetView zoomScale="85" zoomScaleNormal="85" workbookViewId="0">
      <pane ySplit="3" topLeftCell="A4" activePane="bottomLeft" state="frozen"/>
      <selection pane="bottomLeft" activeCell="M33" sqref="M33"/>
    </sheetView>
  </sheetViews>
  <sheetFormatPr defaultColWidth="9.08984375" defaultRowHeight="14.5"/>
  <cols>
    <col min="1" max="1" width="44.7265625" style="280" customWidth="1"/>
    <col min="2" max="6" width="9.08984375" style="281" bestFit="1" customWidth="1"/>
    <col min="7" max="7" width="9.36328125" style="281" customWidth="1"/>
    <col min="8" max="9" width="10" style="281" bestFit="1" customWidth="1"/>
    <col min="10" max="12" width="9.08984375" style="28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20.399999999999999</v>
      </c>
      <c r="C2" s="281">
        <f t="shared" si="0"/>
        <v>34</v>
      </c>
      <c r="D2" s="281">
        <f t="shared" si="0"/>
        <v>102</v>
      </c>
      <c r="E2" s="281">
        <f t="shared" si="0"/>
        <v>170</v>
      </c>
      <c r="F2" s="281">
        <f t="shared" si="0"/>
        <v>237.99999999999997</v>
      </c>
      <c r="G2" s="281">
        <f>G1*$O$22</f>
        <v>289</v>
      </c>
      <c r="H2" s="281">
        <f t="shared" si="0"/>
        <v>340</v>
      </c>
      <c r="I2" s="281">
        <f t="shared" si="0"/>
        <v>510</v>
      </c>
      <c r="J2" s="281">
        <f t="shared" si="0"/>
        <v>680</v>
      </c>
      <c r="K2" s="281">
        <f t="shared" si="0"/>
        <v>1020</v>
      </c>
      <c r="L2" s="281">
        <f t="shared" si="0"/>
        <v>1700</v>
      </c>
      <c r="N2" t="s">
        <v>504</v>
      </c>
    </row>
    <row r="3" spans="1:14">
      <c r="A3" s="280" t="s">
        <v>536</v>
      </c>
      <c r="B3" s="281">
        <f>0.5*$O$25*B2^2</f>
        <v>254.68991999999997</v>
      </c>
      <c r="C3" s="281">
        <f t="shared" ref="C3:L3" si="1">0.5*$O$25*C2^2</f>
        <v>707.47199999999998</v>
      </c>
      <c r="D3" s="281">
        <f t="shared" si="1"/>
        <v>6367.2479999999996</v>
      </c>
      <c r="E3" s="281">
        <f t="shared" si="1"/>
        <v>17686.8</v>
      </c>
      <c r="F3" s="281">
        <f t="shared" si="1"/>
        <v>34666.12799999999</v>
      </c>
      <c r="G3" s="281">
        <f>0.5*$O$25*G2^2</f>
        <v>51114.851999999999</v>
      </c>
      <c r="H3" s="281">
        <f t="shared" si="1"/>
        <v>70747.199999999997</v>
      </c>
      <c r="I3" s="281">
        <f t="shared" si="1"/>
        <v>159181.19999999998</v>
      </c>
      <c r="J3" s="281">
        <f t="shared" si="1"/>
        <v>282988.79999999999</v>
      </c>
      <c r="K3" s="281">
        <f t="shared" si="1"/>
        <v>636724.79999999993</v>
      </c>
      <c r="L3" s="281">
        <f t="shared" si="1"/>
        <v>1768680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2.1053423000000002E-3</v>
      </c>
      <c r="C5" s="293">
        <v>2.1332036E-4</v>
      </c>
      <c r="D5" s="293">
        <v>6.7955695999999998E-3</v>
      </c>
      <c r="E5" s="293">
        <v>7.9433802000000008E-3</v>
      </c>
      <c r="F5" s="293">
        <v>1.0304545E-2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/>
      <c r="C6" s="293"/>
      <c r="D6" s="293"/>
      <c r="E6" s="293"/>
      <c r="F6" s="293"/>
      <c r="G6" s="293"/>
      <c r="H6" s="293"/>
      <c r="I6" s="293"/>
      <c r="J6" s="293"/>
      <c r="K6" s="293"/>
      <c r="L6" s="293"/>
    </row>
    <row r="7" spans="1:14">
      <c r="A7" s="280">
        <v>10</v>
      </c>
      <c r="B7" s="293"/>
      <c r="C7" s="293"/>
      <c r="D7" s="293"/>
      <c r="E7" s="293"/>
      <c r="F7" s="293"/>
      <c r="G7" s="293"/>
      <c r="H7" s="293"/>
      <c r="I7" s="293"/>
      <c r="J7" s="293"/>
      <c r="K7" s="293"/>
      <c r="L7" s="293"/>
    </row>
    <row r="8" spans="1:14">
      <c r="A8" s="280">
        <v>15</v>
      </c>
      <c r="B8" s="293"/>
      <c r="C8" s="293"/>
      <c r="D8" s="293"/>
      <c r="E8" s="293"/>
      <c r="F8" s="293"/>
      <c r="G8" s="293"/>
      <c r="H8" s="293"/>
      <c r="I8" s="293"/>
      <c r="J8" s="293"/>
      <c r="K8" s="293"/>
      <c r="L8" s="293"/>
    </row>
    <row r="9" spans="1:14">
      <c r="A9" s="280">
        <v>20</v>
      </c>
      <c r="B9" s="293"/>
      <c r="C9" s="293"/>
      <c r="D9" s="293"/>
      <c r="E9" s="293"/>
      <c r="F9" s="293"/>
      <c r="G9" s="293"/>
      <c r="H9" s="293"/>
      <c r="I9" s="293"/>
      <c r="J9" s="293"/>
      <c r="K9" s="293"/>
      <c r="L9" s="293"/>
    </row>
    <row r="10" spans="1:14">
      <c r="A10" s="280">
        <v>25</v>
      </c>
      <c r="B10" s="293"/>
      <c r="C10" s="293"/>
      <c r="D10" s="293"/>
      <c r="E10" s="293"/>
      <c r="F10" s="293"/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0.44387747</v>
      </c>
      <c r="C21" s="293">
        <v>1.1780497999999999</v>
      </c>
      <c r="D21" s="293">
        <v>9.9524127999999994</v>
      </c>
      <c r="E21" s="293">
        <v>27.247305999999998</v>
      </c>
      <c r="F21" s="293">
        <v>54.030715000000001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N22" t="s">
        <v>530</v>
      </c>
      <c r="O22">
        <v>340</v>
      </c>
      <c r="P22" t="s">
        <v>116</v>
      </c>
    </row>
    <row r="23" spans="1:16">
      <c r="A23" s="280">
        <v>10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6.2265482457436686E-3</v>
      </c>
      <c r="P24" t="s">
        <v>223</v>
      </c>
    </row>
    <row r="25" spans="1:16">
      <c r="A25" s="280">
        <v>20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  <c r="N28" t="s">
        <v>546</v>
      </c>
      <c r="O28">
        <v>14</v>
      </c>
      <c r="P28">
        <v>15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/>
      <c r="H29" s="294">
        <v>3.5391137000000002E-5</v>
      </c>
      <c r="I29" s="294">
        <v>-4.6915793999999999E-5</v>
      </c>
      <c r="N29" t="s">
        <v>547</v>
      </c>
      <c r="O29">
        <v>0.1</v>
      </c>
      <c r="P29">
        <v>0.2</v>
      </c>
    </row>
    <row r="30" spans="1:16">
      <c r="A30" s="280">
        <v>5</v>
      </c>
      <c r="N30" t="s">
        <v>548</v>
      </c>
      <c r="O30">
        <v>1.1000000000000001</v>
      </c>
      <c r="P30">
        <v>1.2</v>
      </c>
    </row>
    <row r="31" spans="1:16">
      <c r="A31" s="280">
        <v>10</v>
      </c>
    </row>
    <row r="32" spans="1:16">
      <c r="A32" s="280">
        <v>15</v>
      </c>
    </row>
    <row r="33" spans="1:9">
      <c r="A33" s="280">
        <v>20</v>
      </c>
    </row>
    <row r="34" spans="1:9">
      <c r="A34" s="280">
        <v>25</v>
      </c>
    </row>
    <row r="35" spans="1:9">
      <c r="A35" s="280">
        <v>30</v>
      </c>
    </row>
    <row r="36" spans="1:9">
      <c r="A36" s="280" t="s">
        <v>533</v>
      </c>
    </row>
    <row r="37" spans="1:9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H37" s="281">
        <v>-1.2667222000000001E-2</v>
      </c>
      <c r="I37" s="281">
        <v>1.9839978</v>
      </c>
    </row>
    <row r="38" spans="1:9">
      <c r="A38" s="280">
        <v>5</v>
      </c>
    </row>
    <row r="39" spans="1:9">
      <c r="A39" s="280">
        <v>10</v>
      </c>
    </row>
    <row r="40" spans="1:9">
      <c r="A40" s="280">
        <v>15</v>
      </c>
    </row>
    <row r="41" spans="1:9">
      <c r="A41" s="280">
        <v>20</v>
      </c>
    </row>
    <row r="42" spans="1:9">
      <c r="A42" s="280">
        <v>25</v>
      </c>
    </row>
    <row r="43" spans="1:9">
      <c r="A43" s="280">
        <v>30</v>
      </c>
    </row>
    <row r="44" spans="1:9">
      <c r="A44" s="280" t="s">
        <v>532</v>
      </c>
    </row>
    <row r="45" spans="1:9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9">
      <c r="A46" s="280">
        <v>5</v>
      </c>
    </row>
    <row r="47" spans="1:9">
      <c r="A47" s="280">
        <v>10</v>
      </c>
    </row>
    <row r="48" spans="1:9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301" customFormat="1">
      <c r="A53" s="279" t="s">
        <v>506</v>
      </c>
      <c r="B53" s="300"/>
      <c r="C53" s="300"/>
      <c r="D53" s="300"/>
      <c r="E53" s="300"/>
      <c r="F53" s="300"/>
      <c r="G53" s="300"/>
      <c r="H53" s="300"/>
      <c r="I53" s="300"/>
      <c r="J53" s="300"/>
      <c r="K53" s="300"/>
      <c r="L53" s="300"/>
    </row>
    <row r="54" spans="1:12">
      <c r="A54" s="280" t="s">
        <v>501</v>
      </c>
      <c r="B54" s="281">
        <f t="shared" ref="B54:I54" si="2">B5/(B$3*$O$24)</f>
        <v>1.3275888668284246E-3</v>
      </c>
      <c r="C54" s="281">
        <f t="shared" si="2"/>
        <v>4.8425676243421013E-5</v>
      </c>
      <c r="D54" s="281">
        <f t="shared" si="2"/>
        <v>1.7140628475887629E-4</v>
      </c>
      <c r="E54" s="281">
        <f t="shared" si="2"/>
        <v>7.2128803428533675E-5</v>
      </c>
      <c r="F54" s="281">
        <f t="shared" si="2"/>
        <v>4.7739308759510138E-5</v>
      </c>
      <c r="H54" s="281">
        <f t="shared" si="2"/>
        <v>1.1924612416902101E-5</v>
      </c>
      <c r="I54" s="281">
        <f t="shared" si="2"/>
        <v>3.663232223939068E-3</v>
      </c>
    </row>
    <row r="55" spans="1:12">
      <c r="A55" s="280">
        <v>0</v>
      </c>
    </row>
    <row r="56" spans="1:12">
      <c r="A56" s="280">
        <v>5</v>
      </c>
    </row>
    <row r="57" spans="1:12">
      <c r="A57" s="280">
        <v>10</v>
      </c>
    </row>
    <row r="58" spans="1:12">
      <c r="A58" s="280">
        <v>15</v>
      </c>
    </row>
    <row r="59" spans="1:12">
      <c r="A59" s="280">
        <v>20</v>
      </c>
    </row>
    <row r="60" spans="1:12">
      <c r="A60" s="280">
        <v>25</v>
      </c>
    </row>
    <row r="61" spans="1:12">
      <c r="A61" s="280">
        <v>30</v>
      </c>
    </row>
    <row r="62" spans="1:12" s="264" customFormat="1">
      <c r="A62" s="295" t="s">
        <v>541</v>
      </c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</row>
    <row r="63" spans="1:12">
      <c r="A63" s="280" t="s">
        <v>502</v>
      </c>
    </row>
    <row r="64" spans="1:12">
      <c r="A64" s="280">
        <v>0</v>
      </c>
      <c r="B64" s="281">
        <f t="shared" ref="B64:I64" si="3">B13/(B$3*$O$24)</f>
        <v>1.9073524221190751E-3</v>
      </c>
      <c r="C64" s="281">
        <f t="shared" si="3"/>
        <v>1.7251273447885158E-3</v>
      </c>
      <c r="D64" s="281">
        <f t="shared" si="3"/>
        <v>1.196446644812942E-4</v>
      </c>
      <c r="E64" s="281">
        <f t="shared" si="3"/>
        <v>7.9496567401092229E-5</v>
      </c>
      <c r="F64" s="281">
        <f t="shared" si="3"/>
        <v>1.8944266696932341E-5</v>
      </c>
      <c r="H64" s="281">
        <f t="shared" si="3"/>
        <v>8.2199318511650367E-5</v>
      </c>
      <c r="I64" s="281">
        <f t="shared" si="3"/>
        <v>1.7547386519839202E-3</v>
      </c>
    </row>
    <row r="65" spans="1:12">
      <c r="A65" s="280">
        <v>5</v>
      </c>
    </row>
    <row r="66" spans="1:12">
      <c r="A66" s="280">
        <v>10</v>
      </c>
    </row>
    <row r="67" spans="1:12">
      <c r="A67" s="280">
        <v>15</v>
      </c>
    </row>
    <row r="68" spans="1:12">
      <c r="A68" s="280">
        <v>20</v>
      </c>
    </row>
    <row r="69" spans="1:12">
      <c r="A69" s="280">
        <v>25</v>
      </c>
    </row>
    <row r="70" spans="1:12">
      <c r="A70" s="280">
        <v>30</v>
      </c>
    </row>
    <row r="71" spans="1:12" s="264" customFormat="1">
      <c r="A71" s="295" t="s">
        <v>542</v>
      </c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</row>
    <row r="72" spans="1:12">
      <c r="A72" s="280" t="s">
        <v>503</v>
      </c>
    </row>
    <row r="73" spans="1:12">
      <c r="A73" s="280">
        <v>0</v>
      </c>
      <c r="B73" s="281">
        <f t="shared" ref="B73:I73" si="4">B21/(B$3*$O$24)</f>
        <v>0.27990070185165045</v>
      </c>
      <c r="C73" s="281">
        <f t="shared" si="4"/>
        <v>0.2674280983466692</v>
      </c>
      <c r="D73" s="281">
        <f t="shared" si="4"/>
        <v>0.25103209927166154</v>
      </c>
      <c r="E73" s="281">
        <f t="shared" si="4"/>
        <v>0.2474155244931</v>
      </c>
      <c r="F73" s="281">
        <f t="shared" si="4"/>
        <v>0.25031566031126029</v>
      </c>
      <c r="H73" s="281">
        <f t="shared" si="4"/>
        <v>0.42770460311533853</v>
      </c>
      <c r="I73" s="281">
        <f t="shared" si="4"/>
        <v>0.57861713631968636</v>
      </c>
    </row>
    <row r="74" spans="1:12">
      <c r="A74" s="280">
        <v>5</v>
      </c>
    </row>
    <row r="75" spans="1:12">
      <c r="A75" s="280">
        <v>10</v>
      </c>
    </row>
    <row r="76" spans="1:12">
      <c r="A76" s="280">
        <v>15</v>
      </c>
    </row>
    <row r="77" spans="1:12">
      <c r="A77" s="280">
        <v>20</v>
      </c>
    </row>
    <row r="78" spans="1:12">
      <c r="A78" s="280">
        <v>25</v>
      </c>
    </row>
    <row r="79" spans="1:12">
      <c r="A79" s="280">
        <v>30</v>
      </c>
    </row>
    <row r="80" spans="1:12" s="299" customFormat="1">
      <c r="A80" s="297" t="s">
        <v>543</v>
      </c>
      <c r="B80" s="298"/>
      <c r="C80" s="298"/>
      <c r="D80" s="298"/>
      <c r="E80" s="298"/>
      <c r="F80" s="298"/>
      <c r="G80" s="298"/>
      <c r="H80" s="298"/>
      <c r="I80" s="298"/>
      <c r="J80" s="298"/>
      <c r="K80" s="298"/>
      <c r="L80" s="298"/>
    </row>
    <row r="81" spans="1:9">
      <c r="A81" s="280" t="s">
        <v>539</v>
      </c>
    </row>
    <row r="82" spans="1:9">
      <c r="A82" s="280">
        <v>0</v>
      </c>
      <c r="B82" s="281">
        <f t="shared" ref="B82:I82" si="5">B37/B5</f>
        <v>-0.39930727654120662</v>
      </c>
      <c r="C82" s="281">
        <f t="shared" si="5"/>
        <v>-4.6610647947528304E-2</v>
      </c>
      <c r="D82" s="281">
        <f t="shared" si="5"/>
        <v>-0.42056601112583708</v>
      </c>
      <c r="E82" s="281">
        <f t="shared" si="5"/>
        <v>-0.34953687600147854</v>
      </c>
      <c r="F82" s="281">
        <f t="shared" si="5"/>
        <v>-0.34743337042052802</v>
      </c>
      <c r="H82" s="281">
        <f t="shared" si="5"/>
        <v>-2.4114624068603963</v>
      </c>
      <c r="I82" s="281">
        <f t="shared" si="5"/>
        <v>0.54643386097952507</v>
      </c>
    </row>
    <row r="83" spans="1:9">
      <c r="A83" s="280">
        <v>5</v>
      </c>
    </row>
    <row r="84" spans="1:9">
      <c r="A84" s="280">
        <v>10</v>
      </c>
    </row>
    <row r="85" spans="1:9">
      <c r="A85" s="280">
        <v>15</v>
      </c>
    </row>
    <row r="86" spans="1:9">
      <c r="A86" s="280">
        <v>20</v>
      </c>
    </row>
    <row r="87" spans="1:9">
      <c r="A87" s="280">
        <v>25</v>
      </c>
    </row>
    <row r="88" spans="1:9">
      <c r="A88" s="280">
        <v>30</v>
      </c>
    </row>
    <row r="89" spans="1:9">
      <c r="A89" s="280" t="s">
        <v>540</v>
      </c>
    </row>
    <row r="90" spans="1:9">
      <c r="A90" s="280">
        <v>0</v>
      </c>
      <c r="B90" s="281">
        <f t="shared" ref="B90:I90" si="6">B45/B13</f>
        <v>-0.41464066168686775</v>
      </c>
      <c r="C90" s="281">
        <f t="shared" si="6"/>
        <v>-0.43743291880967239</v>
      </c>
      <c r="D90" s="281">
        <f t="shared" si="6"/>
        <v>-0.57466148543661322</v>
      </c>
      <c r="E90" s="281">
        <f t="shared" si="6"/>
        <v>-0.66093708494079895</v>
      </c>
      <c r="F90" s="281">
        <f t="shared" si="6"/>
        <v>-1.5354261032797718</v>
      </c>
      <c r="H90" s="281">
        <f t="shared" si="6"/>
        <v>0.81692879353958603</v>
      </c>
      <c r="I90" s="281">
        <f t="shared" si="6"/>
        <v>-0.7361699996584653</v>
      </c>
    </row>
    <row r="91" spans="1:9">
      <c r="A91" s="280">
        <v>5</v>
      </c>
    </row>
    <row r="92" spans="1:9">
      <c r="A92" s="280">
        <v>10</v>
      </c>
    </row>
    <row r="93" spans="1:9">
      <c r="A93" s="280">
        <v>15</v>
      </c>
    </row>
    <row r="94" spans="1:9">
      <c r="A94" s="280">
        <v>20</v>
      </c>
    </row>
    <row r="95" spans="1:9">
      <c r="A95" s="280">
        <v>25</v>
      </c>
    </row>
    <row r="96" spans="1:9">
      <c r="A96" s="280">
        <v>30</v>
      </c>
    </row>
  </sheetData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"/>
  <sheetViews>
    <sheetView workbookViewId="0">
      <selection activeCell="M20" sqref="M20"/>
    </sheetView>
  </sheetViews>
  <sheetFormatPr defaultRowHeight="14.5"/>
  <cols>
    <col min="1" max="1" width="10.453125" customWidth="1"/>
  </cols>
  <sheetData>
    <row r="1" spans="1:8" ht="42.75" customHeight="1">
      <c r="A1" s="404" t="s">
        <v>544</v>
      </c>
      <c r="B1" s="404"/>
      <c r="C1" s="302">
        <v>0.5</v>
      </c>
      <c r="D1" s="302">
        <v>1</v>
      </c>
      <c r="E1" s="302">
        <v>1.5</v>
      </c>
      <c r="F1" s="302">
        <v>3</v>
      </c>
      <c r="G1" s="302">
        <v>5</v>
      </c>
      <c r="H1" s="303" t="s">
        <v>176</v>
      </c>
    </row>
    <row r="2" spans="1:8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8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8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8" ht="28.5" customHeight="1">
      <c r="A6" s="404" t="s">
        <v>545</v>
      </c>
      <c r="B6" s="404"/>
      <c r="C6">
        <v>50</v>
      </c>
      <c r="D6">
        <v>100</v>
      </c>
      <c r="E6">
        <v>200</v>
      </c>
      <c r="F6">
        <v>300</v>
      </c>
    </row>
    <row r="7" spans="1:8">
      <c r="A7" s="264">
        <v>3</v>
      </c>
      <c r="B7" s="264">
        <f>A7*2.54</f>
        <v>7.62</v>
      </c>
      <c r="C7" s="302">
        <f>C$6/B7</f>
        <v>6.5616797900262469</v>
      </c>
      <c r="D7" s="302">
        <f t="shared" ref="D7:F7" si="4">D$6/C7</f>
        <v>15.24</v>
      </c>
      <c r="E7" s="302">
        <f t="shared" si="4"/>
        <v>13.123359580052494</v>
      </c>
      <c r="F7" s="302">
        <f t="shared" si="4"/>
        <v>22.86</v>
      </c>
      <c r="G7" s="405" t="s">
        <v>176</v>
      </c>
    </row>
    <row r="8" spans="1:8">
      <c r="A8" s="264">
        <v>5</v>
      </c>
      <c r="B8" s="264">
        <f t="shared" ref="B8:B9" si="5">A8*2.54</f>
        <v>12.7</v>
      </c>
      <c r="C8" s="302">
        <f t="shared" ref="C8:F8" si="6">C$6/B8</f>
        <v>3.9370078740157481</v>
      </c>
      <c r="D8" s="302">
        <f t="shared" si="6"/>
        <v>25.4</v>
      </c>
      <c r="E8" s="302">
        <f t="shared" si="6"/>
        <v>7.8740157480314963</v>
      </c>
      <c r="F8" s="302">
        <f t="shared" si="6"/>
        <v>38.1</v>
      </c>
      <c r="G8" s="405"/>
    </row>
    <row r="9" spans="1:8">
      <c r="A9" s="264">
        <v>8</v>
      </c>
      <c r="B9" s="264">
        <f t="shared" si="5"/>
        <v>20.32</v>
      </c>
      <c r="C9" s="302">
        <f t="shared" ref="C9:F9" si="7">C$6/B9</f>
        <v>2.4606299212598426</v>
      </c>
      <c r="D9" s="302">
        <f t="shared" si="7"/>
        <v>40.64</v>
      </c>
      <c r="E9" s="302">
        <f t="shared" si="7"/>
        <v>4.9212598425196852</v>
      </c>
      <c r="F9" s="302">
        <f t="shared" si="7"/>
        <v>60.96</v>
      </c>
      <c r="G9" s="405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14</vt:i4>
      </vt:variant>
    </vt:vector>
  </HeadingPairs>
  <TitlesOfParts>
    <vt:vector size="30" baseType="lpstr">
      <vt:lpstr>Manual rev.1</vt:lpstr>
      <vt:lpstr>Statistics</vt:lpstr>
      <vt:lpstr>Geometry</vt:lpstr>
      <vt:lpstr>Forces balance</vt:lpstr>
      <vt:lpstr>FinAeroDesign 2.0</vt:lpstr>
      <vt:lpstr>RocketAeroDesign 3.0 </vt:lpstr>
      <vt:lpstr>FBAeroDesign</vt:lpstr>
      <vt:lpstr>RocketData</vt:lpstr>
      <vt:lpstr>CFD fins</vt:lpstr>
      <vt:lpstr>CFD forebody</vt:lpstr>
      <vt:lpstr>Future CFD forebody</vt:lpstr>
      <vt:lpstr>Stability</vt:lpstr>
      <vt:lpstr>CFD fuselage</vt:lpstr>
      <vt:lpstr>CFD boat-tail</vt:lpstr>
      <vt:lpstr>CFD rocket</vt:lpstr>
      <vt:lpstr>OpenRocket</vt:lpstr>
      <vt:lpstr>FBAeroDesign!Airflow</vt:lpstr>
      <vt:lpstr>'RocketAeroDesign 3.0 '!Airflow</vt:lpstr>
      <vt:lpstr>Airflow</vt:lpstr>
      <vt:lpstr>FBAeroDesign!AoAfins</vt:lpstr>
      <vt:lpstr>'RocketAeroDesign 3.0 '!AoAfins</vt:lpstr>
      <vt:lpstr>AoAfins</vt:lpstr>
      <vt:lpstr>FBAeroDesign!AoSfins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dcterms:created xsi:type="dcterms:W3CDTF">2024-07-02T19:27:32Z</dcterms:created>
  <dcterms:modified xsi:type="dcterms:W3CDTF">2025-08-02T06:53:06Z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