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7.xml" ContentType="application/vnd.openxmlformats-officedocument.drawing+xml"/>
  <Override PartName="/xl/customProperty5.bin" ContentType="application/vnd.openxmlformats-officedocument.spreadsheetml.customProperty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Engineering\01 Repos\rocketry-aero-and-stability\"/>
    </mc:Choice>
  </mc:AlternateContent>
  <xr:revisionPtr revIDLastSave="0" documentId="13_ncr:1_{0572E3E5-077E-4D33-B409-693F263CC91C}" xr6:coauthVersionLast="47" xr6:coauthVersionMax="47" xr10:uidLastSave="{00000000-0000-0000-0000-000000000000}"/>
  <bookViews>
    <workbookView xWindow="-110" yWindow="-110" windowWidth="19420" windowHeight="11500" tabRatio="864" firstSheet="1" activeTab="6" xr2:uid="{00000000-000D-0000-FFFF-FFFF00000000}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FinAeroDesign 2.0" sheetId="17" r:id="rId5"/>
    <sheet name="RocketAeroDesign 3.0 " sheetId="24" r:id="rId6"/>
    <sheet name="CFD test1" sheetId="22" r:id="rId7"/>
    <sheet name="Future CFD forebody" sheetId="21" r:id="rId8"/>
    <sheet name="Stability" sheetId="19" r:id="rId9"/>
    <sheet name="RocketData" sheetId="14" r:id="rId10"/>
    <sheet name="CFD fuselage" sheetId="10" state="hidden" r:id="rId11"/>
    <sheet name="CFD boat-tail" sheetId="11" state="hidden" r:id="rId12"/>
    <sheet name="CFD rocket" sheetId="12" state="hidden" r:id="rId13"/>
    <sheet name="OpenRocket" sheetId="6" state="hidden" r:id="rId14"/>
  </sheets>
  <definedNames>
    <definedName name="_xlnm._FilterDatabase" localSheetId="1" hidden="1">Statistics!$A$1:$E$8</definedName>
    <definedName name="Airflow" localSheetId="5">'RocketAeroDesign 3.0 '!$B$2</definedName>
    <definedName name="Airflow">'FinAeroDesign 2.0'!$B$2</definedName>
    <definedName name="AoAfins" localSheetId="5">'RocketAeroDesign 3.0 '!$B$13</definedName>
    <definedName name="AoAfins">'FinAeroDesign 2.0'!$B$9</definedName>
    <definedName name="AoSfins" localSheetId="5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22" l="1"/>
  <c r="F62" i="22"/>
  <c r="D62" i="22"/>
  <c r="E62" i="22"/>
  <c r="C63" i="22"/>
  <c r="D63" i="22"/>
  <c r="E63" i="22"/>
  <c r="F63" i="22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C7" i="21" l="1"/>
  <c r="F7" i="21"/>
  <c r="E7" i="21"/>
  <c r="C15" i="24"/>
  <c r="C16" i="24"/>
  <c r="C21" i="24"/>
  <c r="C12" i="24" s="1"/>
  <c r="C2" i="24" s="1"/>
  <c r="C23" i="24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I22" i="24"/>
  <c r="K23" i="24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C41" i="24" l="1"/>
  <c r="C42" i="24" s="1"/>
  <c r="C55" i="24" s="1"/>
  <c r="C57" i="24" s="1"/>
  <c r="C22" i="24"/>
  <c r="C51" i="24"/>
  <c r="C52" i="24" s="1"/>
  <c r="C168" i="24"/>
  <c r="C56" i="24"/>
  <c r="C64" i="24"/>
  <c r="C75" i="24"/>
  <c r="C3" i="24"/>
  <c r="C109" i="24" s="1"/>
  <c r="C4" i="24"/>
  <c r="C30" i="24" s="1"/>
  <c r="C32" i="24" s="1"/>
  <c r="C5" i="24"/>
  <c r="C29" i="24" s="1"/>
  <c r="C31" i="24" s="1"/>
  <c r="C11" i="24"/>
  <c r="C19" i="24"/>
  <c r="C20" i="24" s="1"/>
  <c r="C24" i="24" s="1"/>
  <c r="C229" i="24"/>
  <c r="J19" i="24"/>
  <c r="J20" i="24" s="1"/>
  <c r="J33" i="24" s="1"/>
  <c r="D40" i="24"/>
  <c r="D192" i="24" s="1"/>
  <c r="J23" i="24"/>
  <c r="J24" i="24" s="1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103" i="24" l="1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G29" i="24"/>
  <c r="G31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G115" i="24"/>
  <c r="G114" i="24"/>
  <c r="G105" i="24"/>
  <c r="H11" i="24"/>
  <c r="H3" i="24"/>
  <c r="H202" i="24" s="1"/>
  <c r="H212" i="24" s="1"/>
  <c r="H4" i="24"/>
  <c r="H5" i="24"/>
  <c r="D65" i="24"/>
  <c r="D76" i="24"/>
  <c r="D87" i="24" s="1"/>
  <c r="I244" i="24"/>
  <c r="G201" i="24"/>
  <c r="G211" i="24" s="1"/>
  <c r="G197" i="24"/>
  <c r="G207" i="24" s="1"/>
  <c r="G199" i="24"/>
  <c r="G209" i="24" s="1"/>
  <c r="G200" i="24"/>
  <c r="G210" i="24" s="1"/>
  <c r="G202" i="24"/>
  <c r="G212" i="24" s="1"/>
  <c r="G198" i="24"/>
  <c r="G208" i="24" s="1"/>
  <c r="G194" i="24"/>
  <c r="G204" i="24" s="1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G113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G195" i="24" l="1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H77" i="24"/>
  <c r="H88" i="24" s="1"/>
  <c r="H66" i="24"/>
  <c r="F200" i="24"/>
  <c r="F210" i="24" s="1"/>
  <c r="G87" i="24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232" i="24" l="1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C9" i="21" l="1"/>
  <c r="D9" i="21"/>
  <c r="E9" i="21"/>
  <c r="F9" i="21"/>
  <c r="F8" i="21"/>
  <c r="C8" i="21"/>
  <c r="D8" i="21"/>
  <c r="E8" i="21"/>
  <c r="I80" i="24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F137" i="24" l="1"/>
  <c r="F148" i="24" s="1"/>
  <c r="F136" i="24"/>
  <c r="F147" i="24" s="1"/>
  <c r="I92" i="24"/>
  <c r="C217" i="24"/>
  <c r="C218" i="24"/>
  <c r="C69" i="24"/>
  <c r="C80" i="24"/>
  <c r="C91" i="24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C138" i="24" l="1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E18" i="17" l="1"/>
  <c r="C71" i="24"/>
  <c r="C82" i="24"/>
  <c r="C93" i="24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J96" i="24" s="1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C7" i="17"/>
  <c r="C4" i="17"/>
  <c r="C26" i="17" s="1"/>
  <c r="C28" i="17" s="1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K5" i="17" l="1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J97" i="24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G25" i="17" s="1"/>
  <c r="G27" i="17" s="1"/>
  <c r="H29" i="17"/>
  <c r="C5" i="17"/>
  <c r="C25" i="17" s="1"/>
  <c r="C27" i="17" s="1"/>
  <c r="C29" i="17"/>
  <c r="I3" i="17"/>
  <c r="I110" i="17" s="1"/>
  <c r="I5" i="17"/>
  <c r="I25" i="17" s="1"/>
  <c r="I27" i="17" s="1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8" i="17"/>
  <c r="G106" i="17"/>
  <c r="G110" i="17"/>
  <c r="G26" i="17"/>
  <c r="G28" i="17" s="1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G109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I108" i="17" l="1"/>
  <c r="I107" i="17"/>
  <c r="J107" i="17"/>
  <c r="I106" i="17"/>
  <c r="I100" i="17"/>
  <c r="J143" i="24"/>
  <c r="J156" i="24" s="1"/>
  <c r="J158" i="24" s="1"/>
  <c r="G107" i="17"/>
  <c r="G103" i="17"/>
  <c r="I99" i="17"/>
  <c r="I103" i="17"/>
  <c r="C84" i="24"/>
  <c r="C73" i="24"/>
  <c r="C85" i="24" s="1"/>
  <c r="C95" i="24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4" i="24" l="1"/>
  <c r="J157" i="24" s="1"/>
  <c r="H96" i="24"/>
  <c r="J159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97" i="24" s="1"/>
  <c r="D143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H143" i="24" l="1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K156" i="24"/>
  <c r="K158" i="24" s="1"/>
  <c r="H225" i="24"/>
  <c r="G96" i="24"/>
  <c r="G226" i="24" s="1"/>
  <c r="K231" i="24"/>
  <c r="H227" i="24"/>
  <c r="H228" i="24" s="1"/>
  <c r="H231" i="24" s="1"/>
  <c r="G95" i="24"/>
  <c r="D231" i="24"/>
  <c r="G152" i="24"/>
  <c r="G144" i="24"/>
  <c r="G155" i="24" s="1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F156" i="24" l="1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63" i="17"/>
  <c r="K85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L38" i="16"/>
  <c r="N36" i="16"/>
  <c r="N37" i="16"/>
  <c r="N35" i="16"/>
  <c r="N48" i="16"/>
  <c r="N45" i="16"/>
  <c r="N50" i="16"/>
  <c r="L50" i="16" s="1"/>
  <c r="N40" i="16"/>
  <c r="L40" i="16" s="1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D60" i="14" s="1"/>
  <c r="C61" i="14"/>
  <c r="C62" i="14"/>
  <c r="C63" i="14"/>
  <c r="C64" i="14"/>
  <c r="D64" i="14" s="1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3" i="14" l="1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N41" i="16"/>
  <c r="L41" i="16" s="1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AA6" i="8" s="1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F65" i="22" l="1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I96" i="17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B62" i="22" l="1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I221" i="17" s="1"/>
  <c r="J210" i="17"/>
  <c r="J219" i="17" s="1"/>
  <c r="H210" i="17"/>
  <c r="H221" i="17" s="1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I91" i="17" s="1"/>
  <c r="F89" i="17"/>
  <c r="C90" i="17"/>
  <c r="B64" i="17"/>
  <c r="B75" i="17"/>
  <c r="C195" i="4"/>
  <c r="C169" i="4"/>
  <c r="C174" i="4" l="1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C28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3" i="16"/>
  <c r="I52" i="16"/>
  <c r="H52" i="16"/>
  <c r="G52" i="16"/>
  <c r="I50" i="16"/>
  <c r="H50" i="16"/>
  <c r="G50" i="16"/>
  <c r="I47" i="16"/>
  <c r="H47" i="16"/>
  <c r="G47" i="16"/>
  <c r="I46" i="16"/>
  <c r="H46" i="16"/>
  <c r="G46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7" i="17"/>
  <c r="F214" i="17"/>
  <c r="F216" i="17"/>
  <c r="F218" i="17"/>
  <c r="F213" i="17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3" i="16"/>
  <c r="F53" i="16" s="1"/>
  <c r="R20" i="16"/>
  <c r="Q20" i="16"/>
  <c r="R19" i="16"/>
  <c r="G53" i="16"/>
  <c r="D53" i="16" s="1"/>
  <c r="R22" i="16"/>
  <c r="H53" i="16"/>
  <c r="E53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2" i="17" l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6" i="16"/>
  <c r="N47" i="16"/>
  <c r="N51" i="16" l="1"/>
  <c r="L51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F22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A1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T2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6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<sst xmlns="http://schemas.openxmlformats.org/spreadsheetml/2006/main" count="1093" uniqueCount="681">
  <si>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</si>
  <si>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</si>
  <si>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</si>
  <si>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</si>
  <si>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</si>
  <si>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</si>
  <si>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</si>
  <si>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</si>
  <si>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</si>
  <si>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</si>
  <si>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</si>
  <si>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</si>
  <si>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</si>
  <si>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</si>
  <si>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</si>
  <si>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</si>
  <si>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</si>
  <si>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</si>
  <si>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</si>
  <si>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</si>
  <si>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</si>
  <si>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</si>
  <si>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</si>
  <si>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</si>
  <si>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</si>
  <si>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</si>
  <si>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</si>
  <si>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</si>
  <si>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</si>
  <si>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</si>
  <si>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</si>
  <si>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</si>
  <si>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</si>
  <si>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</si>
  <si>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</si>
  <si>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</si>
  <si>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</si>
  <si>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</si>
  <si>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</si>
  <si>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</si>
  <si>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</si>
  <si>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</si>
  <si>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</si>
  <si>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</si>
  <si>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</si>
  <si>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</si>
  <si>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</si>
  <si>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</si>
  <si>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</si>
  <si>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</si>
  <si>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</si>
  <si>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</si>
  <si>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</si>
  <si>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</si>
  <si>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</si>
  <si>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</si>
  <si>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</si>
  <si>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</si>
  <si>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</si>
  <si>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</si>
  <si>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</si>
  <si>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</si>
  <si>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</si>
  <si>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</si>
  <si>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</si>
  <si>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</si>
  <si>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</si>
  <si>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</si>
  <si>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</si>
  <si>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</si>
  <si>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</si>
  <si>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</si>
  <si>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</si>
  <si>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</si>
  <si>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</si>
  <si>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</si>
  <si>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</si>
  <si>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</si>
  <si>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</si>
  <si>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</si>
  <si>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</si>
  <si>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</si>
  <si>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</si>
  <si>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</si>
  <si>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</si>
  <si>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</si>
  <si>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</si>
  <si>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</si>
  <si>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</si>
  <si>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</si>
  <si>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</si>
  <si>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</si>
  <si>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</si>
  <si>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</si>
  <si>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</si>
  <si>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</si>
  <si>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</si>
  <si>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</si>
  <si>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</si>
  <si>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</si>
  <si>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</si>
  <si>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</si>
  <si>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</si>
  <si>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</si>
  <si>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</si>
  <si>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</si>
  <si>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</si>
  <si>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</si>
  <si>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</si>
  <si>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</si>
  <si>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</si>
  <si>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</si>
  <si>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</si>
  <si>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</si>
  <si>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</si>
  <si>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</si>
  <si>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</si>
  <si>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</si>
  <si>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</si>
  <si>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</si>
  <si>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</si>
  <si>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</si>
  <si>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</si>
  <si>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</si>
  <si>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</si>
  <si>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</si>
  <si>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</si>
  <si>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</si>
  <si>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</si>
  <si>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</si>
  <si>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</si>
  <si>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</si>
  <si>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</si>
  <si>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</si>
  <si>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</si>
  <si>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</si>
  <si>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</si>
  <si>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</si>
  <si>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</si>
  <si>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</si>
  <si>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</si>
  <si>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</si>
  <si>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</si>
  <si>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</si>
  <si>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</si>
  <si>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</si>
  <si>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</si>
  <si>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</si>
  <si>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</si>
  <si>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</si>
  <si>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</si>
  <si>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</si>
  <si>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</si>
  <si>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</si>
  <si>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</si>
  <si>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</si>
  <si>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</si>
  <si>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</si>
  <si>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</si>
  <si>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</si>
  <si>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</si>
  <si>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</si>
  <si>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</si>
  <si>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</si>
  <si>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</si>
  <si>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</si>
  <si>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</si>
  <si>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</si>
  <si>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</si>
  <si>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</si>
  <si>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</si>
  <si>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</si>
  <si>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</si>
  <si>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</si>
  <si>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</si>
  <si>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</si>
  <si>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</si>
  <si>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</si>
  <si>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</si>
  <si>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</si>
  <si>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</si>
  <si>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</si>
  <si>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</si>
  <si>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</si>
  <si>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</si>
  <si>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</si>
  <si>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</si>
  <si>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</si>
  <si>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</si>
  <si>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</si>
  <si>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</si>
  <si>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</si>
  <si>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</si>
  <si>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</si>
  <si>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</si>
  <si>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</si>
  <si>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</si>
  <si>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</si>
  <si>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</si>
  <si>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</si>
  <si>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</si>
  <si>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</si>
  <si>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</si>
  <si>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</si>
  <si>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</si>
  <si>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</si>
  <si>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</si>
  <si>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</si>
  <si>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</si>
  <si>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</si>
  <si>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</si>
  <si>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</si>
  <si>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</si>
  <si>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</si>
  <si>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</si>
  <si>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</si>
  <si>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</si>
  <si>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</si>
  <si>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</si>
  <si>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</si>
  <si>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</si>
  <si>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</si>
  <si>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</si>
  <si>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</si>
  <si>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</si>
  <si>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</si>
  <si>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</si>
  <si>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</si>
  <si>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</si>
  <si>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</si>
  <si>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</si>
  <si>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</si>
  <si>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</si>
  <si>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</si>
  <si>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</si>
  <si>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</si>
  <si>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</si>
  <si>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</si>
  <si>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</si>
  <si>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</si>
  <si>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</si>
  <si>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</si>
  <si>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</si>
  <si>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</si>
  <si>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</si>
  <si>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</si>
  <si>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</si>
  <si>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</si>
  <si>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</si>
  <si>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</si>
  <si>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</si>
  <si>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</si>
  <si>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</si>
  <si>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</si>
  <si>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</si>
  <si>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</si>
  <si>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</si>
  <si>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</si>
  <si>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</si>
  <si>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</si>
  <si>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</si>
  <si>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</si>
  <si>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</si>
  <si>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</si>
  <si>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</si>
  <si>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</si>
  <si>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</si>
  <si>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</si>
  <si>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</si>
  <si>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</si>
  <si>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</si>
  <si>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</si>
  <si>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</si>
  <si>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</si>
  <si>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</si>
  <si>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</si>
  <si>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</si>
  <si>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</si>
  <si>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</si>
  <si>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</si>
  <si>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</si>
  <si>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</si>
  <si>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</si>
  <si>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</si>
  <si>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</si>
  <si>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</si>
  <si>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Tubo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</si>
  <si>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</si>
  <si>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</si>
  <si>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</si>
  <si>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</si>
  <si>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</si>
  <si>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</si>
  <si>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</si>
  <si>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</si>
  <si>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</si>
  <si>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</si>
  <si>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</si>
  <si>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</si>
  <si>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</si>
  <si>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</si>
  <si>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</si>
  <si>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</si>
  <si>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</si>
  <si>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</si>
  <si>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</si>
  <si>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</si>
  <si>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</si>
  <si>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</si>
  <si>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</si>
  <si>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</si>
  <si>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</si>
  <si>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Por aleta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</si>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</sst>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</numFmts>
  <fonts count="18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0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5" fontId="0" fillId="2" borderId="0" xfId="0" applyNumberForma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441136"/>
        <c:axId val="487443880"/>
      </c:scatterChart>
      <c:valAx>
        <c:axId val="487441136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443880"/>
        <c:crosses val="autoZero"/>
        <c:crossBetween val="midCat"/>
        <c:majorUnit val="0.30000000000000004"/>
        <c:minorUnit val="0.30000000000000004"/>
      </c:valAx>
      <c:valAx>
        <c:axId val="4874438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441136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433688"/>
        <c:axId val="487439176"/>
      </c:scatterChart>
      <c:valAx>
        <c:axId val="48743368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87439176"/>
        <c:crossesAt val="0"/>
        <c:crossBetween val="midCat"/>
      </c:valAx>
      <c:valAx>
        <c:axId val="48743917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87433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898576"/>
        <c:axId val="583908768"/>
      </c:scatterChart>
      <c:valAx>
        <c:axId val="583898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908768"/>
        <c:crosses val="autoZero"/>
        <c:crossBetween val="midCat"/>
      </c:valAx>
      <c:valAx>
        <c:axId val="58390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8985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915824"/>
        <c:axId val="583916608"/>
      </c:scatterChart>
      <c:valAx>
        <c:axId val="583915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916608"/>
        <c:crosses val="autoZero"/>
        <c:crossBetween val="midCat"/>
      </c:valAx>
      <c:valAx>
        <c:axId val="58391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915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889560"/>
        <c:axId val="583891912"/>
      </c:scatterChart>
      <c:valAx>
        <c:axId val="583889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891912"/>
        <c:crosses val="autoZero"/>
        <c:crossBetween val="midCat"/>
      </c:valAx>
      <c:valAx>
        <c:axId val="583891912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889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4400"/>
        <c:axId val="330950480"/>
      </c:scatterChart>
      <c:valAx>
        <c:axId val="330954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0480"/>
        <c:crosses val="autoZero"/>
        <c:crossBetween val="midCat"/>
      </c:valAx>
      <c:valAx>
        <c:axId val="33095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4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0872"/>
        <c:axId val="33095126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33095087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1264"/>
        <c:crosses val="autoZero"/>
        <c:crossBetween val="midCat"/>
      </c:valAx>
      <c:valAx>
        <c:axId val="33095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08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3616"/>
        <c:axId val="330954008"/>
      </c:scatterChart>
      <c:valAx>
        <c:axId val="330953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4008"/>
        <c:crosses val="autoZero"/>
        <c:crossBetween val="midCat"/>
      </c:valAx>
      <c:valAx>
        <c:axId val="330954008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3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5184"/>
        <c:axId val="330948128"/>
      </c:scatterChart>
      <c:valAx>
        <c:axId val="330955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48128"/>
        <c:crosses val="autoZero"/>
        <c:crossBetween val="midCat"/>
      </c:valAx>
      <c:valAx>
        <c:axId val="33094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5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619480"/>
        <c:axId val="333617520"/>
      </c:scatterChart>
      <c:valAx>
        <c:axId val="333619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7520"/>
        <c:crosses val="autoZero"/>
        <c:crossBetween val="midCat"/>
      </c:valAx>
      <c:valAx>
        <c:axId val="33361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9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58.959825599501713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58.959825599501713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621832"/>
        <c:axId val="333615168"/>
      </c:scatterChart>
      <c:valAx>
        <c:axId val="333621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5168"/>
        <c:crosses val="autoZero"/>
        <c:crossBetween val="midCat"/>
      </c:valAx>
      <c:valAx>
        <c:axId val="33361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21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58.959825599501713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618696"/>
        <c:axId val="333615560"/>
      </c:scatterChart>
      <c:valAx>
        <c:axId val="333618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5560"/>
        <c:crosses val="autoZero"/>
        <c:crossBetween val="midCat"/>
      </c:valAx>
      <c:valAx>
        <c:axId val="333615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8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709504"/>
        <c:axId val="332711072"/>
      </c:scatterChart>
      <c:valAx>
        <c:axId val="332709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1072"/>
        <c:crosses val="autoZero"/>
        <c:crossBetween val="midCat"/>
      </c:valAx>
      <c:valAx>
        <c:axId val="33271107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09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712248"/>
        <c:axId val="332712640"/>
      </c:scatterChart>
      <c:valAx>
        <c:axId val="332712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2640"/>
        <c:crosses val="autoZero"/>
        <c:crossBetween val="midCat"/>
      </c:valAx>
      <c:valAx>
        <c:axId val="33271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2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713424"/>
        <c:axId val="332713816"/>
      </c:scatterChart>
      <c:valAx>
        <c:axId val="332713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3816"/>
        <c:crosses val="autoZero"/>
        <c:crossBetween val="midCat"/>
      </c:valAx>
      <c:valAx>
        <c:axId val="33271381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3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5065248"/>
        <c:axId val="335070344"/>
      </c:scatterChart>
      <c:valAx>
        <c:axId val="335065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70344"/>
        <c:crosses val="autoZero"/>
        <c:crossBetween val="midCat"/>
      </c:valAx>
      <c:valAx>
        <c:axId val="335070344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65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5070736"/>
        <c:axId val="335071128"/>
      </c:scatterChart>
      <c:valAx>
        <c:axId val="33507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71128"/>
        <c:crosses val="autoZero"/>
        <c:crossBetween val="midCat"/>
      </c:valAx>
      <c:valAx>
        <c:axId val="335071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70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859888"/>
        <c:axId val="331860672"/>
      </c:scatterChart>
      <c:valAx>
        <c:axId val="331859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1860672"/>
        <c:crosses val="autoZero"/>
        <c:crossBetween val="midCat"/>
      </c:valAx>
      <c:valAx>
        <c:axId val="33186067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1859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5911856"/>
        <c:axId val="1905909936"/>
      </c:scatterChart>
      <c:valAx>
        <c:axId val="1905911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5909936"/>
        <c:crosses val="autoZero"/>
        <c:crossBetween val="midCat"/>
      </c:valAx>
      <c:valAx>
        <c:axId val="190590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5911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861456"/>
        <c:axId val="331861848"/>
      </c:scatterChart>
      <c:valAx>
        <c:axId val="331861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861848"/>
        <c:crosses val="autoZero"/>
        <c:crossBetween val="midCat"/>
      </c:valAx>
      <c:valAx>
        <c:axId val="33186184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861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099488"/>
        <c:axId val="482102232"/>
      </c:scatterChart>
      <c:valAx>
        <c:axId val="482099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102232"/>
        <c:crosses val="autoZero"/>
        <c:crossBetween val="midCat"/>
      </c:valAx>
      <c:valAx>
        <c:axId val="482102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099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2095176"/>
        <c:axId val="482097136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5807872"/>
        <c:axId val="482095960"/>
      </c:lineChart>
      <c:catAx>
        <c:axId val="482095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097136"/>
        <c:crosses val="autoZero"/>
        <c:auto val="1"/>
        <c:lblAlgn val="ctr"/>
        <c:lblOffset val="100"/>
        <c:noMultiLvlLbl val="0"/>
      </c:catAx>
      <c:valAx>
        <c:axId val="48209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095176"/>
        <c:crosses val="autoZero"/>
        <c:crossBetween val="between"/>
      </c:valAx>
      <c:valAx>
        <c:axId val="482095960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807872"/>
        <c:crosses val="max"/>
        <c:crossBetween val="between"/>
      </c:valAx>
      <c:catAx>
        <c:axId val="4058078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20959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5811792"/>
        <c:axId val="405805520"/>
      </c:scatterChart>
      <c:valAx>
        <c:axId val="405811792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805520"/>
        <c:crosses val="autoZero"/>
        <c:crossBetween val="midCat"/>
      </c:valAx>
      <c:valAx>
        <c:axId val="40580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811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chart" Target="../charts/chart18.xml"/><Relationship Id="rId7" Type="http://schemas.openxmlformats.org/officeDocument/2006/relationships/image" Target="../media/image8.png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image" Target="../media/image10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17.png"/><Relationship Id="rId3" Type="http://schemas.openxmlformats.org/officeDocument/2006/relationships/chart" Target="../charts/chart22.xml"/><Relationship Id="rId7" Type="http://schemas.openxmlformats.org/officeDocument/2006/relationships/image" Target="../media/image16.png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image" Target="../media/image15.png"/><Relationship Id="rId5" Type="http://schemas.openxmlformats.org/officeDocument/2006/relationships/image" Target="../media/image14.png"/><Relationship Id="rId4" Type="http://schemas.openxmlformats.org/officeDocument/2006/relationships/chart" Target="../charts/chart23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96CF88-4D17-58E0-4547-0F4FEA49BBCA}"/>
            </a:ext>
            <a:ext uri="{147F2762-F138-4A5C-976F-8EAC2B608ADB}">
              <a16:predDERef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EB7F2F-3037-0F02-65F4-9470FC24037D}"/>
            </a:ext>
            <a:ext uri="{147F2762-F138-4A5C-976F-8EAC2B608ADB}">
              <a16:predDERef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E1B4768-DDEF-37F2-E2F6-DF6922649F41}"/>
            </a:ext>
            <a:ext uri="{147F2762-F138-4A5C-976F-8EAC2B608ADB}">
              <a16:predDERef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28D49A-3629-4BBF-9581-DB9D69B8A541}"/>
            </a:ext>
            <a:ext uri="{147F2762-F138-4A5C-976F-8EAC2B608ADB}">
              <a16:predDERef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05D049-9711-4AD6-8388-EAF961A55C4C}"/>
            </a:ext>
            <a:ext uri="{147F2762-F138-4A5C-976F-8EAC2B608ADB}">
              <a16:predDERef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CC32F9-70E7-407E-A2B4-7366728088AD}"/>
            </a:ext>
            <a:ext uri="{147F2762-F138-4A5C-976F-8EAC2B608ADB}">
              <a16:predDERef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0CC376-444D-4A69-B396-08361C76F808}"/>
            </a:ext>
            <a:ext uri="{147F2762-F138-4A5C-976F-8EAC2B608ADB}">
              <a16:predDERef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5CA873-26E1-4AC6-B585-4EB97F3C73DC}"/>
            </a:ext>
            <a:ext uri="{147F2762-F138-4A5C-976F-8EAC2B608ADB}">
              <a16:predDERef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60D0BB-D2DB-4D29-AC4E-706AD0B20703}"/>
            </a:ext>
            <a:ext uri="{147F2762-F138-4A5C-976F-8EAC2B608ADB}">
              <a16:predDERef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8AE237-AB9B-443B-9AC6-0A486D849990}"/>
            </a:ext>
            <a:ext uri="{147F2762-F138-4A5C-976F-8EAC2B608ADB}">
              <a16:predDERef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877167B-41EB-4438-B309-3687EC1249E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3319500" y="26419737"/>
          <a:ext cx="4763793" cy="2272667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76:G81" totalsRowShown="0" headerRowDxfId="9" dataDxfId="8">
  <autoFilter ref="B76:G81" xr:uid="{00000000-0009-0000-0100-000001000000}"/>
  <tableColumns count="6">
    <tableColumn id="1" xr3:uid="{00000000-0010-0000-0000-000001000000}" name="Fin type" dataDxfId="7"/>
    <tableColumn id="2" xr3:uid="{00000000-0010-0000-0000-000002000000}" name="Sweeped" dataDxfId="6">
      <calculatedColumnFormula>I64</calculatedColumnFormula>
    </tableColumn>
    <tableColumn id="3" xr3:uid="{00000000-0010-0000-0000-000003000000}" name="Tapered 1/4" dataDxfId="5">
      <calculatedColumnFormula>K64</calculatedColumnFormula>
    </tableColumn>
    <tableColumn id="4" xr3:uid="{00000000-0010-0000-0000-000004000000}" name="Tapered sweeped" dataDxfId="4"/>
    <tableColumn id="5" xr3:uid="{00000000-0010-0000-0000-000005000000}" name="Column4" dataDxfId="3"/>
    <tableColumn id="6" xr3:uid="{00000000-0010-0000-0000-000006000000}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90625" defaultRowHeight="12.5"/>
  <cols>
    <col min="1" max="1" width="12.7265625" style="113" customWidth="1"/>
    <col min="2" max="9" width="7.26953125" style="113" customWidth="1"/>
    <col min="10" max="16384" width="8.90625" style="113"/>
  </cols>
  <sheetData>
    <row r="52" spans="1:12">
      <c r="A52" s="112"/>
      <c r="B52" s="112"/>
      <c r="C52" s="112"/>
      <c r="D52" s="112"/>
      <c r="E52" s="112"/>
      <c r="F52" s="112"/>
      <c r="G52" s="112"/>
      <c r="H52" s="112"/>
      <c r="I52" s="112"/>
      <c r="J52" s="112"/>
      <c r="K52" s="112"/>
      <c r="L52" s="112"/>
    </row>
    <row r="53" spans="1:12" ht="13.5" thickBot="1">
      <c r="A53" s="112"/>
      <c r="B53" s="114" t="s">
        <v>0</v>
      </c>
      <c r="C53" s="112"/>
      <c r="D53" s="112"/>
      <c r="E53" s="112"/>
      <c r="F53" s="112"/>
      <c r="G53" s="112"/>
      <c r="H53" s="112"/>
      <c r="I53" s="112"/>
      <c r="J53" s="112"/>
      <c r="K53" s="112"/>
      <c r="L53" s="112"/>
    </row>
    <row r="54" spans="1:12" ht="13">
      <c r="A54" s="112"/>
      <c r="B54" s="115"/>
      <c r="C54" s="112"/>
      <c r="D54" s="112"/>
      <c r="E54" s="112"/>
      <c r="F54" s="112"/>
      <c r="G54" s="112"/>
      <c r="H54" s="112"/>
      <c r="I54" s="112"/>
      <c r="J54" s="112"/>
      <c r="K54" s="112"/>
      <c r="L54" s="112"/>
    </row>
    <row r="55" spans="1:12" ht="13" thickBot="1">
      <c r="A55" s="112"/>
      <c r="B55" s="116" t="s">
        <v>1</v>
      </c>
      <c r="C55" s="112"/>
      <c r="D55" s="112"/>
      <c r="E55" s="112"/>
      <c r="F55" s="112"/>
      <c r="G55" s="112"/>
      <c r="H55" s="112"/>
      <c r="I55" s="112"/>
      <c r="J55" s="112"/>
      <c r="K55" s="112"/>
      <c r="L55" s="112"/>
    </row>
    <row r="56" spans="1:12">
      <c r="A56" s="112"/>
      <c r="B56" s="112" t="s">
        <v>2</v>
      </c>
      <c r="C56" s="112"/>
      <c r="D56" s="112"/>
      <c r="E56" s="112"/>
      <c r="F56" s="112"/>
      <c r="G56" s="112"/>
      <c r="H56" s="112"/>
      <c r="I56" s="112"/>
      <c r="J56" s="112"/>
      <c r="K56" s="112"/>
      <c r="L56" s="112"/>
    </row>
    <row r="57" spans="1:12">
      <c r="A57" s="112"/>
      <c r="B57" s="112" t="s">
        <v>3</v>
      </c>
      <c r="C57" s="112"/>
      <c r="D57" s="112"/>
      <c r="E57" s="112"/>
      <c r="F57" s="112"/>
      <c r="G57" s="112"/>
      <c r="H57" s="112"/>
      <c r="I57" s="112"/>
      <c r="J57" s="112"/>
      <c r="K57" s="112"/>
      <c r="L57" s="112"/>
    </row>
    <row r="58" spans="1:12">
      <c r="A58" s="112"/>
      <c r="B58" s="112" t="s">
        <v>4</v>
      </c>
      <c r="C58" s="112"/>
      <c r="D58" s="112"/>
      <c r="E58" s="112"/>
      <c r="F58" s="112"/>
      <c r="G58" s="112"/>
      <c r="H58" s="112"/>
      <c r="I58" s="112"/>
      <c r="J58" s="112"/>
      <c r="K58" s="112"/>
      <c r="L58" s="112"/>
    </row>
    <row r="59" spans="1:12">
      <c r="A59" s="112"/>
      <c r="B59" s="112" t="s">
        <v>5</v>
      </c>
      <c r="C59" s="112"/>
      <c r="D59" s="112"/>
      <c r="E59" s="112"/>
      <c r="F59" s="112"/>
      <c r="G59" s="112"/>
      <c r="H59" s="112"/>
      <c r="I59" s="112"/>
      <c r="J59" s="112"/>
      <c r="K59" s="112"/>
      <c r="L59" s="112"/>
    </row>
    <row r="60" spans="1:12">
      <c r="A60" s="112"/>
      <c r="B60" s="112" t="s">
        <v>6</v>
      </c>
      <c r="C60" s="112"/>
      <c r="D60" s="112"/>
      <c r="E60" s="112"/>
      <c r="F60" s="112"/>
      <c r="G60" s="112"/>
      <c r="H60" s="112"/>
      <c r="I60" s="112"/>
      <c r="J60" s="112"/>
      <c r="K60" s="112"/>
      <c r="L60" s="112"/>
    </row>
    <row r="61" spans="1:12">
      <c r="A61" s="112"/>
      <c r="B61" s="112" t="s">
        <v>7</v>
      </c>
      <c r="C61" s="112"/>
      <c r="D61" s="112"/>
      <c r="E61" s="112"/>
      <c r="F61" s="112"/>
      <c r="G61" s="112"/>
      <c r="H61" s="112"/>
      <c r="I61" s="112"/>
      <c r="J61" s="112"/>
      <c r="K61" s="112"/>
      <c r="L61" s="112"/>
    </row>
    <row r="62" spans="1:12" ht="13">
      <c r="A62" s="112"/>
      <c r="B62" s="112" t="s">
        <v>8</v>
      </c>
      <c r="C62" s="112"/>
      <c r="D62" s="112"/>
      <c r="E62" s="112"/>
      <c r="F62" s="112"/>
      <c r="G62" s="112"/>
      <c r="H62" s="112"/>
      <c r="I62" s="115"/>
      <c r="J62" s="112"/>
      <c r="K62" s="112"/>
      <c r="L62" s="112"/>
    </row>
    <row r="63" spans="1:12">
      <c r="A63" s="112"/>
      <c r="B63" s="112" t="s">
        <v>9</v>
      </c>
      <c r="C63" s="112"/>
      <c r="D63" s="112"/>
      <c r="E63" s="112"/>
      <c r="F63" s="112"/>
      <c r="G63" s="112"/>
      <c r="H63" s="112"/>
      <c r="I63" s="112"/>
      <c r="J63" s="112"/>
      <c r="K63" s="112"/>
      <c r="L63" s="112"/>
    </row>
    <row r="64" spans="1:12">
      <c r="A64" s="112"/>
      <c r="B64" s="112" t="s">
        <v>10</v>
      </c>
      <c r="C64" s="112"/>
      <c r="D64" s="112"/>
      <c r="E64" s="112"/>
      <c r="F64" s="112"/>
      <c r="G64" s="112"/>
      <c r="H64" s="112"/>
      <c r="I64" s="112"/>
      <c r="J64" s="112"/>
      <c r="K64" s="112"/>
      <c r="L64" s="112"/>
    </row>
    <row r="65" spans="1:12">
      <c r="A65" s="112"/>
      <c r="B65" s="112" t="s">
        <v>11</v>
      </c>
      <c r="C65" s="112"/>
      <c r="D65" s="112"/>
      <c r="E65" s="112"/>
      <c r="F65" s="112"/>
      <c r="G65" s="112"/>
      <c r="H65" s="112"/>
      <c r="I65" s="112"/>
      <c r="J65" s="112"/>
      <c r="K65" s="112"/>
      <c r="L65" s="112"/>
    </row>
    <row r="66" spans="1:12">
      <c r="A66" s="112"/>
      <c r="B66" s="112" t="s">
        <v>12</v>
      </c>
      <c r="C66" s="112"/>
      <c r="D66" s="112"/>
      <c r="E66" s="112"/>
      <c r="F66" s="112"/>
      <c r="G66" s="112"/>
      <c r="H66" s="112"/>
      <c r="I66" s="112"/>
      <c r="J66" s="112"/>
      <c r="K66" s="112"/>
      <c r="L66" s="112"/>
    </row>
    <row r="67" spans="1:12">
      <c r="A67" s="112"/>
      <c r="B67" s="112" t="s">
        <v>13</v>
      </c>
      <c r="C67" s="112"/>
      <c r="D67" s="112"/>
      <c r="E67" s="112"/>
      <c r="F67" s="112"/>
      <c r="G67" s="112"/>
      <c r="H67" s="112"/>
      <c r="I67" s="112"/>
      <c r="J67" s="112"/>
      <c r="K67" s="112"/>
      <c r="L67" s="112"/>
    </row>
    <row r="68" spans="1:12">
      <c r="A68" s="112"/>
      <c r="B68" s="112" t="s">
        <v>14</v>
      </c>
      <c r="C68" s="112"/>
      <c r="D68" s="112"/>
      <c r="E68" s="112"/>
      <c r="F68" s="112"/>
      <c r="G68" s="112"/>
      <c r="H68" s="112"/>
      <c r="I68" s="112"/>
      <c r="J68" s="112"/>
      <c r="K68" s="112"/>
      <c r="L68" s="112"/>
    </row>
    <row r="69" spans="1:12">
      <c r="A69" s="112"/>
      <c r="B69" s="112" t="s">
        <v>15</v>
      </c>
      <c r="C69" s="112"/>
      <c r="D69" s="112"/>
      <c r="E69" s="112"/>
      <c r="F69" s="112"/>
      <c r="G69" s="112"/>
      <c r="H69" s="112"/>
      <c r="I69" s="112"/>
      <c r="J69" s="112"/>
      <c r="K69" s="112"/>
      <c r="L69" s="112"/>
    </row>
    <row r="70" spans="1:12">
      <c r="A70" s="112"/>
      <c r="B70" s="112" t="s">
        <v>16</v>
      </c>
      <c r="C70" s="112"/>
      <c r="D70" s="112"/>
      <c r="E70" s="112"/>
      <c r="F70" s="112"/>
      <c r="G70" s="112"/>
      <c r="H70" s="112"/>
      <c r="I70" s="112"/>
      <c r="J70" s="112"/>
      <c r="K70" s="112"/>
      <c r="L70" s="112"/>
    </row>
    <row r="71" spans="1:12">
      <c r="A71" s="112"/>
      <c r="B71" s="112" t="s">
        <v>17</v>
      </c>
      <c r="C71" s="112"/>
      <c r="D71" s="112"/>
      <c r="E71" s="112"/>
      <c r="F71" s="112"/>
      <c r="G71" s="112"/>
      <c r="H71" s="112"/>
      <c r="I71" s="112"/>
      <c r="J71" s="112"/>
      <c r="K71" s="112"/>
      <c r="L71" s="112"/>
    </row>
    <row r="72" spans="1:12">
      <c r="A72" s="112"/>
      <c r="B72" s="112" t="s">
        <v>18</v>
      </c>
      <c r="C72" s="112"/>
      <c r="D72" s="112"/>
      <c r="E72" s="112"/>
      <c r="F72" s="112"/>
      <c r="G72" s="112"/>
      <c r="H72" s="112"/>
      <c r="I72" s="112"/>
      <c r="J72" s="112"/>
      <c r="K72" s="112"/>
      <c r="L72" s="112"/>
    </row>
    <row r="73" spans="1:12">
      <c r="A73" s="112"/>
      <c r="B73" s="112" t="s">
        <v>19</v>
      </c>
      <c r="C73" s="112"/>
      <c r="D73" s="112"/>
      <c r="E73" s="112"/>
      <c r="F73" s="112"/>
      <c r="G73" s="112"/>
      <c r="H73" s="112"/>
      <c r="I73" s="112"/>
      <c r="J73" s="112"/>
      <c r="K73" s="112"/>
      <c r="L73" s="112"/>
    </row>
    <row r="74" spans="1:12">
      <c r="A74" s="112"/>
      <c r="B74" s="112" t="s">
        <v>20</v>
      </c>
      <c r="C74" s="112"/>
      <c r="D74" s="112"/>
      <c r="E74" s="112"/>
      <c r="F74" s="112"/>
      <c r="G74" s="112"/>
      <c r="H74" s="112"/>
      <c r="I74" s="112"/>
      <c r="J74" s="112"/>
      <c r="K74" s="112"/>
      <c r="L74" s="112"/>
    </row>
    <row r="75" spans="1:12">
      <c r="A75" s="112"/>
      <c r="B75" s="112" t="s">
        <v>21</v>
      </c>
      <c r="C75" s="112"/>
      <c r="D75" s="112"/>
      <c r="E75" s="112"/>
      <c r="F75" s="112"/>
      <c r="G75" s="112"/>
      <c r="H75" s="112"/>
      <c r="I75" s="112"/>
      <c r="J75" s="112"/>
      <c r="K75" s="112"/>
      <c r="L75" s="112"/>
    </row>
    <row r="76" spans="1:12">
      <c r="A76" s="112"/>
      <c r="B76" s="112" t="s">
        <v>22</v>
      </c>
      <c r="C76" s="112"/>
      <c r="D76" s="112"/>
      <c r="E76" s="112"/>
      <c r="F76" s="112"/>
      <c r="G76" s="112"/>
      <c r="H76" s="112"/>
      <c r="I76" s="112"/>
      <c r="J76" s="112"/>
      <c r="K76" s="112"/>
      <c r="L76" s="112"/>
    </row>
    <row r="77" spans="1:12">
      <c r="A77" s="112"/>
      <c r="B77" s="112" t="s">
        <v>23</v>
      </c>
      <c r="C77" s="112"/>
      <c r="D77" s="112"/>
      <c r="E77" s="112"/>
      <c r="F77" s="112"/>
      <c r="G77" s="112"/>
      <c r="H77" s="112"/>
      <c r="I77" s="112"/>
      <c r="J77" s="112"/>
      <c r="K77" s="112"/>
      <c r="L77" s="112"/>
    </row>
    <row r="78" spans="1:12">
      <c r="A78" s="112"/>
      <c r="B78" s="112" t="s">
        <v>24</v>
      </c>
      <c r="C78" s="112"/>
      <c r="D78" s="112"/>
      <c r="E78" s="112"/>
      <c r="F78" s="112"/>
      <c r="G78" s="112"/>
      <c r="H78" s="112"/>
      <c r="I78" s="112"/>
      <c r="J78" s="112"/>
      <c r="K78" s="112"/>
      <c r="L78" s="112"/>
    </row>
    <row r="79" spans="1:12">
      <c r="A79" s="112"/>
      <c r="B79" s="112" t="s">
        <v>25</v>
      </c>
      <c r="C79" s="112"/>
      <c r="D79" s="112"/>
      <c r="E79" s="112"/>
      <c r="F79" s="112"/>
      <c r="G79" s="112"/>
      <c r="H79" s="112"/>
      <c r="I79" s="112"/>
      <c r="J79" s="112"/>
      <c r="K79" s="112"/>
      <c r="L79" s="112"/>
    </row>
    <row r="80" spans="1:12">
      <c r="A80" s="112"/>
      <c r="B80" s="112" t="s">
        <v>26</v>
      </c>
      <c r="C80" s="112"/>
      <c r="D80" s="112"/>
      <c r="E80" s="112"/>
      <c r="F80" s="112"/>
      <c r="G80" s="112"/>
      <c r="H80" s="112"/>
      <c r="I80" s="112"/>
      <c r="J80" s="112"/>
      <c r="K80" s="112"/>
      <c r="L80" s="112"/>
    </row>
    <row r="81" spans="1:12">
      <c r="A81" s="112"/>
      <c r="B81" s="112" t="s">
        <v>27</v>
      </c>
      <c r="C81" s="112"/>
      <c r="D81" s="112"/>
      <c r="E81" s="112"/>
      <c r="F81" s="112"/>
      <c r="G81" s="112"/>
      <c r="H81" s="112"/>
      <c r="I81" s="112"/>
      <c r="J81" s="112"/>
      <c r="K81" s="112"/>
      <c r="L81" s="112"/>
    </row>
    <row r="82" spans="1:12">
      <c r="A82" s="112"/>
      <c r="B82" s="112" t="s">
        <v>28</v>
      </c>
      <c r="C82" s="112"/>
      <c r="D82" s="112"/>
      <c r="E82" s="112"/>
      <c r="F82" s="112"/>
      <c r="G82" s="112"/>
      <c r="H82" s="112"/>
      <c r="I82" s="112"/>
      <c r="J82" s="112"/>
      <c r="K82" s="112"/>
      <c r="L82" s="112"/>
    </row>
    <row r="83" spans="1:12">
      <c r="A83" s="112"/>
      <c r="B83" s="112" t="s">
        <v>29</v>
      </c>
      <c r="C83" s="112"/>
      <c r="D83" s="112"/>
      <c r="E83" s="112"/>
      <c r="F83" s="112"/>
      <c r="G83" s="112"/>
      <c r="H83" s="112"/>
      <c r="I83" s="112"/>
      <c r="J83" s="112"/>
      <c r="K83" s="112"/>
      <c r="L83" s="112"/>
    </row>
    <row r="84" spans="1:12">
      <c r="A84" s="112"/>
      <c r="B84" s="112" t="s">
        <v>30</v>
      </c>
      <c r="C84" s="112"/>
      <c r="D84" s="112"/>
      <c r="E84" s="112"/>
      <c r="F84" s="112"/>
      <c r="G84" s="112"/>
      <c r="H84" s="112"/>
      <c r="I84" s="112"/>
      <c r="J84" s="112"/>
      <c r="K84" s="112"/>
      <c r="L84" s="112"/>
    </row>
    <row r="85" spans="1:12">
      <c r="A85" s="112"/>
      <c r="B85" s="112" t="s">
        <v>31</v>
      </c>
      <c r="C85" s="112"/>
      <c r="D85" s="112"/>
      <c r="E85" s="112"/>
      <c r="F85" s="112"/>
      <c r="G85" s="112"/>
      <c r="H85" s="112"/>
      <c r="I85" s="112"/>
      <c r="J85" s="112"/>
      <c r="K85" s="112"/>
      <c r="L85" s="112"/>
    </row>
    <row r="86" spans="1:12">
      <c r="A86" s="112"/>
      <c r="B86" s="112" t="s">
        <v>32</v>
      </c>
      <c r="C86" s="112"/>
      <c r="D86" s="112"/>
      <c r="E86" s="112"/>
      <c r="F86" s="112"/>
      <c r="G86" s="112"/>
      <c r="H86" s="112"/>
      <c r="I86" s="112"/>
      <c r="J86" s="112"/>
      <c r="K86" s="112"/>
      <c r="L86" s="112"/>
    </row>
    <row r="87" spans="1:12">
      <c r="A87" s="112"/>
      <c r="B87" s="112" t="s">
        <v>33</v>
      </c>
      <c r="C87" s="112"/>
      <c r="D87" s="112"/>
      <c r="E87" s="112"/>
      <c r="F87" s="112"/>
      <c r="G87" s="112"/>
      <c r="H87" s="112"/>
      <c r="I87" s="112"/>
      <c r="J87" s="112"/>
      <c r="K87" s="112"/>
      <c r="L87" s="112"/>
    </row>
    <row r="88" spans="1:12">
      <c r="A88" s="112"/>
      <c r="B88" s="112" t="s">
        <v>34</v>
      </c>
      <c r="C88" s="112"/>
      <c r="D88" s="112"/>
      <c r="E88" s="112"/>
      <c r="F88" s="112"/>
      <c r="G88" s="112"/>
      <c r="H88" s="112"/>
      <c r="I88" s="112"/>
      <c r="J88" s="112"/>
      <c r="K88" s="112"/>
      <c r="L88" s="112"/>
    </row>
    <row r="89" spans="1:12">
      <c r="A89" s="112"/>
      <c r="B89" s="112" t="s">
        <v>35</v>
      </c>
      <c r="C89" s="112"/>
      <c r="D89" s="112"/>
      <c r="E89" s="112"/>
      <c r="F89" s="112"/>
      <c r="G89" s="112"/>
      <c r="H89" s="112"/>
      <c r="I89" s="112"/>
      <c r="J89" s="112"/>
      <c r="K89" s="112"/>
      <c r="L89" s="112"/>
    </row>
    <row r="90" spans="1:12">
      <c r="A90" s="112"/>
      <c r="B90" s="112" t="s">
        <v>36</v>
      </c>
      <c r="C90" s="112"/>
      <c r="D90" s="112"/>
      <c r="E90" s="112"/>
      <c r="F90" s="112"/>
      <c r="G90" s="112"/>
      <c r="H90" s="112"/>
      <c r="I90" s="112"/>
      <c r="J90" s="112"/>
      <c r="K90" s="112"/>
      <c r="L90" s="112"/>
    </row>
    <row r="91" spans="1:12">
      <c r="A91" s="112"/>
      <c r="B91" s="112" t="s">
        <v>37</v>
      </c>
      <c r="C91" s="112"/>
      <c r="D91" s="112"/>
      <c r="E91" s="112"/>
      <c r="F91" s="112"/>
      <c r="G91" s="112"/>
      <c r="H91" s="112"/>
      <c r="I91" s="112"/>
      <c r="J91" s="112"/>
      <c r="K91" s="112"/>
      <c r="L91" s="112"/>
    </row>
    <row r="92" spans="1:12">
      <c r="A92" s="112"/>
      <c r="B92" s="112" t="s">
        <v>38</v>
      </c>
      <c r="C92" s="112"/>
      <c r="D92" s="112"/>
      <c r="E92" s="112"/>
      <c r="F92" s="112"/>
      <c r="G92" s="112"/>
      <c r="H92" s="112"/>
      <c r="I92" s="112"/>
      <c r="J92" s="112"/>
      <c r="K92" s="112"/>
      <c r="L92" s="112"/>
    </row>
    <row r="93" spans="1:12">
      <c r="A93" s="112"/>
      <c r="B93" s="112" t="s">
        <v>39</v>
      </c>
      <c r="C93" s="112"/>
      <c r="D93" s="112"/>
      <c r="E93" s="112"/>
      <c r="F93" s="112"/>
      <c r="G93" s="112"/>
      <c r="H93" s="112"/>
      <c r="I93" s="112"/>
      <c r="J93" s="112"/>
      <c r="K93" s="112"/>
      <c r="L93" s="112"/>
    </row>
    <row r="94" spans="1:12">
      <c r="A94" s="112"/>
      <c r="B94" s="112" t="s">
        <v>40</v>
      </c>
      <c r="C94" s="112"/>
      <c r="D94" s="112"/>
      <c r="E94" s="112"/>
      <c r="F94" s="112"/>
      <c r="G94" s="112"/>
      <c r="H94" s="112"/>
      <c r="I94" s="112"/>
      <c r="J94" s="112"/>
      <c r="K94" s="112"/>
      <c r="L94" s="112"/>
    </row>
    <row r="95" spans="1:12">
      <c r="A95" s="112"/>
      <c r="B95" s="112" t="s">
        <v>41</v>
      </c>
      <c r="C95" s="112"/>
      <c r="D95" s="112"/>
      <c r="E95" s="112"/>
      <c r="F95" s="112"/>
      <c r="G95" s="112"/>
      <c r="H95" s="112"/>
      <c r="I95" s="112"/>
      <c r="J95" s="112"/>
      <c r="K95" s="112"/>
      <c r="L95" s="112"/>
    </row>
    <row r="96" spans="1:12">
      <c r="A96" s="112"/>
      <c r="B96" s="112" t="s">
        <v>42</v>
      </c>
      <c r="C96" s="112"/>
      <c r="D96" s="112"/>
      <c r="E96" s="112"/>
      <c r="F96" s="112"/>
      <c r="G96" s="112"/>
      <c r="H96" s="112"/>
      <c r="I96" s="112"/>
      <c r="J96" s="112"/>
      <c r="K96" s="112"/>
      <c r="L96" s="112"/>
    </row>
    <row r="97" spans="1:12">
      <c r="A97" s="112"/>
      <c r="B97" s="112" t="s">
        <v>43</v>
      </c>
      <c r="C97" s="112"/>
      <c r="D97" s="112"/>
      <c r="E97" s="112"/>
      <c r="F97" s="112"/>
      <c r="G97" s="112"/>
      <c r="H97" s="112"/>
      <c r="I97" s="112"/>
      <c r="J97" s="112"/>
      <c r="K97" s="112"/>
      <c r="L97" s="112"/>
    </row>
    <row r="98" spans="1:12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</row>
    <row r="99" spans="1:12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</row>
    <row r="100" spans="1:12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</row>
    <row r="101" spans="1:12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</row>
    <row r="102" spans="1:12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</row>
    <row r="103" spans="1:12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</row>
    <row r="104" spans="1:12" ht="13" thickBot="1"/>
    <row r="105" spans="1:12" ht="13" thickBot="1">
      <c r="A105" s="117" t="s">
        <v>44</v>
      </c>
      <c r="B105" s="118" t="s">
        <v>45</v>
      </c>
      <c r="C105" s="119"/>
      <c r="D105" s="119"/>
      <c r="E105" s="119"/>
      <c r="F105" s="120" t="s">
        <v>46</v>
      </c>
      <c r="G105" s="99" t="s">
        <v>47</v>
      </c>
      <c r="H105" s="99"/>
      <c r="I105" s="117" t="s">
        <v>48</v>
      </c>
      <c r="J105" s="118">
        <v>1</v>
      </c>
      <c r="K105" s="121" t="s">
        <v>49</v>
      </c>
      <c r="L105" s="122">
        <v>2</v>
      </c>
    </row>
    <row r="106" spans="1:12" ht="13" thickBot="1">
      <c r="A106" s="117" t="s">
        <v>50</v>
      </c>
      <c r="B106" s="118" t="s">
        <v>51</v>
      </c>
      <c r="C106" s="119"/>
      <c r="D106" s="119"/>
      <c r="E106" s="122"/>
      <c r="F106" s="117" t="s">
        <v>52</v>
      </c>
      <c r="G106" s="118"/>
      <c r="H106" s="119"/>
      <c r="I106" s="119"/>
      <c r="J106" s="116"/>
      <c r="K106" s="116"/>
      <c r="L106" s="123"/>
    </row>
    <row r="107" spans="1:12" ht="13" thickBot="1">
      <c r="A107" s="117" t="s">
        <v>53</v>
      </c>
      <c r="B107" s="124" t="s">
        <v>54</v>
      </c>
      <c r="C107" s="119"/>
      <c r="D107" s="119"/>
      <c r="E107" s="122"/>
      <c r="F107" s="117" t="s">
        <v>55</v>
      </c>
      <c r="G107" s="118"/>
      <c r="H107" s="119"/>
      <c r="I107" s="119"/>
      <c r="J107" s="119"/>
      <c r="K107" s="119"/>
      <c r="L107" s="122"/>
    </row>
    <row r="108" spans="1:12">
      <c r="A108" s="351" t="s">
        <v>56</v>
      </c>
      <c r="B108" s="125" t="s">
        <v>57</v>
      </c>
      <c r="C108" s="99"/>
      <c r="D108" s="99"/>
      <c r="E108" s="99"/>
      <c r="F108" s="99"/>
      <c r="G108" s="99"/>
      <c r="H108" s="99"/>
      <c r="I108" s="99"/>
      <c r="J108" s="99"/>
      <c r="K108" s="99"/>
      <c r="L108" s="126"/>
    </row>
    <row r="109" spans="1:12">
      <c r="A109" s="351"/>
      <c r="B109" s="127"/>
      <c r="C109" s="112"/>
      <c r="D109" s="112"/>
      <c r="E109" s="112"/>
      <c r="F109" s="112"/>
      <c r="G109" s="112"/>
      <c r="H109" s="112"/>
      <c r="I109" s="112"/>
      <c r="J109" s="112"/>
      <c r="K109" s="112"/>
      <c r="L109" s="128"/>
    </row>
    <row r="110" spans="1:12" ht="13" thickBot="1">
      <c r="A110" s="351"/>
      <c r="B110" s="129"/>
      <c r="C110" s="116"/>
      <c r="D110" s="116"/>
      <c r="E110" s="116"/>
      <c r="F110" s="116"/>
      <c r="G110" s="116"/>
      <c r="H110" s="116"/>
      <c r="I110" s="116"/>
      <c r="J110" s="116"/>
      <c r="K110" s="116"/>
      <c r="L110" s="123"/>
    </row>
    <row r="111" spans="1:12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</row>
    <row r="112" spans="1:12" ht="13">
      <c r="A112" s="115" t="s">
        <v>58</v>
      </c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</row>
    <row r="113" spans="1:12" ht="13">
      <c r="A113" s="115" t="s">
        <v>59</v>
      </c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</row>
    <row r="114" spans="1:12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</row>
    <row r="115" spans="1:12" ht="13">
      <c r="A115" s="112" t="s">
        <v>60</v>
      </c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</row>
    <row r="116" spans="1:12">
      <c r="A116" s="112" t="s">
        <v>61</v>
      </c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</row>
    <row r="117" spans="1:12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</row>
    <row r="118" spans="1:12" ht="14.5">
      <c r="A118" s="112"/>
      <c r="B118" s="112"/>
      <c r="C118" s="112"/>
      <c r="D118" s="112"/>
      <c r="E118" s="112"/>
      <c r="F118" s="130" t="s">
        <v>62</v>
      </c>
      <c r="G118" s="112"/>
      <c r="H118" s="112"/>
      <c r="I118" s="112"/>
      <c r="J118" s="112"/>
      <c r="K118" s="112"/>
      <c r="L118" s="112"/>
    </row>
    <row r="119" spans="1:12">
      <c r="A119" s="112"/>
      <c r="B119" s="112"/>
      <c r="C119" s="112"/>
      <c r="D119" s="112"/>
      <c r="E119" s="112"/>
      <c r="F119" s="112" t="s">
        <v>63</v>
      </c>
      <c r="G119" s="112"/>
      <c r="H119" s="112"/>
      <c r="I119" s="112"/>
      <c r="J119" s="112"/>
      <c r="K119" s="112"/>
      <c r="L119" s="112"/>
    </row>
    <row r="120" spans="1:12" ht="13">
      <c r="A120" s="112"/>
      <c r="B120" s="112"/>
      <c r="C120" s="112"/>
      <c r="D120" s="112"/>
      <c r="E120" s="112"/>
      <c r="F120" s="112" t="s">
        <v>64</v>
      </c>
      <c r="G120" s="112"/>
      <c r="H120" s="112"/>
      <c r="I120" s="112"/>
      <c r="J120" s="112"/>
      <c r="K120" s="112"/>
      <c r="L120" s="112"/>
    </row>
    <row r="121" spans="1:12">
      <c r="A121" s="112"/>
      <c r="B121" s="112"/>
      <c r="C121" s="112"/>
      <c r="D121" s="112"/>
      <c r="E121" s="112"/>
      <c r="F121" s="112" t="s">
        <v>65</v>
      </c>
      <c r="G121" s="112"/>
      <c r="H121" s="112"/>
      <c r="I121" s="112"/>
      <c r="J121" s="112"/>
      <c r="K121" s="112"/>
      <c r="L121" s="112"/>
    </row>
    <row r="122" spans="1:12">
      <c r="A122" s="112"/>
      <c r="B122" s="112"/>
      <c r="C122" s="112"/>
      <c r="D122" s="112"/>
      <c r="E122" s="112"/>
      <c r="F122" s="112" t="s">
        <v>66</v>
      </c>
      <c r="G122" s="112"/>
      <c r="H122" s="112"/>
      <c r="I122" s="112"/>
      <c r="J122" s="112"/>
      <c r="K122" s="112"/>
      <c r="L122" s="112"/>
    </row>
    <row r="123" spans="1:12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</row>
    <row r="124" spans="1:12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</row>
    <row r="125" spans="1:12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</row>
    <row r="126" spans="1:12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</row>
    <row r="127" spans="1:12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</row>
    <row r="128" spans="1:12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</row>
    <row r="129" spans="1:12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</row>
    <row r="130" spans="1:12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</row>
    <row r="131" spans="1:12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</row>
    <row r="132" spans="1:12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</row>
    <row r="133" spans="1:12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</row>
    <row r="134" spans="1:12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</row>
    <row r="135" spans="1:12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</row>
    <row r="136" spans="1:12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</row>
    <row r="137" spans="1:12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</row>
    <row r="138" spans="1:12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</row>
    <row r="139" spans="1:12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</row>
    <row r="140" spans="1:12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</row>
    <row r="141" spans="1:12">
      <c r="A141" s="112"/>
      <c r="B141" s="112"/>
      <c r="C141" s="112"/>
      <c r="D141" s="112"/>
      <c r="E141" s="112"/>
      <c r="F141" s="112" t="s">
        <v>67</v>
      </c>
      <c r="G141" s="112"/>
      <c r="H141" s="112"/>
      <c r="I141" s="112"/>
      <c r="J141" s="112"/>
      <c r="K141" s="112"/>
      <c r="L141" s="112"/>
    </row>
    <row r="142" spans="1:12">
      <c r="A142" s="112"/>
      <c r="B142" s="112"/>
      <c r="C142" s="112"/>
      <c r="D142" s="112"/>
      <c r="E142" s="112"/>
      <c r="F142" s="112" t="s">
        <v>68</v>
      </c>
      <c r="G142" s="112"/>
      <c r="H142" s="112"/>
      <c r="I142" s="112"/>
      <c r="J142" s="112"/>
      <c r="K142" s="112"/>
      <c r="L142" s="112"/>
    </row>
    <row r="143" spans="1:12">
      <c r="A143" s="112"/>
      <c r="B143" s="112"/>
      <c r="C143" s="112"/>
      <c r="D143" s="112"/>
      <c r="E143" s="112"/>
      <c r="F143" s="112" t="s">
        <v>69</v>
      </c>
      <c r="G143" s="112"/>
      <c r="H143" s="112"/>
      <c r="I143" s="112"/>
      <c r="J143" s="112"/>
      <c r="K143" s="112"/>
      <c r="L143" s="112"/>
    </row>
    <row r="144" spans="1:12">
      <c r="A144" s="112"/>
      <c r="B144" s="112"/>
      <c r="C144" s="112"/>
      <c r="D144" s="112"/>
      <c r="E144" s="112"/>
      <c r="F144" s="112" t="s">
        <v>70</v>
      </c>
      <c r="G144" s="112"/>
      <c r="H144" s="112"/>
      <c r="I144" s="112"/>
      <c r="J144" s="112"/>
      <c r="K144" s="112"/>
      <c r="L144" s="112"/>
    </row>
    <row r="145" spans="1:12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</row>
    <row r="146" spans="1:12" ht="13">
      <c r="A146" s="112" t="s">
        <v>71</v>
      </c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</row>
    <row r="147" spans="1:12">
      <c r="A147" s="112" t="s">
        <v>72</v>
      </c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</row>
    <row r="148" spans="1:12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</row>
    <row r="149" spans="1:12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</row>
    <row r="150" spans="1:12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</row>
    <row r="151" spans="1:12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</row>
    <row r="152" spans="1:12">
      <c r="A152" s="112" t="s">
        <v>73</v>
      </c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</row>
    <row r="153" spans="1:12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</row>
    <row r="154" spans="1:12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</row>
    <row r="155" spans="1:12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</row>
    <row r="156" spans="1:12" ht="13" thickBot="1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</row>
    <row r="157" spans="1:12" ht="13" thickBot="1">
      <c r="A157" s="117" t="s">
        <v>44</v>
      </c>
      <c r="B157" s="118" t="s">
        <v>74</v>
      </c>
      <c r="C157" s="119"/>
      <c r="D157" s="119"/>
      <c r="E157" s="119"/>
      <c r="F157" s="120" t="s">
        <v>46</v>
      </c>
      <c r="G157" s="99" t="s">
        <v>47</v>
      </c>
      <c r="H157" s="99"/>
      <c r="I157" s="117" t="s">
        <v>48</v>
      </c>
      <c r="J157" s="118">
        <v>2</v>
      </c>
      <c r="K157" s="121" t="s">
        <v>49</v>
      </c>
      <c r="L157" s="122">
        <v>2</v>
      </c>
    </row>
    <row r="158" spans="1:12" ht="13" thickBot="1">
      <c r="A158" s="117" t="s">
        <v>50</v>
      </c>
      <c r="B158" s="118" t="s">
        <v>51</v>
      </c>
      <c r="C158" s="119"/>
      <c r="D158" s="119"/>
      <c r="E158" s="122"/>
      <c r="F158" s="117" t="s">
        <v>52</v>
      </c>
      <c r="G158" s="118"/>
      <c r="H158" s="119"/>
      <c r="I158" s="119"/>
      <c r="J158" s="116"/>
      <c r="K158" s="116"/>
      <c r="L158" s="123"/>
    </row>
    <row r="159" spans="1:12" ht="13" thickBot="1">
      <c r="A159" s="117" t="s">
        <v>53</v>
      </c>
      <c r="B159" s="118" t="s">
        <v>75</v>
      </c>
      <c r="C159" s="119"/>
      <c r="D159" s="119"/>
      <c r="E159" s="122"/>
      <c r="F159" s="117" t="s">
        <v>55</v>
      </c>
      <c r="G159" s="118"/>
      <c r="H159" s="119"/>
      <c r="I159" s="119"/>
      <c r="J159" s="119"/>
      <c r="K159" s="119"/>
      <c r="L159" s="122"/>
    </row>
    <row r="160" spans="1:12">
      <c r="A160" s="351" t="s">
        <v>56</v>
      </c>
      <c r="B160" s="125" t="s">
        <v>57</v>
      </c>
      <c r="C160" s="99"/>
      <c r="D160" s="99"/>
      <c r="E160" s="99"/>
      <c r="F160" s="99"/>
      <c r="G160" s="99"/>
      <c r="H160" s="99"/>
      <c r="I160" s="99"/>
      <c r="J160" s="99"/>
      <c r="K160" s="99"/>
      <c r="L160" s="126"/>
    </row>
    <row r="161" spans="1:12">
      <c r="A161" s="351"/>
      <c r="B161" s="127"/>
      <c r="C161" s="112"/>
      <c r="D161" s="112"/>
      <c r="E161" s="112"/>
      <c r="F161" s="112"/>
      <c r="G161" s="112"/>
      <c r="H161" s="112"/>
      <c r="I161" s="112"/>
      <c r="J161" s="112"/>
      <c r="K161" s="112"/>
      <c r="L161" s="128"/>
    </row>
    <row r="162" spans="1:12" ht="13" thickBot="1">
      <c r="A162" s="351"/>
      <c r="B162" s="129"/>
      <c r="C162" s="116"/>
      <c r="D162" s="116"/>
      <c r="E162" s="116"/>
      <c r="F162" s="116"/>
      <c r="G162" s="116"/>
      <c r="H162" s="116"/>
      <c r="I162" s="116"/>
      <c r="J162" s="116"/>
      <c r="K162" s="116"/>
      <c r="L162" s="123"/>
    </row>
    <row r="163" spans="1:12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</row>
    <row r="164" spans="1:12" ht="13.5" thickBot="1">
      <c r="A164" s="115" t="s">
        <v>76</v>
      </c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</row>
    <row r="165" spans="1:12" ht="13.5" thickBot="1">
      <c r="A165" s="131" t="s">
        <v>77</v>
      </c>
      <c r="B165" s="132">
        <v>-0.12</v>
      </c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</row>
    <row r="166" spans="1:12" ht="13" thickBot="1">
      <c r="A166" s="108" t="s">
        <v>78</v>
      </c>
      <c r="B166" s="109" t="s">
        <v>79</v>
      </c>
      <c r="C166" s="110" t="s">
        <v>80</v>
      </c>
      <c r="D166" s="112"/>
      <c r="E166" s="112"/>
      <c r="F166" s="112"/>
      <c r="G166" s="112"/>
      <c r="H166" s="112"/>
      <c r="I166" s="112"/>
      <c r="J166" s="112"/>
      <c r="K166" s="112"/>
      <c r="L166" s="112"/>
    </row>
    <row r="167" spans="1:12">
      <c r="A167" s="102">
        <v>0.5</v>
      </c>
      <c r="B167" s="103">
        <f>2/(1.4*A167^2)*(((1+((1.4-1)/2)*A167^2)/(1+(1.4-1)/2))^(1.4/(1.4-1))-1)</f>
        <v>-2.133402668349714</v>
      </c>
      <c r="C167" s="104">
        <f>$B$165/(SQRT(1-A167^2))</f>
        <v>-0.13856406460551018</v>
      </c>
      <c r="D167" s="112"/>
      <c r="E167" s="112"/>
      <c r="F167" s="112"/>
      <c r="G167" s="112"/>
      <c r="H167" s="112"/>
      <c r="I167" s="112"/>
      <c r="J167" s="112"/>
      <c r="K167" s="112"/>
      <c r="L167" s="112"/>
    </row>
    <row r="168" spans="1:12">
      <c r="A168" s="102">
        <f>A167+0.025</f>
        <v>0.52500000000000002</v>
      </c>
      <c r="B168" s="103">
        <f t="shared" ref="B168:B187" si="0">2/(1.4*A168^2)*(((1+((1.4-1)/2)*A168^2)/(1+(1.4-1)/2))^(1.4/(1.4-1))-1)</f>
        <v>-1.8792336576441555</v>
      </c>
      <c r="C168" s="104">
        <f t="shared" ref="C168:C186" si="1">$B$165/(SQRT(1-A168^2))</f>
        <v>-0.14099363890705119</v>
      </c>
      <c r="D168" s="112"/>
      <c r="E168" s="112"/>
      <c r="F168" s="112"/>
      <c r="G168" s="112"/>
      <c r="H168" s="112"/>
      <c r="I168" s="112"/>
      <c r="J168" s="112"/>
      <c r="K168" s="112"/>
      <c r="L168" s="112"/>
    </row>
    <row r="169" spans="1:12">
      <c r="A169" s="102">
        <f t="shared" ref="A169:A187" si="2">A168+0.025</f>
        <v>0.55000000000000004</v>
      </c>
      <c r="B169" s="103">
        <f t="shared" si="0"/>
        <v>-1.6582622168975083</v>
      </c>
      <c r="C169" s="104">
        <f t="shared" si="1"/>
        <v>-0.14368424162141991</v>
      </c>
      <c r="D169" s="112"/>
      <c r="E169" s="112"/>
      <c r="F169" s="112"/>
      <c r="G169" s="112"/>
      <c r="H169" s="112"/>
      <c r="I169" s="112"/>
      <c r="J169" s="112"/>
      <c r="K169" s="112"/>
      <c r="L169" s="112"/>
    </row>
    <row r="170" spans="1:12">
      <c r="A170" s="102">
        <f t="shared" si="2"/>
        <v>0.57500000000000007</v>
      </c>
      <c r="B170" s="103">
        <f t="shared" si="0"/>
        <v>-1.464806802032955</v>
      </c>
      <c r="C170" s="104">
        <f t="shared" si="1"/>
        <v>-0.14667175952451381</v>
      </c>
      <c r="D170" s="112"/>
      <c r="E170" s="112"/>
      <c r="F170" s="112"/>
      <c r="G170" s="112"/>
      <c r="H170" s="112"/>
      <c r="I170" s="112"/>
      <c r="J170" s="112"/>
      <c r="K170" s="112"/>
      <c r="L170" s="112"/>
    </row>
    <row r="171" spans="1:12">
      <c r="A171" s="102">
        <f t="shared" si="2"/>
        <v>0.60000000000000009</v>
      </c>
      <c r="B171" s="103">
        <f t="shared" si="0"/>
        <v>-1.2943435904552825</v>
      </c>
      <c r="C171" s="104">
        <f t="shared" si="1"/>
        <v>-0.15</v>
      </c>
      <c r="D171" s="112"/>
      <c r="E171" s="112"/>
      <c r="F171" s="112"/>
      <c r="G171" s="112"/>
      <c r="H171" s="112"/>
      <c r="I171" s="112"/>
      <c r="J171" s="112"/>
      <c r="K171" s="112"/>
      <c r="L171" s="112"/>
    </row>
    <row r="172" spans="1:12">
      <c r="A172" s="102">
        <f t="shared" si="2"/>
        <v>0.62500000000000011</v>
      </c>
      <c r="B172" s="103">
        <f t="shared" si="0"/>
        <v>-1.1432343202924669</v>
      </c>
      <c r="C172" s="104">
        <f t="shared" si="1"/>
        <v>-0.15372302765288365</v>
      </c>
      <c r="D172" s="112"/>
      <c r="E172" s="112"/>
      <c r="F172" s="112"/>
      <c r="G172" s="112"/>
      <c r="H172" s="112"/>
      <c r="I172" s="112"/>
      <c r="J172" s="112"/>
      <c r="K172" s="112"/>
      <c r="L172" s="112"/>
    </row>
    <row r="173" spans="1:12">
      <c r="A173" s="102">
        <f t="shared" si="2"/>
        <v>0.65000000000000013</v>
      </c>
      <c r="B173" s="103">
        <f t="shared" si="0"/>
        <v>-1.0085259417860786</v>
      </c>
      <c r="C173" s="104">
        <f t="shared" si="1"/>
        <v>-0.15790840679034457</v>
      </c>
      <c r="D173" s="112"/>
      <c r="E173" s="112"/>
      <c r="F173" s="112"/>
      <c r="G173" s="112"/>
      <c r="H173" s="112"/>
      <c r="I173" s="112"/>
      <c r="J173" s="112"/>
      <c r="K173" s="112"/>
      <c r="L173" s="112"/>
    </row>
    <row r="174" spans="1:12">
      <c r="A174" s="102">
        <f t="shared" si="2"/>
        <v>0.67500000000000016</v>
      </c>
      <c r="B174" s="103">
        <f t="shared" si="0"/>
        <v>-0.88780121440446147</v>
      </c>
      <c r="C174" s="104">
        <f t="shared" si="1"/>
        <v>-0.16264179541720736</v>
      </c>
      <c r="D174" s="112"/>
      <c r="E174" s="112"/>
      <c r="F174" s="112"/>
      <c r="G174" s="112"/>
      <c r="H174" s="112"/>
      <c r="I174" s="112"/>
      <c r="J174" s="112"/>
      <c r="K174" s="112"/>
      <c r="L174" s="112"/>
    </row>
    <row r="175" spans="1:12">
      <c r="A175" s="102">
        <f t="shared" si="2"/>
        <v>0.70000000000000018</v>
      </c>
      <c r="B175" s="103">
        <f t="shared" si="0"/>
        <v>-0.77906596455962962</v>
      </c>
      <c r="C175" s="104">
        <f t="shared" si="1"/>
        <v>-0.16803361008336121</v>
      </c>
      <c r="D175" s="112"/>
      <c r="E175" s="112"/>
      <c r="F175" s="112"/>
      <c r="G175" s="112"/>
      <c r="H175" s="112"/>
      <c r="I175" s="112"/>
      <c r="J175" s="112"/>
      <c r="K175" s="112"/>
      <c r="L175" s="112"/>
    </row>
    <row r="176" spans="1:12">
      <c r="A176" s="102">
        <f t="shared" si="2"/>
        <v>0.7250000000000002</v>
      </c>
      <c r="B176" s="103">
        <f t="shared" si="0"/>
        <v>-0.68066307202112553</v>
      </c>
      <c r="C176" s="104">
        <f t="shared" si="1"/>
        <v>-0.17422896207375071</v>
      </c>
      <c r="D176" s="112"/>
      <c r="E176" s="112"/>
      <c r="F176" s="112"/>
      <c r="G176" s="112"/>
      <c r="H176" s="112"/>
      <c r="I176" s="112"/>
      <c r="J176" s="112"/>
      <c r="K176" s="112"/>
      <c r="L176" s="112"/>
    </row>
    <row r="177" spans="1:12">
      <c r="A177" s="102">
        <f t="shared" si="2"/>
        <v>0.75000000000000022</v>
      </c>
      <c r="B177" s="103">
        <f t="shared" si="0"/>
        <v>-0.59120618074665254</v>
      </c>
      <c r="C177" s="104">
        <f t="shared" si="1"/>
        <v>-0.18142294704442916</v>
      </c>
      <c r="D177" s="112"/>
      <c r="E177" s="112"/>
      <c r="F177" s="112"/>
      <c r="G177" s="112"/>
      <c r="H177" s="112"/>
      <c r="I177" s="112"/>
      <c r="J177" s="112"/>
      <c r="K177" s="112"/>
      <c r="L177" s="112"/>
    </row>
    <row r="178" spans="1:12">
      <c r="A178" s="102">
        <f t="shared" si="2"/>
        <v>0.77500000000000024</v>
      </c>
      <c r="B178" s="103">
        <f t="shared" si="0"/>
        <v>-0.50952812909954748</v>
      </c>
      <c r="C178" s="104">
        <f t="shared" si="1"/>
        <v>-0.18988506531101662</v>
      </c>
      <c r="D178" s="112"/>
      <c r="E178" s="112"/>
      <c r="F178" s="112"/>
      <c r="G178" s="112"/>
      <c r="H178" s="112"/>
      <c r="I178" s="112"/>
      <c r="J178" s="112"/>
      <c r="K178" s="112"/>
      <c r="L178" s="112"/>
    </row>
    <row r="179" spans="1:12">
      <c r="A179" s="102">
        <f t="shared" si="2"/>
        <v>0.80000000000000027</v>
      </c>
      <c r="B179" s="103">
        <f t="shared" si="0"/>
        <v>-0.43464047915522891</v>
      </c>
      <c r="C179" s="104">
        <f t="shared" si="1"/>
        <v>-0.20000000000000012</v>
      </c>
      <c r="D179" s="112"/>
      <c r="E179" s="112"/>
      <c r="F179" s="112"/>
      <c r="G179" s="112"/>
      <c r="H179" s="112"/>
      <c r="I179" s="112"/>
      <c r="J179" s="112"/>
      <c r="K179" s="112"/>
      <c r="L179" s="112"/>
    </row>
    <row r="180" spans="1:12">
      <c r="A180" s="102">
        <f t="shared" si="2"/>
        <v>0.82500000000000029</v>
      </c>
      <c r="B180" s="103">
        <f t="shared" si="0"/>
        <v>-0.36570149657757012</v>
      </c>
      <c r="C180" s="104">
        <f t="shared" si="1"/>
        <v>-0.21233949849782838</v>
      </c>
      <c r="D180" s="112"/>
      <c r="E180" s="112"/>
      <c r="F180" s="112"/>
      <c r="G180" s="112"/>
      <c r="H180" s="112"/>
      <c r="I180" s="112"/>
      <c r="J180" s="112"/>
      <c r="K180" s="112"/>
      <c r="L180" s="112"/>
    </row>
    <row r="181" spans="1:12">
      <c r="A181" s="102">
        <f t="shared" si="2"/>
        <v>0.85000000000000031</v>
      </c>
      <c r="B181" s="103">
        <f t="shared" si="0"/>
        <v>-0.30199062290533707</v>
      </c>
      <c r="C181" s="104">
        <f t="shared" si="1"/>
        <v>-0.22779791898059995</v>
      </c>
      <c r="D181" s="112"/>
      <c r="E181" s="112"/>
      <c r="F181" s="112"/>
      <c r="G181" s="112"/>
      <c r="H181" s="112"/>
      <c r="I181" s="112"/>
      <c r="J181" s="112"/>
      <c r="K181" s="112"/>
      <c r="L181" s="112"/>
    </row>
    <row r="182" spans="1:12">
      <c r="A182" s="102">
        <f t="shared" si="2"/>
        <v>0.87500000000000033</v>
      </c>
      <c r="B182" s="103">
        <f t="shared" si="0"/>
        <v>-0.24288797814629501</v>
      </c>
      <c r="C182" s="104">
        <f t="shared" si="1"/>
        <v>-0.24787093415727499</v>
      </c>
      <c r="D182" s="112"/>
      <c r="E182" s="112"/>
      <c r="F182" s="112"/>
      <c r="G182" s="112"/>
      <c r="H182" s="112"/>
      <c r="I182" s="112"/>
      <c r="J182" s="112"/>
      <c r="K182" s="112"/>
      <c r="L182" s="112"/>
    </row>
    <row r="183" spans="1:12">
      <c r="A183" s="102">
        <f t="shared" si="2"/>
        <v>0.90000000000000036</v>
      </c>
      <c r="B183" s="103">
        <f t="shared" si="0"/>
        <v>-0.18785779183683954</v>
      </c>
      <c r="C183" s="104">
        <f t="shared" si="1"/>
        <v>-0.27529888064467456</v>
      </c>
      <c r="D183" s="112"/>
      <c r="E183" s="112"/>
      <c r="F183" s="112"/>
      <c r="G183" s="112"/>
      <c r="H183" s="112"/>
      <c r="I183" s="112"/>
      <c r="J183" s="112"/>
      <c r="K183" s="112"/>
      <c r="L183" s="112"/>
    </row>
    <row r="184" spans="1:12">
      <c r="A184" s="102">
        <f t="shared" si="2"/>
        <v>0.92500000000000038</v>
      </c>
      <c r="B184" s="103">
        <f t="shared" si="0"/>
        <v>-0.13643492498851681</v>
      </c>
      <c r="C184" s="104">
        <f t="shared" si="1"/>
        <v>-0.31581681358068991</v>
      </c>
      <c r="D184" s="112"/>
      <c r="E184" s="112"/>
      <c r="F184" s="112"/>
      <c r="G184" s="112"/>
      <c r="H184" s="112"/>
      <c r="I184" s="112"/>
      <c r="J184" s="112"/>
      <c r="K184" s="112"/>
      <c r="L184" s="112"/>
    </row>
    <row r="185" spans="1:12">
      <c r="A185" s="102">
        <f t="shared" si="2"/>
        <v>0.9500000000000004</v>
      </c>
      <c r="B185" s="103">
        <f t="shared" si="0"/>
        <v>-8.8213841015504529E-2</v>
      </c>
      <c r="C185" s="104">
        <f t="shared" si="1"/>
        <v>-0.38430756913221059</v>
      </c>
      <c r="D185" s="112"/>
      <c r="E185" s="112"/>
      <c r="F185" s="112"/>
      <c r="G185" s="112"/>
      <c r="H185" s="112"/>
      <c r="I185" s="112"/>
      <c r="J185" s="112"/>
      <c r="K185" s="112"/>
      <c r="L185" s="112"/>
    </row>
    <row r="186" spans="1:12">
      <c r="A186" s="102">
        <f t="shared" si="2"/>
        <v>0.97500000000000042</v>
      </c>
      <c r="B186" s="103">
        <f t="shared" si="0"/>
        <v>-4.2839529905831897E-2</v>
      </c>
      <c r="C186" s="104">
        <f t="shared" si="1"/>
        <v>-0.54004219244449603</v>
      </c>
      <c r="D186" s="112"/>
      <c r="E186" s="112"/>
      <c r="F186" s="112"/>
      <c r="G186" s="112"/>
      <c r="H186" s="112"/>
      <c r="I186" s="112"/>
      <c r="J186" s="112"/>
      <c r="K186" s="112"/>
      <c r="L186" s="112"/>
    </row>
    <row r="187" spans="1:12" ht="13" thickBot="1">
      <c r="A187" s="105">
        <f t="shared" si="2"/>
        <v>1.0000000000000004</v>
      </c>
      <c r="B187" s="106">
        <f t="shared" si="0"/>
        <v>1.2688263138573206E-15</v>
      </c>
      <c r="C187" s="107">
        <v>-2.13</v>
      </c>
      <c r="D187" s="112"/>
      <c r="E187" s="112"/>
      <c r="F187" s="112"/>
      <c r="G187" s="112"/>
      <c r="H187" s="112"/>
      <c r="I187" s="112"/>
      <c r="J187" s="112"/>
      <c r="K187" s="112"/>
      <c r="L187" s="112"/>
    </row>
    <row r="188" spans="1:12">
      <c r="A188" s="111"/>
      <c r="B188" s="111"/>
      <c r="C188" s="133"/>
      <c r="D188" s="112"/>
      <c r="E188" s="112"/>
      <c r="F188" s="112"/>
      <c r="G188" s="112"/>
      <c r="H188" s="112"/>
      <c r="I188" s="112"/>
      <c r="J188" s="112"/>
      <c r="K188" s="112"/>
      <c r="L188" s="112"/>
    </row>
    <row r="189" spans="1:12">
      <c r="A189" s="111" t="s">
        <v>81</v>
      </c>
      <c r="B189" s="111"/>
      <c r="C189" s="133"/>
      <c r="D189" s="112"/>
      <c r="E189" s="112"/>
      <c r="F189" s="112"/>
      <c r="G189" s="112"/>
      <c r="H189" s="112"/>
      <c r="I189" s="112"/>
      <c r="J189" s="112"/>
      <c r="K189" s="112"/>
      <c r="L189" s="112"/>
    </row>
    <row r="190" spans="1:12">
      <c r="A190" s="111" t="s">
        <v>82</v>
      </c>
      <c r="B190" s="111"/>
      <c r="C190" s="133"/>
      <c r="D190" s="112"/>
      <c r="E190" s="112"/>
      <c r="F190" s="112"/>
      <c r="G190" s="112"/>
      <c r="H190" s="112"/>
      <c r="I190" s="112"/>
      <c r="J190" s="112"/>
      <c r="K190" s="112"/>
      <c r="L190" s="112"/>
    </row>
    <row r="191" spans="1:12">
      <c r="A191" s="111" t="s">
        <v>83</v>
      </c>
      <c r="B191" s="111"/>
      <c r="C191" s="133"/>
      <c r="D191" s="112"/>
      <c r="E191" s="112"/>
      <c r="F191" s="112"/>
      <c r="G191" s="112"/>
      <c r="H191" s="112"/>
      <c r="I191" s="112"/>
      <c r="J191" s="112"/>
      <c r="K191" s="112"/>
      <c r="L191" s="112"/>
    </row>
    <row r="192" spans="1:12">
      <c r="A192" s="111"/>
      <c r="B192" s="111"/>
      <c r="C192" s="133"/>
      <c r="D192" s="112"/>
      <c r="E192" s="112"/>
      <c r="F192" s="112"/>
      <c r="G192" s="112"/>
      <c r="H192" s="112"/>
      <c r="I192" s="112"/>
      <c r="J192" s="112"/>
      <c r="K192" s="112"/>
      <c r="L192" s="112"/>
    </row>
    <row r="193" spans="1:12">
      <c r="A193" s="112" t="s">
        <v>84</v>
      </c>
      <c r="B193" s="112">
        <v>1</v>
      </c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</row>
    <row r="194" spans="1:12">
      <c r="A194" s="111" t="s">
        <v>85</v>
      </c>
      <c r="B194" s="111" t="s">
        <v>84</v>
      </c>
      <c r="C194" s="133" t="s">
        <v>86</v>
      </c>
      <c r="D194" s="112" t="s">
        <v>87</v>
      </c>
      <c r="E194" s="112"/>
      <c r="F194" s="112"/>
      <c r="G194" s="112"/>
      <c r="H194" s="112"/>
      <c r="I194" s="112"/>
      <c r="J194" s="112"/>
      <c r="K194" s="112"/>
      <c r="L194" s="112"/>
    </row>
    <row r="195" spans="1:12">
      <c r="A195" s="111">
        <v>0</v>
      </c>
      <c r="B195" s="111">
        <f>$B$193</f>
        <v>1</v>
      </c>
      <c r="C195" s="133">
        <f>1-(1+2*RADIANS(B195)*SQRT(A195/1))^2</f>
        <v>0</v>
      </c>
      <c r="D195" s="133">
        <f>1-(1-2*RADIANS(B195)*SQRT(A195/1))^2</f>
        <v>0</v>
      </c>
      <c r="E195" s="112"/>
      <c r="F195" s="112"/>
      <c r="G195" s="112"/>
      <c r="H195" s="112"/>
      <c r="I195" s="112"/>
      <c r="J195" s="112"/>
      <c r="K195" s="112"/>
      <c r="L195" s="112"/>
    </row>
    <row r="196" spans="1:12">
      <c r="A196" s="111">
        <f>A195+$A$205/10</f>
        <v>0.1</v>
      </c>
      <c r="B196" s="111">
        <f t="shared" ref="B196:B205" si="3">$B$193</f>
        <v>1</v>
      </c>
      <c r="C196" s="133">
        <f t="shared" ref="C196:C205" si="4">1-(1+2*RADIANS(B196)*SQRT(A196/1))^2</f>
        <v>-2.2198709780794745E-2</v>
      </c>
      <c r="D196" s="133">
        <f t="shared" ref="D196:D205" si="5">1-(1-2*RADIANS(B196)*SQRT(A196/1))^2</f>
        <v>2.1955015844965509E-2</v>
      </c>
      <c r="E196" s="112"/>
      <c r="F196" s="112"/>
      <c r="G196" s="112"/>
      <c r="H196" s="112"/>
      <c r="I196" s="112"/>
      <c r="J196" s="112"/>
      <c r="K196" s="112"/>
      <c r="L196" s="112"/>
    </row>
    <row r="197" spans="1:12">
      <c r="A197" s="111">
        <f t="shared" ref="A197:A204" si="6">A196+$A$205/10</f>
        <v>0.2</v>
      </c>
      <c r="B197" s="111">
        <f t="shared" si="3"/>
        <v>1</v>
      </c>
      <c r="C197" s="133">
        <f t="shared" si="4"/>
        <v>-3.1465092740454725E-2</v>
      </c>
      <c r="D197" s="133">
        <f t="shared" si="5"/>
        <v>3.0977704868796141E-2</v>
      </c>
      <c r="E197" s="112"/>
      <c r="F197" s="112"/>
      <c r="G197" s="112"/>
      <c r="H197" s="112"/>
      <c r="I197" s="112"/>
      <c r="J197" s="112"/>
      <c r="K197" s="112"/>
      <c r="L197" s="112"/>
    </row>
    <row r="198" spans="1:12">
      <c r="A198" s="111">
        <f t="shared" si="6"/>
        <v>0.30000000000000004</v>
      </c>
      <c r="B198" s="111">
        <f t="shared" si="3"/>
        <v>1</v>
      </c>
      <c r="C198" s="133">
        <f t="shared" si="4"/>
        <v>-3.8603788967380481E-2</v>
      </c>
      <c r="D198" s="133">
        <f t="shared" si="5"/>
        <v>3.7872707159892438E-2</v>
      </c>
      <c r="E198" s="112"/>
      <c r="F198" s="112"/>
      <c r="G198" s="112"/>
      <c r="H198" s="112"/>
      <c r="I198" s="112"/>
      <c r="J198" s="112"/>
      <c r="K198" s="112"/>
      <c r="L198" s="112"/>
    </row>
    <row r="199" spans="1:12">
      <c r="A199" s="111">
        <f t="shared" si="6"/>
        <v>0.4</v>
      </c>
      <c r="B199" s="111">
        <f t="shared" si="3"/>
        <v>1</v>
      </c>
      <c r="C199" s="133">
        <f t="shared" si="4"/>
        <v>-4.4641113497419171E-2</v>
      </c>
      <c r="D199" s="133">
        <f t="shared" si="5"/>
        <v>4.3666337754101781E-2</v>
      </c>
      <c r="E199" s="112"/>
      <c r="F199" s="112"/>
      <c r="G199" s="112"/>
      <c r="H199" s="112"/>
      <c r="I199" s="112"/>
      <c r="J199" s="112"/>
      <c r="K199" s="112"/>
      <c r="L199" s="112"/>
    </row>
    <row r="200" spans="1:12">
      <c r="A200" s="111">
        <f t="shared" si="6"/>
        <v>0.5</v>
      </c>
      <c r="B200" s="111">
        <f t="shared" si="3"/>
        <v>1</v>
      </c>
      <c r="C200" s="133">
        <f t="shared" si="4"/>
        <v>-4.9974600819110648E-2</v>
      </c>
      <c r="D200" s="133">
        <f t="shared" si="5"/>
        <v>4.8756131139964021E-2</v>
      </c>
      <c r="E200" s="112" t="s">
        <v>88</v>
      </c>
      <c r="F200" s="112"/>
      <c r="G200" s="112"/>
      <c r="H200" s="112"/>
      <c r="I200" s="112"/>
      <c r="J200" s="112"/>
      <c r="K200" s="112"/>
      <c r="L200" s="112"/>
    </row>
    <row r="201" spans="1:12">
      <c r="A201" s="111">
        <f t="shared" si="6"/>
        <v>0.6</v>
      </c>
      <c r="B201" s="111">
        <f t="shared" si="3"/>
        <v>1</v>
      </c>
      <c r="C201" s="133">
        <f t="shared" si="4"/>
        <v>-5.4808130820469758E-2</v>
      </c>
      <c r="D201" s="133">
        <f t="shared" si="5"/>
        <v>5.334596720549345E-2</v>
      </c>
      <c r="E201" s="112"/>
      <c r="F201" s="112"/>
      <c r="G201" s="112"/>
      <c r="H201" s="112"/>
      <c r="I201" s="112"/>
      <c r="J201" s="112"/>
      <c r="K201" s="112"/>
      <c r="L201" s="112"/>
    </row>
    <row r="202" spans="1:12">
      <c r="A202" s="111">
        <f t="shared" si="6"/>
        <v>0.7</v>
      </c>
      <c r="B202" s="111">
        <f t="shared" si="3"/>
        <v>1</v>
      </c>
      <c r="C202" s="133">
        <f t="shared" si="4"/>
        <v>-5.9262817506773757E-2</v>
      </c>
      <c r="D202" s="133">
        <f t="shared" si="5"/>
        <v>5.7556959955968101E-2</v>
      </c>
      <c r="E202" s="112"/>
      <c r="F202" s="112"/>
      <c r="G202" s="112"/>
      <c r="H202" s="112"/>
      <c r="I202" s="112"/>
      <c r="J202" s="112"/>
      <c r="K202" s="112"/>
      <c r="L202" s="112"/>
    </row>
    <row r="203" spans="1:12">
      <c r="A203" s="111">
        <f t="shared" si="6"/>
        <v>0.79999999999999993</v>
      </c>
      <c r="B203" s="111">
        <f t="shared" si="3"/>
        <v>1</v>
      </c>
      <c r="C203" s="133">
        <f t="shared" si="4"/>
        <v>-6.3417573352568368E-2</v>
      </c>
      <c r="D203" s="133">
        <f t="shared" si="5"/>
        <v>6.1468021865933475E-2</v>
      </c>
      <c r="E203" s="112"/>
      <c r="F203" s="112"/>
      <c r="G203" s="112"/>
      <c r="H203" s="112"/>
      <c r="I203" s="112"/>
      <c r="J203" s="112"/>
      <c r="K203" s="112"/>
      <c r="L203" s="112"/>
    </row>
    <row r="204" spans="1:12">
      <c r="A204" s="111">
        <f t="shared" si="6"/>
        <v>0.89999999999999991</v>
      </c>
      <c r="B204" s="111">
        <f t="shared" si="3"/>
        <v>1</v>
      </c>
      <c r="C204" s="133">
        <f t="shared" si="4"/>
        <v>-6.7327211149872612E-2</v>
      </c>
      <c r="D204" s="133">
        <f t="shared" si="5"/>
        <v>6.5133965727408594E-2</v>
      </c>
      <c r="E204" s="112"/>
      <c r="F204" s="112"/>
      <c r="G204" s="112"/>
      <c r="H204" s="112"/>
      <c r="I204" s="112"/>
      <c r="J204" s="112"/>
      <c r="K204" s="112"/>
      <c r="L204" s="112"/>
    </row>
    <row r="205" spans="1:12">
      <c r="A205" s="111">
        <v>1</v>
      </c>
      <c r="B205" s="111">
        <f t="shared" si="3"/>
        <v>1</v>
      </c>
      <c r="C205" s="133">
        <f t="shared" si="4"/>
        <v>-7.1031639758920129E-2</v>
      </c>
      <c r="D205" s="133">
        <f t="shared" si="5"/>
        <v>6.8594700400626429E-2</v>
      </c>
      <c r="E205" s="112"/>
      <c r="F205" s="112"/>
      <c r="G205" s="112"/>
      <c r="H205" s="112"/>
      <c r="I205" s="112"/>
      <c r="J205" s="112"/>
      <c r="K205" s="112"/>
      <c r="L205" s="112"/>
    </row>
    <row r="206" spans="1:12">
      <c r="A206" s="111"/>
      <c r="B206" s="111"/>
      <c r="C206" s="133"/>
      <c r="D206" s="112"/>
      <c r="E206" s="112"/>
      <c r="F206" s="112"/>
      <c r="G206" s="112"/>
      <c r="H206" s="112"/>
      <c r="I206" s="112"/>
      <c r="J206" s="112"/>
      <c r="K206" s="112"/>
      <c r="L206" s="112"/>
    </row>
    <row r="207" spans="1:12">
      <c r="A207" s="111"/>
      <c r="B207" s="111"/>
      <c r="C207" s="133"/>
      <c r="D207" s="112"/>
      <c r="E207" s="112"/>
      <c r="F207" s="112"/>
      <c r="G207" s="112"/>
      <c r="H207" s="112"/>
      <c r="I207" s="112"/>
      <c r="J207" s="112"/>
      <c r="K207" s="112"/>
      <c r="L207" s="112"/>
    </row>
    <row r="208" spans="1:12" ht="13" thickBot="1">
      <c r="A208" s="134"/>
      <c r="B208" s="134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</row>
    <row r="209" spans="1:12" ht="13" thickBot="1">
      <c r="A209" s="117" t="s">
        <v>44</v>
      </c>
      <c r="B209" s="118" t="s">
        <v>89</v>
      </c>
      <c r="C209" s="119"/>
      <c r="D209" s="119"/>
      <c r="E209" s="119"/>
      <c r="F209" s="120" t="s">
        <v>46</v>
      </c>
      <c r="G209" s="99" t="s">
        <v>47</v>
      </c>
      <c r="H209" s="99"/>
      <c r="I209" s="117" t="s">
        <v>48</v>
      </c>
      <c r="J209" s="164">
        <v>1</v>
      </c>
      <c r="K209" s="101" t="s">
        <v>49</v>
      </c>
      <c r="L209" s="100">
        <v>1</v>
      </c>
    </row>
    <row r="210" spans="1:12" ht="13" thickBot="1">
      <c r="A210" s="117" t="s">
        <v>50</v>
      </c>
      <c r="B210" s="118" t="s">
        <v>51</v>
      </c>
      <c r="C210" s="119"/>
      <c r="D210" s="119"/>
      <c r="E210" s="122"/>
      <c r="F210" s="117" t="s">
        <v>52</v>
      </c>
      <c r="G210" s="118"/>
      <c r="H210" s="119"/>
      <c r="I210" s="119"/>
      <c r="J210" s="116"/>
      <c r="K210" s="116"/>
      <c r="L210" s="123"/>
    </row>
    <row r="211" spans="1:12" ht="13" thickBot="1">
      <c r="A211" s="117" t="s">
        <v>53</v>
      </c>
      <c r="B211" s="118" t="s">
        <v>75</v>
      </c>
      <c r="C211" s="119"/>
      <c r="D211" s="119"/>
      <c r="E211" s="122"/>
      <c r="F211" s="117" t="s">
        <v>55</v>
      </c>
      <c r="G211" s="118"/>
      <c r="H211" s="119"/>
      <c r="I211" s="119"/>
      <c r="J211" s="119"/>
      <c r="K211" s="119"/>
      <c r="L211" s="122"/>
    </row>
    <row r="212" spans="1:12">
      <c r="A212" s="351" t="s">
        <v>56</v>
      </c>
      <c r="B212" s="125" t="s">
        <v>57</v>
      </c>
      <c r="C212" s="99"/>
      <c r="D212" s="99"/>
      <c r="E212" s="99"/>
      <c r="F212" s="99"/>
      <c r="G212" s="99"/>
      <c r="H212" s="99"/>
      <c r="I212" s="99"/>
      <c r="J212" s="99"/>
      <c r="K212" s="99"/>
      <c r="L212" s="126"/>
    </row>
    <row r="213" spans="1:12">
      <c r="A213" s="351"/>
      <c r="B213" s="127"/>
      <c r="C213" s="112"/>
      <c r="D213" s="112"/>
      <c r="E213" s="112"/>
      <c r="F213" s="112"/>
      <c r="G213" s="112"/>
      <c r="H213" s="112"/>
      <c r="I213" s="112"/>
      <c r="J213" s="112"/>
      <c r="K213" s="112"/>
      <c r="L213" s="128"/>
    </row>
    <row r="214" spans="1:12" ht="13" thickBot="1">
      <c r="A214" s="351"/>
      <c r="B214" s="129"/>
      <c r="C214" s="116"/>
      <c r="D214" s="116"/>
      <c r="E214" s="116"/>
      <c r="F214" s="116"/>
      <c r="G214" s="116"/>
      <c r="H214" s="116"/>
      <c r="I214" s="116"/>
      <c r="J214" s="116"/>
      <c r="K214" s="116"/>
      <c r="L214" s="123"/>
    </row>
    <row r="216" spans="1:12" ht="13">
      <c r="A216" s="135" t="s">
        <v>90</v>
      </c>
    </row>
    <row r="217" spans="1:12" ht="13">
      <c r="A217" s="135" t="s">
        <v>91</v>
      </c>
    </row>
    <row r="219" spans="1:12">
      <c r="A219" s="113" t="s">
        <v>92</v>
      </c>
    </row>
    <row r="220" spans="1:12">
      <c r="A220" s="113" t="s">
        <v>93</v>
      </c>
    </row>
    <row r="221" spans="1:12">
      <c r="A221" s="113" t="s">
        <v>94</v>
      </c>
    </row>
    <row r="223" spans="1:12">
      <c r="D223" s="113" t="s">
        <v>95</v>
      </c>
    </row>
    <row r="225" spans="1:9">
      <c r="A225" s="113" t="s">
        <v>96</v>
      </c>
    </row>
    <row r="226" spans="1:9" ht="13" thickBot="1">
      <c r="A226" s="113" t="s">
        <v>97</v>
      </c>
    </row>
    <row r="227" spans="1:9" ht="13.5" thickBot="1">
      <c r="E227" s="136" t="s">
        <v>98</v>
      </c>
      <c r="F227" s="137" t="s">
        <v>99</v>
      </c>
      <c r="G227" s="138" t="s">
        <v>100</v>
      </c>
    </row>
    <row r="228" spans="1:9">
      <c r="E228" s="139">
        <v>0.1</v>
      </c>
      <c r="F228" s="140">
        <f>1/(1+((1.4-1)/2)*E228^2)^(1/(1.4-1))</f>
        <v>0.99501744764400046</v>
      </c>
      <c r="G228" s="141">
        <f>1-F228</f>
        <v>4.9825523559995366E-3</v>
      </c>
      <c r="I228" s="113" t="s">
        <v>101</v>
      </c>
    </row>
    <row r="229" spans="1:9">
      <c r="E229" s="139">
        <v>0.15</v>
      </c>
      <c r="F229" s="140">
        <f t="shared" ref="F229:F237" si="7">1/(1+((1.4-1)/2)*E229^2)^(1/(1.4-1))</f>
        <v>0.98883799942083594</v>
      </c>
      <c r="G229" s="142">
        <f t="shared" ref="G229:G237" si="8">1-F229</f>
        <v>1.1162000579164055E-2</v>
      </c>
      <c r="I229" s="113" t="s">
        <v>102</v>
      </c>
    </row>
    <row r="230" spans="1:9">
      <c r="E230" s="139">
        <v>0.25</v>
      </c>
      <c r="F230" s="140">
        <f t="shared" si="7"/>
        <v>0.96942099314119834</v>
      </c>
      <c r="G230" s="142">
        <f t="shared" si="8"/>
        <v>3.0579006858801661E-2</v>
      </c>
      <c r="I230" s="113" t="s">
        <v>103</v>
      </c>
    </row>
    <row r="231" spans="1:9">
      <c r="E231" s="139">
        <v>0.28000000000000003</v>
      </c>
      <c r="F231" s="140">
        <f t="shared" si="7"/>
        <v>0.96185088330603818</v>
      </c>
      <c r="G231" s="142">
        <f t="shared" si="8"/>
        <v>3.8149116693961815E-2</v>
      </c>
    </row>
    <row r="232" spans="1:9" ht="13">
      <c r="E232" s="143">
        <v>0.3</v>
      </c>
      <c r="F232" s="144">
        <f t="shared" si="7"/>
        <v>0.95638015306690838</v>
      </c>
      <c r="G232" s="145">
        <f t="shared" si="8"/>
        <v>4.3619846933091622E-2</v>
      </c>
      <c r="I232" s="113" t="s">
        <v>104</v>
      </c>
    </row>
    <row r="233" spans="1:9" ht="13">
      <c r="E233" s="143">
        <v>0.32</v>
      </c>
      <c r="F233" s="144">
        <f t="shared" si="7"/>
        <v>0.95058018276636214</v>
      </c>
      <c r="G233" s="145">
        <f t="shared" si="8"/>
        <v>4.9419817233637864E-2</v>
      </c>
      <c r="I233" s="113" t="s">
        <v>105</v>
      </c>
    </row>
    <row r="234" spans="1:9" ht="13">
      <c r="E234" s="143">
        <v>0.4</v>
      </c>
      <c r="F234" s="144">
        <f t="shared" si="7"/>
        <v>0.92427404330578189</v>
      </c>
      <c r="G234" s="145">
        <f t="shared" si="8"/>
        <v>7.5725956694218111E-2</v>
      </c>
      <c r="I234" s="113" t="s">
        <v>106</v>
      </c>
    </row>
    <row r="235" spans="1:9">
      <c r="E235" s="139">
        <v>0.7</v>
      </c>
      <c r="F235" s="140">
        <f t="shared" si="7"/>
        <v>0.79157879136912335</v>
      </c>
      <c r="G235" s="142">
        <f t="shared" si="8"/>
        <v>0.20842120863087665</v>
      </c>
      <c r="I235" s="113" t="s">
        <v>107</v>
      </c>
    </row>
    <row r="236" spans="1:9">
      <c r="E236" s="139">
        <v>0.8</v>
      </c>
      <c r="F236" s="140">
        <f t="shared" si="7"/>
        <v>0.73999238550892377</v>
      </c>
      <c r="G236" s="142">
        <f t="shared" si="8"/>
        <v>0.26000761449107623</v>
      </c>
      <c r="I236" s="113" t="s">
        <v>108</v>
      </c>
    </row>
    <row r="237" spans="1:9" ht="13" thickBot="1">
      <c r="E237" s="146">
        <v>1</v>
      </c>
      <c r="F237" s="147">
        <f t="shared" si="7"/>
        <v>0.63393814526060888</v>
      </c>
      <c r="G237" s="148">
        <f t="shared" si="8"/>
        <v>0.36606185473939112</v>
      </c>
    </row>
    <row r="239" spans="1:9">
      <c r="A239" s="113" t="s">
        <v>109</v>
      </c>
      <c r="C239" s="113" t="s">
        <v>110</v>
      </c>
    </row>
    <row r="240" spans="1:9">
      <c r="C240" s="113" t="s">
        <v>111</v>
      </c>
    </row>
    <row r="241" spans="1:7">
      <c r="C241" s="113" t="s">
        <v>112</v>
      </c>
    </row>
    <row r="242" spans="1:7" ht="13" thickBot="1"/>
    <row r="243" spans="1:7" ht="15" customHeight="1" thickBot="1">
      <c r="C243" s="352" t="s">
        <v>113</v>
      </c>
      <c r="D243" s="353"/>
      <c r="E243" s="353"/>
      <c r="F243" s="353"/>
      <c r="G243" s="354"/>
    </row>
    <row r="244" spans="1:7">
      <c r="A244" s="113" t="s">
        <v>114</v>
      </c>
      <c r="C244" s="149" t="s">
        <v>115</v>
      </c>
      <c r="D244" s="150"/>
      <c r="E244" s="149">
        <v>80</v>
      </c>
      <c r="F244" s="150">
        <v>300</v>
      </c>
      <c r="G244" s="151" t="s">
        <v>116</v>
      </c>
    </row>
    <row r="245" spans="1:7">
      <c r="A245" s="113" t="s">
        <v>117</v>
      </c>
      <c r="C245" s="149" t="s">
        <v>118</v>
      </c>
      <c r="D245" s="150"/>
      <c r="E245" s="149">
        <v>288</v>
      </c>
      <c r="F245" s="150">
        <v>288</v>
      </c>
      <c r="G245" s="152" t="s">
        <v>119</v>
      </c>
    </row>
    <row r="246" spans="1:7" ht="13" thickBot="1">
      <c r="C246" s="149" t="s">
        <v>120</v>
      </c>
      <c r="D246" s="150"/>
      <c r="E246" s="149">
        <f>101325-0.5*1.225*E244^2</f>
        <v>97405</v>
      </c>
      <c r="F246" s="150">
        <f>101325-0.5*1.225*F244^2</f>
        <v>46199.999999999993</v>
      </c>
      <c r="G246" s="153" t="s">
        <v>121</v>
      </c>
    </row>
    <row r="247" spans="1:7" ht="15" customHeight="1" thickBot="1">
      <c r="A247" s="113" t="s">
        <v>122</v>
      </c>
      <c r="C247" s="352" t="s">
        <v>123</v>
      </c>
      <c r="D247" s="353"/>
      <c r="E247" s="353"/>
      <c r="F247" s="353"/>
      <c r="G247" s="354"/>
    </row>
    <row r="248" spans="1:7">
      <c r="A248" s="113" t="s">
        <v>124</v>
      </c>
      <c r="C248" s="149" t="s">
        <v>118</v>
      </c>
      <c r="D248" s="150"/>
      <c r="E248" s="149">
        <f>288-(E244^2)/(2*1005)</f>
        <v>284.81592039800995</v>
      </c>
      <c r="F248" s="150">
        <f>288-(F244^2)/(2*1005)</f>
        <v>243.22388059701493</v>
      </c>
      <c r="G248" s="151" t="s">
        <v>119</v>
      </c>
    </row>
    <row r="249" spans="1:7" ht="13" thickBot="1">
      <c r="A249" s="113" t="s">
        <v>125</v>
      </c>
      <c r="C249" s="149" t="s">
        <v>120</v>
      </c>
      <c r="D249" s="150"/>
      <c r="E249" s="149">
        <f>(101325)*(E248/288)^(1.4/(1.4-1))</f>
        <v>97458.073088268851</v>
      </c>
      <c r="F249" s="150">
        <f>(101325)*(F248/288)^(1.4/(1.4-1))</f>
        <v>56087.315222353413</v>
      </c>
      <c r="G249" s="153" t="s">
        <v>121</v>
      </c>
    </row>
    <row r="250" spans="1:7" ht="13" thickBot="1">
      <c r="C250" s="154" t="s">
        <v>126</v>
      </c>
      <c r="D250" s="155"/>
      <c r="E250" s="156">
        <f>1-E246/E249</f>
        <v>5.4457354416170833E-4</v>
      </c>
      <c r="F250" s="157">
        <f>1-F246/F249</f>
        <v>0.17628433778932007</v>
      </c>
    </row>
    <row r="253" spans="1:7">
      <c r="C253" s="113" t="s">
        <v>127</v>
      </c>
    </row>
    <row r="254" spans="1:7">
      <c r="C254" s="113" t="s">
        <v>128</v>
      </c>
    </row>
    <row r="256" spans="1:7">
      <c r="C256" s="158" t="s">
        <v>129</v>
      </c>
      <c r="D256" s="158" t="s">
        <v>130</v>
      </c>
      <c r="E256" s="158">
        <f>80/330</f>
        <v>0.24242424242424243</v>
      </c>
      <c r="F256" s="355" t="s">
        <v>78</v>
      </c>
    </row>
    <row r="257" spans="1:12">
      <c r="C257" s="158" t="s">
        <v>131</v>
      </c>
      <c r="D257" s="158" t="s">
        <v>132</v>
      </c>
      <c r="E257" s="158">
        <f>300/330</f>
        <v>0.90909090909090906</v>
      </c>
      <c r="F257" s="356"/>
    </row>
    <row r="259" spans="1:12" ht="13" thickBot="1"/>
    <row r="260" spans="1:12" ht="13" thickBot="1">
      <c r="A260" s="117" t="s">
        <v>44</v>
      </c>
      <c r="B260" s="118" t="s">
        <v>133</v>
      </c>
      <c r="C260" s="119"/>
      <c r="D260" s="119"/>
      <c r="E260" s="119"/>
      <c r="F260" s="120" t="s">
        <v>46</v>
      </c>
      <c r="G260" s="99" t="s">
        <v>134</v>
      </c>
      <c r="H260" s="99"/>
      <c r="I260" s="117" t="s">
        <v>48</v>
      </c>
      <c r="J260" s="118">
        <v>1</v>
      </c>
      <c r="K260" s="121" t="s">
        <v>49</v>
      </c>
      <c r="L260" s="122">
        <v>2</v>
      </c>
    </row>
    <row r="261" spans="1:12" ht="13" thickBot="1">
      <c r="A261" s="117" t="s">
        <v>50</v>
      </c>
      <c r="B261" s="118" t="s">
        <v>51</v>
      </c>
      <c r="C261" s="119"/>
      <c r="D261" s="119"/>
      <c r="E261" s="122"/>
      <c r="F261" s="117" t="s">
        <v>52</v>
      </c>
      <c r="G261" s="118"/>
      <c r="H261" s="119"/>
      <c r="I261" s="119"/>
      <c r="J261" s="116"/>
      <c r="K261" s="116"/>
      <c r="L261" s="123"/>
    </row>
    <row r="262" spans="1:12" ht="13" thickBot="1">
      <c r="A262" s="117" t="s">
        <v>53</v>
      </c>
      <c r="B262" s="118" t="s">
        <v>75</v>
      </c>
      <c r="C262" s="119"/>
      <c r="D262" s="119"/>
      <c r="E262" s="122"/>
      <c r="F262" s="117" t="s">
        <v>55</v>
      </c>
      <c r="G262" s="118"/>
      <c r="H262" s="119"/>
      <c r="I262" s="119"/>
      <c r="J262" s="119"/>
      <c r="K262" s="119"/>
      <c r="L262" s="122"/>
    </row>
    <row r="263" spans="1:12" ht="14.5">
      <c r="A263" s="351" t="s">
        <v>56</v>
      </c>
      <c r="B263" s="159" t="s">
        <v>135</v>
      </c>
      <c r="C263" s="98"/>
      <c r="D263" s="98"/>
      <c r="E263" s="98"/>
      <c r="F263" s="98"/>
      <c r="G263" s="98"/>
      <c r="H263" s="98"/>
      <c r="I263" s="98"/>
      <c r="J263" s="98"/>
      <c r="K263" s="98"/>
      <c r="L263" s="160"/>
    </row>
    <row r="264" spans="1:12" ht="14.5">
      <c r="A264" s="351"/>
      <c r="B264" s="159" t="s">
        <v>136</v>
      </c>
      <c r="L264" s="150"/>
    </row>
    <row r="265" spans="1:12" ht="13" thickBot="1">
      <c r="A265" s="351"/>
      <c r="B265" s="161"/>
      <c r="C265" s="162"/>
      <c r="D265" s="162"/>
      <c r="E265" s="162"/>
      <c r="F265" s="162"/>
      <c r="G265" s="162"/>
      <c r="H265" s="162"/>
      <c r="I265" s="162"/>
      <c r="J265" s="162"/>
      <c r="K265" s="162"/>
      <c r="L265" s="163"/>
    </row>
    <row r="267" spans="1:12" ht="13">
      <c r="A267" s="135" t="s">
        <v>137</v>
      </c>
    </row>
    <row r="268" spans="1:12" ht="13">
      <c r="A268" s="135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 xr:uid="{00000000-0004-0000-0000-000000000000}"/>
    <hyperlink ref="B264" r:id="rId2" xr:uid="{00000000-0004-0000-0000-000001000000}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00000000-0003-0000-0000-000000000000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A19"/>
  <sheetViews>
    <sheetView workbookViewId="0">
      <selection activeCell="G12" sqref="G12"/>
    </sheetView>
  </sheetViews>
  <sheetFormatPr defaultColWidth="15.36328125" defaultRowHeight="14.5"/>
  <cols>
    <col min="1" max="1" width="24.26953125" customWidth="1"/>
    <col min="7" max="7" width="9.08984375" bestFit="1" customWidth="1"/>
    <col min="8" max="8" width="20.08984375" customWidth="1"/>
  </cols>
  <sheetData>
    <row r="1" spans="1:27" ht="43" customHeight="1">
      <c r="A1" s="202" t="s">
        <v>139</v>
      </c>
      <c r="B1" s="213" t="s">
        <v>140</v>
      </c>
      <c r="C1" s="216" t="s">
        <v>141</v>
      </c>
      <c r="D1" s="219" t="s">
        <v>142</v>
      </c>
      <c r="E1" s="222" t="s">
        <v>143</v>
      </c>
      <c r="F1" s="227" t="s">
        <v>144</v>
      </c>
      <c r="G1" s="207" t="s">
        <v>145</v>
      </c>
      <c r="H1" s="208" t="s">
        <v>146</v>
      </c>
      <c r="I1" s="234" t="s">
        <v>147</v>
      </c>
      <c r="J1" s="235" t="s">
        <v>148</v>
      </c>
      <c r="K1" s="232" t="s">
        <v>149</v>
      </c>
      <c r="L1" s="236" t="s">
        <v>150</v>
      </c>
      <c r="M1" s="236" t="s">
        <v>151</v>
      </c>
      <c r="N1" s="236" t="s">
        <v>152</v>
      </c>
      <c r="O1" s="213" t="s">
        <v>153</v>
      </c>
      <c r="P1" s="216" t="s">
        <v>154</v>
      </c>
      <c r="Q1" s="219" t="s">
        <v>155</v>
      </c>
      <c r="R1" s="222" t="s">
        <v>156</v>
      </c>
      <c r="S1" s="227" t="s">
        <v>157</v>
      </c>
      <c r="T1" s="207" t="s">
        <v>158</v>
      </c>
      <c r="U1" s="208" t="s">
        <v>159</v>
      </c>
      <c r="V1" s="228" t="s">
        <v>160</v>
      </c>
      <c r="W1" s="230" t="s">
        <v>161</v>
      </c>
      <c r="X1" s="232" t="s">
        <v>162</v>
      </c>
      <c r="Y1" s="237" t="s">
        <v>163</v>
      </c>
      <c r="Z1" s="237" t="s">
        <v>164</v>
      </c>
      <c r="AA1" s="238" t="s">
        <v>165</v>
      </c>
    </row>
    <row r="2" spans="1:27" ht="14.5" customHeight="1">
      <c r="A2" s="203" t="s">
        <v>166</v>
      </c>
      <c r="B2" s="214">
        <v>2.5</v>
      </c>
      <c r="C2" s="217">
        <v>0</v>
      </c>
      <c r="D2" s="220">
        <v>2.38</v>
      </c>
      <c r="E2" s="223">
        <v>2.5</v>
      </c>
      <c r="F2" s="225">
        <v>2.5099999999999998</v>
      </c>
      <c r="G2" s="209">
        <v>0.81</v>
      </c>
      <c r="H2" s="210">
        <v>1.1000000000000001</v>
      </c>
      <c r="I2" s="239">
        <v>2.1</v>
      </c>
      <c r="J2" s="240">
        <v>2.8130000000000002</v>
      </c>
      <c r="K2" s="241">
        <v>1.5</v>
      </c>
      <c r="L2" s="242">
        <f>AVERAGE(B2,D2,E2,F2,G2,H2,I2,J2,K2)</f>
        <v>2.0236666666666667</v>
      </c>
      <c r="M2" s="242">
        <f>MODE(B2,D2,E2,F2,G2,H2,I2,J2,K2)</f>
        <v>2.5</v>
      </c>
      <c r="N2" s="242">
        <f>MEDIAN(B2,D2,E2,F2,G2,H2,I2,J2,K2)</f>
        <v>2.38</v>
      </c>
      <c r="O2" s="214">
        <f t="shared" ref="O2:O10" si="0">B2-L2</f>
        <v>0.47633333333333328</v>
      </c>
      <c r="P2" s="217">
        <f t="shared" ref="P2:P10" si="1">C2-L2</f>
        <v>-2.0236666666666667</v>
      </c>
      <c r="Q2" s="220">
        <f t="shared" ref="Q2:Q10" si="2">D2-L2</f>
        <v>0.35633333333333317</v>
      </c>
      <c r="R2" s="223">
        <f>E2-L2</f>
        <v>0.47633333333333328</v>
      </c>
      <c r="S2" s="225">
        <f t="shared" ref="S2:S10" si="3">F2-L2</f>
        <v>0.48633333333333306</v>
      </c>
      <c r="T2" s="209">
        <f t="shared" ref="T2:T10" si="4">G2-L2</f>
        <v>-1.2136666666666667</v>
      </c>
      <c r="U2" s="210">
        <f t="shared" ref="U2:U10" si="5">H2-L2</f>
        <v>-0.92366666666666664</v>
      </c>
      <c r="V2" s="229">
        <f t="shared" ref="V2:V10" si="6">I2-L2</f>
        <v>7.6333333333333364E-2</v>
      </c>
      <c r="W2" s="231">
        <f t="shared" ref="W2:W10" si="7">J2-L2</f>
        <v>0.78933333333333344</v>
      </c>
      <c r="X2" s="233">
        <f t="shared" ref="X2:X10" si="8">K2-L2</f>
        <v>-0.52366666666666672</v>
      </c>
      <c r="Y2" s="201">
        <f t="shared" ref="Y2:Y10" si="9">ABS(MIN(O2,P2,Q2,R2,S2,T2,U2,V2,W2,X2))</f>
        <v>2.0236666666666667</v>
      </c>
      <c r="Z2" s="201">
        <f t="shared" ref="Z2:Z10" si="10">MAX(O2,P2,Q2,R2,S2,T2,U2,V2,W2,X2)</f>
        <v>0.78933333333333344</v>
      </c>
      <c r="AA2" s="243">
        <f t="shared" ref="AA2:AA10" si="11">MAX(Y2,Z2)</f>
        <v>2.0236666666666667</v>
      </c>
    </row>
    <row r="3" spans="1:27" ht="14.5" customHeight="1">
      <c r="A3" s="203" t="s">
        <v>167</v>
      </c>
      <c r="B3" s="214">
        <v>13</v>
      </c>
      <c r="C3" s="217">
        <v>17.38</v>
      </c>
      <c r="D3" s="220">
        <v>26</v>
      </c>
      <c r="E3" s="223">
        <v>21</v>
      </c>
      <c r="F3" s="225">
        <v>21.6</v>
      </c>
      <c r="G3" s="209">
        <v>4.6760000000000002</v>
      </c>
      <c r="H3" s="210">
        <v>0.46200000000000002</v>
      </c>
      <c r="I3" s="239">
        <v>7</v>
      </c>
      <c r="J3" s="240">
        <v>33</v>
      </c>
      <c r="K3" s="241">
        <v>32</v>
      </c>
      <c r="L3" s="242">
        <f>AVERAGE(B3,C3,D3,E3,F3,G3,H3,I3,J3,K3)</f>
        <v>17.611799999999999</v>
      </c>
      <c r="M3" s="242" t="e">
        <f>MODE(B3,C3,D3,E3,F3,G3,H3,I3,J3,K3)</f>
        <v>#N/A</v>
      </c>
      <c r="N3" s="242">
        <f>MEDIAN(B3,C3,D3,E3,F3,G3,H3,I3,J3,K3)</f>
        <v>19.189999999999998</v>
      </c>
      <c r="O3" s="214">
        <f t="shared" si="0"/>
        <v>-4.6117999999999988</v>
      </c>
      <c r="P3" s="217">
        <f t="shared" si="1"/>
        <v>-0.23179999999999978</v>
      </c>
      <c r="Q3" s="220">
        <f t="shared" si="2"/>
        <v>8.3882000000000012</v>
      </c>
      <c r="R3" s="223">
        <f>J3-L3</f>
        <v>15.388200000000001</v>
      </c>
      <c r="S3" s="225">
        <f t="shared" si="3"/>
        <v>3.9882000000000026</v>
      </c>
      <c r="T3" s="209">
        <f t="shared" si="4"/>
        <v>-12.935799999999999</v>
      </c>
      <c r="U3" s="210">
        <f t="shared" si="5"/>
        <v>-17.149799999999999</v>
      </c>
      <c r="V3" s="229">
        <f t="shared" si="6"/>
        <v>-10.611799999999999</v>
      </c>
      <c r="W3" s="231">
        <f t="shared" si="7"/>
        <v>15.388200000000001</v>
      </c>
      <c r="X3" s="233">
        <f t="shared" si="8"/>
        <v>14.388200000000001</v>
      </c>
      <c r="Y3" s="201">
        <f t="shared" si="9"/>
        <v>17.149799999999999</v>
      </c>
      <c r="Z3" s="201">
        <f t="shared" si="10"/>
        <v>15.388200000000001</v>
      </c>
      <c r="AA3" s="243">
        <f t="shared" si="11"/>
        <v>17.149799999999999</v>
      </c>
    </row>
    <row r="4" spans="1:27" ht="14.5" customHeight="1">
      <c r="A4" s="203" t="s">
        <v>168</v>
      </c>
      <c r="B4" s="214">
        <v>13</v>
      </c>
      <c r="C4" s="217">
        <v>32.21</v>
      </c>
      <c r="D4" s="220">
        <v>26</v>
      </c>
      <c r="E4" s="223">
        <v>21</v>
      </c>
      <c r="F4" s="225">
        <v>21.6</v>
      </c>
      <c r="G4" s="209">
        <v>7.6319999999999997</v>
      </c>
      <c r="H4" s="210">
        <v>0.80700000000000005</v>
      </c>
      <c r="I4" s="239">
        <v>7</v>
      </c>
      <c r="J4" s="240">
        <v>38</v>
      </c>
      <c r="K4" s="241">
        <v>32</v>
      </c>
      <c r="L4" s="242">
        <f>AVERAGE(B4,C4,D4,E4,F4,G4,H4,I4,J4,K4)</f>
        <v>19.924900000000001</v>
      </c>
      <c r="M4" s="242" t="e">
        <f>MODE(B4,C4,D4,E4,F4,G4,H4,I4,J4,K4)</f>
        <v>#N/A</v>
      </c>
      <c r="N4" s="242">
        <f>MEDIAN(B4,C4,D4,E4,F4,G4,H4,I4,J4,K4)</f>
        <v>21.3</v>
      </c>
      <c r="O4" s="214">
        <f t="shared" si="0"/>
        <v>-6.9249000000000009</v>
      </c>
      <c r="P4" s="217">
        <f t="shared" si="1"/>
        <v>12.2851</v>
      </c>
      <c r="Q4" s="220">
        <f t="shared" si="2"/>
        <v>6.0750999999999991</v>
      </c>
      <c r="R4" s="223">
        <f>J4-L4</f>
        <v>18.075099999999999</v>
      </c>
      <c r="S4" s="225">
        <f t="shared" si="3"/>
        <v>1.6751000000000005</v>
      </c>
      <c r="T4" s="209">
        <f t="shared" si="4"/>
        <v>-12.292900000000001</v>
      </c>
      <c r="U4" s="210">
        <f t="shared" si="5"/>
        <v>-19.117900000000002</v>
      </c>
      <c r="V4" s="229">
        <f t="shared" si="6"/>
        <v>-12.924900000000001</v>
      </c>
      <c r="W4" s="231">
        <f t="shared" si="7"/>
        <v>18.075099999999999</v>
      </c>
      <c r="X4" s="233">
        <f t="shared" si="8"/>
        <v>12.075099999999999</v>
      </c>
      <c r="Y4" s="201">
        <f t="shared" si="9"/>
        <v>19.117900000000002</v>
      </c>
      <c r="Z4" s="201">
        <f t="shared" si="10"/>
        <v>18.075099999999999</v>
      </c>
      <c r="AA4" s="243">
        <f t="shared" si="11"/>
        <v>19.117900000000002</v>
      </c>
    </row>
    <row r="5" spans="1:27" ht="14.5" customHeight="1">
      <c r="A5" s="203" t="s">
        <v>169</v>
      </c>
      <c r="B5" s="214">
        <v>1.4</v>
      </c>
      <c r="C5" s="217">
        <v>4</v>
      </c>
      <c r="D5" s="220">
        <v>0</v>
      </c>
      <c r="E5" s="223">
        <v>0</v>
      </c>
      <c r="F5" s="225">
        <v>0</v>
      </c>
      <c r="G5" s="209">
        <v>0</v>
      </c>
      <c r="H5" s="210">
        <v>0</v>
      </c>
      <c r="I5" s="239">
        <v>0</v>
      </c>
      <c r="J5" s="240">
        <v>12.2</v>
      </c>
      <c r="K5" s="241">
        <v>1</v>
      </c>
      <c r="L5" s="242">
        <f>AVERAGE(B5,C5,J5,K5)</f>
        <v>4.6500000000000004</v>
      </c>
      <c r="M5" s="242" t="e">
        <f>MODE(B5,C5,J5,K5)</f>
        <v>#N/A</v>
      </c>
      <c r="N5" s="242">
        <f>MEDIAN(B5,C5,J5,K5)</f>
        <v>2.7</v>
      </c>
      <c r="O5" s="214">
        <f t="shared" si="0"/>
        <v>-3.2500000000000004</v>
      </c>
      <c r="P5" s="217">
        <f t="shared" si="1"/>
        <v>-0.65000000000000036</v>
      </c>
      <c r="Q5" s="220">
        <f t="shared" si="2"/>
        <v>-4.6500000000000004</v>
      </c>
      <c r="R5" s="223">
        <f>J5-L5</f>
        <v>7.5499999999999989</v>
      </c>
      <c r="S5" s="225">
        <f t="shared" si="3"/>
        <v>-4.6500000000000004</v>
      </c>
      <c r="T5" s="209">
        <f t="shared" si="4"/>
        <v>-4.6500000000000004</v>
      </c>
      <c r="U5" s="210">
        <f t="shared" si="5"/>
        <v>-4.6500000000000004</v>
      </c>
      <c r="V5" s="229">
        <f t="shared" si="6"/>
        <v>-4.6500000000000004</v>
      </c>
      <c r="W5" s="231">
        <f t="shared" si="7"/>
        <v>7.5499999999999989</v>
      </c>
      <c r="X5" s="233">
        <f t="shared" si="8"/>
        <v>-3.6500000000000004</v>
      </c>
      <c r="Y5" s="201">
        <f t="shared" si="9"/>
        <v>4.6500000000000004</v>
      </c>
      <c r="Z5" s="201">
        <f t="shared" si="10"/>
        <v>7.5499999999999989</v>
      </c>
      <c r="AA5" s="243">
        <f t="shared" si="11"/>
        <v>7.5499999999999989</v>
      </c>
    </row>
    <row r="6" spans="1:27" ht="14.5" customHeight="1">
      <c r="A6" s="204" t="s">
        <v>170</v>
      </c>
      <c r="B6" s="214">
        <v>2000</v>
      </c>
      <c r="C6" s="217">
        <v>20145.7</v>
      </c>
      <c r="D6" s="220">
        <v>0</v>
      </c>
      <c r="E6" s="223">
        <v>0</v>
      </c>
      <c r="F6" s="225">
        <v>0</v>
      </c>
      <c r="G6" s="209">
        <v>4356</v>
      </c>
      <c r="H6" s="210">
        <v>150</v>
      </c>
      <c r="I6" s="239">
        <v>0</v>
      </c>
      <c r="J6" s="240">
        <v>0</v>
      </c>
      <c r="K6" s="241">
        <v>0</v>
      </c>
      <c r="L6" s="242">
        <f>AVERAGE(B6,C6,G6,H6)</f>
        <v>6662.9250000000002</v>
      </c>
      <c r="M6" s="242" t="e">
        <f>MODE(B6,C6,G6,H6)</f>
        <v>#N/A</v>
      </c>
      <c r="N6" s="242">
        <f>MEDIAN(B6,C6,G6,H6)</f>
        <v>3178</v>
      </c>
      <c r="O6" s="214">
        <f t="shared" si="0"/>
        <v>-4662.9250000000002</v>
      </c>
      <c r="P6" s="217">
        <f t="shared" si="1"/>
        <v>13482.775000000001</v>
      </c>
      <c r="Q6" s="220">
        <f t="shared" si="2"/>
        <v>-6662.9250000000002</v>
      </c>
      <c r="R6" s="223">
        <f>J6-L6</f>
        <v>-6662.9250000000002</v>
      </c>
      <c r="S6" s="225">
        <f t="shared" si="3"/>
        <v>-6662.9250000000002</v>
      </c>
      <c r="T6" s="209">
        <f t="shared" si="4"/>
        <v>-2306.9250000000002</v>
      </c>
      <c r="U6" s="210">
        <f t="shared" si="5"/>
        <v>-6512.9250000000002</v>
      </c>
      <c r="V6" s="229">
        <f t="shared" si="6"/>
        <v>-6662.9250000000002</v>
      </c>
      <c r="W6" s="231">
        <f t="shared" si="7"/>
        <v>-6662.9250000000002</v>
      </c>
      <c r="X6" s="233">
        <f t="shared" si="8"/>
        <v>-6662.9250000000002</v>
      </c>
      <c r="Y6" s="201">
        <f t="shared" si="9"/>
        <v>6662.9250000000002</v>
      </c>
      <c r="Z6" s="201">
        <f t="shared" si="10"/>
        <v>13482.775000000001</v>
      </c>
      <c r="AA6" s="243">
        <f t="shared" si="11"/>
        <v>13482.775000000001</v>
      </c>
    </row>
    <row r="7" spans="1:27" ht="14.5" customHeight="1">
      <c r="A7" s="203" t="s">
        <v>171</v>
      </c>
      <c r="B7" s="214">
        <v>800</v>
      </c>
      <c r="C7" s="217">
        <v>8034.6</v>
      </c>
      <c r="D7" s="220">
        <v>2945</v>
      </c>
      <c r="E7" s="223">
        <v>2953</v>
      </c>
      <c r="F7" s="225">
        <v>2827</v>
      </c>
      <c r="G7" s="209">
        <v>2280</v>
      </c>
      <c r="H7" s="210">
        <v>300</v>
      </c>
      <c r="I7" s="239">
        <v>0</v>
      </c>
      <c r="J7" s="240">
        <v>0</v>
      </c>
      <c r="K7" s="241">
        <v>0</v>
      </c>
      <c r="L7" s="242">
        <f>AVERAGE(B7,C7,D7,E7,F7,G7,H7)</f>
        <v>2877.0857142857139</v>
      </c>
      <c r="M7" s="242" t="e">
        <f>MODE(B7,C7,D7,E7,F7,G7,H7)</f>
        <v>#N/A</v>
      </c>
      <c r="N7" s="242">
        <f>MEDIAN(B7,C7,D7,E7,F7,G7,H7)</f>
        <v>2827</v>
      </c>
      <c r="O7" s="214">
        <f t="shared" si="0"/>
        <v>-2077.0857142857139</v>
      </c>
      <c r="P7" s="217">
        <f t="shared" si="1"/>
        <v>5157.5142857142864</v>
      </c>
      <c r="Q7" s="220">
        <f t="shared" si="2"/>
        <v>67.914285714286052</v>
      </c>
      <c r="R7" s="223">
        <f>J7-L7</f>
        <v>-2877.0857142857139</v>
      </c>
      <c r="S7" s="225">
        <f t="shared" si="3"/>
        <v>-50.085714285713948</v>
      </c>
      <c r="T7" s="209">
        <f t="shared" si="4"/>
        <v>-597.08571428571395</v>
      </c>
      <c r="U7" s="210">
        <f t="shared" si="5"/>
        <v>-2577.0857142857139</v>
      </c>
      <c r="V7" s="229">
        <f t="shared" si="6"/>
        <v>-2877.0857142857139</v>
      </c>
      <c r="W7" s="231">
        <f t="shared" si="7"/>
        <v>-2877.0857142857139</v>
      </c>
      <c r="X7" s="233">
        <f t="shared" si="8"/>
        <v>-2877.0857142857139</v>
      </c>
      <c r="Y7" s="201">
        <f t="shared" si="9"/>
        <v>2877.0857142857139</v>
      </c>
      <c r="Z7" s="201">
        <f t="shared" si="10"/>
        <v>5157.5142857142864</v>
      </c>
      <c r="AA7" s="243">
        <f t="shared" si="11"/>
        <v>5157.5142857142864</v>
      </c>
    </row>
    <row r="8" spans="1:27" ht="14.5" customHeight="1">
      <c r="A8" s="203" t="s">
        <v>172</v>
      </c>
      <c r="B8" s="214">
        <v>0</v>
      </c>
      <c r="C8" s="217">
        <v>22.73</v>
      </c>
      <c r="D8" s="220" t="s">
        <v>173</v>
      </c>
      <c r="E8" s="223" t="s">
        <v>173</v>
      </c>
      <c r="F8" s="225" t="s">
        <v>173</v>
      </c>
      <c r="G8" s="209" t="s">
        <v>173</v>
      </c>
      <c r="H8" s="210" t="s">
        <v>173</v>
      </c>
      <c r="I8" s="239" t="s">
        <v>173</v>
      </c>
      <c r="J8" s="240" t="s">
        <v>173</v>
      </c>
      <c r="K8" s="241" t="s">
        <v>173</v>
      </c>
      <c r="L8" s="242">
        <f>AVERAGE(B8,C8,J8,K8)</f>
        <v>11.365</v>
      </c>
      <c r="M8" s="242" t="s">
        <v>173</v>
      </c>
      <c r="N8" s="242" t="s">
        <v>173</v>
      </c>
      <c r="O8" s="214">
        <f t="shared" si="0"/>
        <v>-11.365</v>
      </c>
      <c r="P8" s="217">
        <f t="shared" si="1"/>
        <v>11.365</v>
      </c>
      <c r="Q8" s="220" t="e">
        <f t="shared" si="2"/>
        <v>#VALUE!</v>
      </c>
      <c r="R8" s="223" t="s">
        <v>173</v>
      </c>
      <c r="S8" s="225" t="e">
        <f t="shared" si="3"/>
        <v>#VALUE!</v>
      </c>
      <c r="T8" s="209" t="e">
        <f t="shared" si="4"/>
        <v>#VALUE!</v>
      </c>
      <c r="U8" s="210" t="e">
        <f t="shared" si="5"/>
        <v>#VALUE!</v>
      </c>
      <c r="V8" s="229" t="e">
        <f t="shared" si="6"/>
        <v>#VALUE!</v>
      </c>
      <c r="W8" s="231" t="e">
        <f t="shared" si="7"/>
        <v>#VALUE!</v>
      </c>
      <c r="X8" s="233" t="e">
        <f t="shared" si="8"/>
        <v>#VALUE!</v>
      </c>
      <c r="Y8" s="201" t="e">
        <f t="shared" si="9"/>
        <v>#VALUE!</v>
      </c>
      <c r="Z8" s="201" t="e">
        <f t="shared" si="10"/>
        <v>#VALUE!</v>
      </c>
      <c r="AA8" s="243" t="e">
        <f t="shared" si="11"/>
        <v>#VALUE!</v>
      </c>
    </row>
    <row r="9" spans="1:27" ht="14.5" customHeight="1">
      <c r="A9" s="203" t="s">
        <v>174</v>
      </c>
      <c r="B9" s="214">
        <v>180</v>
      </c>
      <c r="C9" s="217">
        <v>0</v>
      </c>
      <c r="D9" s="220">
        <v>833</v>
      </c>
      <c r="E9" s="223">
        <v>319</v>
      </c>
      <c r="F9" s="225">
        <v>272</v>
      </c>
      <c r="G9" s="209">
        <v>0</v>
      </c>
      <c r="H9" s="210">
        <v>0</v>
      </c>
      <c r="I9" s="239">
        <v>0</v>
      </c>
      <c r="J9" s="240">
        <v>1428</v>
      </c>
      <c r="K9" s="241">
        <v>0</v>
      </c>
      <c r="L9" s="242">
        <f>AVERAGE(B9,D9,E9,F9,J9)</f>
        <v>606.4</v>
      </c>
      <c r="M9" s="242" t="e">
        <f>MODE(B9,D9,E9,F9,J9)</f>
        <v>#N/A</v>
      </c>
      <c r="N9" s="242">
        <f>MEDIAN(B9,D9,E9,F9,J9)</f>
        <v>319</v>
      </c>
      <c r="O9" s="214">
        <f t="shared" si="0"/>
        <v>-426.4</v>
      </c>
      <c r="P9" s="217">
        <f t="shared" si="1"/>
        <v>-606.4</v>
      </c>
      <c r="Q9" s="220">
        <f t="shared" si="2"/>
        <v>226.60000000000002</v>
      </c>
      <c r="R9" s="223">
        <f>J9-L9</f>
        <v>821.6</v>
      </c>
      <c r="S9" s="225">
        <f t="shared" si="3"/>
        <v>-334.4</v>
      </c>
      <c r="T9" s="209">
        <f t="shared" si="4"/>
        <v>-606.4</v>
      </c>
      <c r="U9" s="210">
        <f t="shared" si="5"/>
        <v>-606.4</v>
      </c>
      <c r="V9" s="229">
        <f t="shared" si="6"/>
        <v>-606.4</v>
      </c>
      <c r="W9" s="231">
        <f t="shared" si="7"/>
        <v>821.6</v>
      </c>
      <c r="X9" s="233">
        <f t="shared" si="8"/>
        <v>-606.4</v>
      </c>
      <c r="Y9" s="201">
        <f t="shared" si="9"/>
        <v>606.4</v>
      </c>
      <c r="Z9" s="201">
        <f t="shared" si="10"/>
        <v>821.6</v>
      </c>
      <c r="AA9" s="243">
        <f t="shared" si="11"/>
        <v>821.6</v>
      </c>
    </row>
    <row r="10" spans="1:27" ht="14.5" customHeight="1" thickBot="1">
      <c r="A10" s="205" t="s">
        <v>175</v>
      </c>
      <c r="B10" s="215">
        <v>0</v>
      </c>
      <c r="C10" s="218">
        <v>9.8000000000000007</v>
      </c>
      <c r="D10" s="221">
        <v>13.9</v>
      </c>
      <c r="E10" s="224">
        <v>13.9</v>
      </c>
      <c r="F10" s="226">
        <v>11.7</v>
      </c>
      <c r="G10" s="211">
        <v>7.6</v>
      </c>
      <c r="H10" s="212">
        <v>4.3</v>
      </c>
      <c r="I10" s="244">
        <v>10</v>
      </c>
      <c r="J10" s="245">
        <v>20</v>
      </c>
      <c r="K10" s="246">
        <v>7.5</v>
      </c>
      <c r="L10" s="247">
        <f>AVERAGE(C10,D10,E10,F10,G10,H10,I10,J10,K10)</f>
        <v>10.966666666666665</v>
      </c>
      <c r="M10" s="247">
        <f>MODE(D10,E10,F10,G10,H10,I10,J10,K10)</f>
        <v>13.9</v>
      </c>
      <c r="N10" s="247">
        <f>MEDIAN(D10,E10,F10,G10,H10,I10,J10,K10)</f>
        <v>10.85</v>
      </c>
      <c r="O10" s="215">
        <f t="shared" si="0"/>
        <v>-10.966666666666665</v>
      </c>
      <c r="P10" s="218">
        <f t="shared" si="1"/>
        <v>-1.1666666666666643</v>
      </c>
      <c r="Q10" s="220">
        <f t="shared" si="2"/>
        <v>2.9333333333333353</v>
      </c>
      <c r="R10" s="224">
        <f>J10-L10</f>
        <v>9.033333333333335</v>
      </c>
      <c r="S10" s="225">
        <f t="shared" si="3"/>
        <v>0.73333333333333428</v>
      </c>
      <c r="T10" s="209">
        <f t="shared" si="4"/>
        <v>-3.3666666666666654</v>
      </c>
      <c r="U10" s="210">
        <f t="shared" si="5"/>
        <v>-6.6666666666666652</v>
      </c>
      <c r="V10" s="229">
        <f t="shared" si="6"/>
        <v>-0.96666666666666501</v>
      </c>
      <c r="W10" s="231">
        <f t="shared" si="7"/>
        <v>9.033333333333335</v>
      </c>
      <c r="X10" s="233">
        <f t="shared" si="8"/>
        <v>-3.466666666666665</v>
      </c>
      <c r="Y10" s="201">
        <f t="shared" si="9"/>
        <v>10.966666666666665</v>
      </c>
      <c r="Z10" s="201">
        <f t="shared" si="10"/>
        <v>9.033333333333335</v>
      </c>
      <c r="AA10" s="243">
        <f t="shared" si="11"/>
        <v>10.966666666666665</v>
      </c>
    </row>
    <row r="11" spans="1:27" ht="14.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5" customHeight="1">
      <c r="A12" s="202" t="s">
        <v>176</v>
      </c>
      <c r="B12" s="248" t="e">
        <f t="shared" ref="B12:K12" si="12">B2/(B10/100)</f>
        <v>#DIV/0!</v>
      </c>
      <c r="C12" s="248">
        <f t="shared" si="12"/>
        <v>0</v>
      </c>
      <c r="D12" s="248">
        <f t="shared" si="12"/>
        <v>17.122302158273378</v>
      </c>
      <c r="E12" s="248">
        <f t="shared" si="12"/>
        <v>17.985611510791365</v>
      </c>
      <c r="F12" s="248">
        <f t="shared" si="12"/>
        <v>21.452991452991451</v>
      </c>
      <c r="G12" s="248">
        <f t="shared" si="12"/>
        <v>10.657894736842106</v>
      </c>
      <c r="H12" s="248">
        <f t="shared" si="12"/>
        <v>25.581395348837212</v>
      </c>
      <c r="I12" s="248">
        <f t="shared" si="12"/>
        <v>21</v>
      </c>
      <c r="J12" s="248">
        <f t="shared" si="12"/>
        <v>14.065</v>
      </c>
      <c r="K12" s="249">
        <f t="shared" si="12"/>
        <v>20</v>
      </c>
      <c r="L12" s="14"/>
      <c r="M12" s="14"/>
      <c r="N12" s="14"/>
    </row>
    <row r="13" spans="1:27" ht="14.5" customHeight="1">
      <c r="A13" s="203" t="s">
        <v>177</v>
      </c>
      <c r="B13" s="200">
        <f t="shared" ref="B13:K13" si="13">B6/(B4*9.81)</f>
        <v>15.68258448992394</v>
      </c>
      <c r="C13" s="200">
        <f t="shared" si="13"/>
        <v>63.756230218295386</v>
      </c>
      <c r="D13" s="200">
        <f t="shared" si="13"/>
        <v>0</v>
      </c>
      <c r="E13" s="200">
        <f t="shared" si="13"/>
        <v>0</v>
      </c>
      <c r="F13" s="200">
        <f t="shared" si="13"/>
        <v>0</v>
      </c>
      <c r="G13" s="200">
        <f t="shared" si="13"/>
        <v>58.180908968514984</v>
      </c>
      <c r="H13" s="200">
        <f t="shared" si="13"/>
        <v>18.947360443216652</v>
      </c>
      <c r="I13" s="200">
        <f t="shared" si="13"/>
        <v>0</v>
      </c>
      <c r="J13" s="200">
        <f t="shared" si="13"/>
        <v>0</v>
      </c>
      <c r="K13" s="250">
        <f t="shared" si="13"/>
        <v>0</v>
      </c>
      <c r="L13" s="14"/>
      <c r="M13" s="14"/>
      <c r="N13" s="14"/>
    </row>
    <row r="14" spans="1:27" ht="14.5" customHeight="1">
      <c r="A14" s="203" t="s">
        <v>178</v>
      </c>
      <c r="B14" s="200">
        <f t="shared" ref="B14:K14" si="14">B7/(B4)</f>
        <v>61.53846153846154</v>
      </c>
      <c r="C14" s="200">
        <f t="shared" si="14"/>
        <v>249.44427196522818</v>
      </c>
      <c r="D14" s="200">
        <f t="shared" si="14"/>
        <v>113.26923076923077</v>
      </c>
      <c r="E14" s="200">
        <f t="shared" si="14"/>
        <v>140.61904761904762</v>
      </c>
      <c r="F14" s="200">
        <f t="shared" si="14"/>
        <v>130.87962962962962</v>
      </c>
      <c r="G14" s="200">
        <f t="shared" si="14"/>
        <v>298.74213836477986</v>
      </c>
      <c r="H14" s="200">
        <f t="shared" si="14"/>
        <v>371.74721189591077</v>
      </c>
      <c r="I14" s="200">
        <f t="shared" si="14"/>
        <v>0</v>
      </c>
      <c r="J14" s="200">
        <f t="shared" si="14"/>
        <v>0</v>
      </c>
      <c r="K14" s="250">
        <f t="shared" si="14"/>
        <v>0</v>
      </c>
      <c r="L14" s="14"/>
      <c r="M14" s="14"/>
      <c r="N14" s="14"/>
    </row>
    <row r="15" spans="1:27">
      <c r="A15" s="251" t="s">
        <v>179</v>
      </c>
      <c r="B15" s="200">
        <f>B14/9.81</f>
        <v>6.2730337959695754</v>
      </c>
      <c r="C15" s="200">
        <f t="shared" ref="C15:F15" si="15">C14/9.81</f>
        <v>25.427550659044666</v>
      </c>
      <c r="D15" s="200">
        <f t="shared" si="15"/>
        <v>11.5463028307065</v>
      </c>
      <c r="E15" s="200">
        <f t="shared" si="15"/>
        <v>14.334255618659288</v>
      </c>
      <c r="F15" s="200">
        <f t="shared" si="15"/>
        <v>13.341450522898024</v>
      </c>
      <c r="G15" s="200">
        <f>G14/9.81</f>
        <v>30.45281736644035</v>
      </c>
      <c r="H15" s="200">
        <f>H14/9.81</f>
        <v>37.894720886433305</v>
      </c>
      <c r="I15" s="200">
        <f>I14/9.81</f>
        <v>0</v>
      </c>
      <c r="J15" s="200">
        <f>J14/9.81</f>
        <v>0</v>
      </c>
      <c r="K15" s="250">
        <f>K14/9.81</f>
        <v>0</v>
      </c>
      <c r="L15" s="14"/>
      <c r="M15" s="14"/>
      <c r="N15" s="14"/>
    </row>
    <row r="16" spans="1:27">
      <c r="A16" s="203" t="s">
        <v>180</v>
      </c>
      <c r="B16" s="200">
        <f t="shared" ref="B16:K16" si="16">B7/(B4*9.81)</f>
        <v>6.2730337959695754</v>
      </c>
      <c r="C16" s="200">
        <f t="shared" si="16"/>
        <v>25.427550659044666</v>
      </c>
      <c r="D16" s="200">
        <f t="shared" si="16"/>
        <v>11.5463028307065</v>
      </c>
      <c r="E16" s="200">
        <f t="shared" si="16"/>
        <v>14.334255618659286</v>
      </c>
      <c r="F16" s="200">
        <f t="shared" si="16"/>
        <v>13.341450522898025</v>
      </c>
      <c r="G16" s="200">
        <f t="shared" si="16"/>
        <v>30.45281736644035</v>
      </c>
      <c r="H16" s="200">
        <f t="shared" si="16"/>
        <v>37.894720886433305</v>
      </c>
      <c r="I16" s="200">
        <f t="shared" si="16"/>
        <v>0</v>
      </c>
      <c r="J16" s="200">
        <f t="shared" si="16"/>
        <v>0</v>
      </c>
      <c r="K16" s="250">
        <f t="shared" si="16"/>
        <v>0</v>
      </c>
      <c r="L16" s="14"/>
      <c r="M16" s="14"/>
      <c r="N16" s="14"/>
    </row>
    <row r="17" spans="1:14" ht="15" thickBot="1">
      <c r="A17" s="205" t="s">
        <v>78</v>
      </c>
      <c r="B17" s="206">
        <f t="shared" ref="B17:K17" si="17">B9/330</f>
        <v>0.54545454545454541</v>
      </c>
      <c r="C17" s="206">
        <f t="shared" si="17"/>
        <v>0</v>
      </c>
      <c r="D17" s="206">
        <f t="shared" si="17"/>
        <v>2.5242424242424244</v>
      </c>
      <c r="E17" s="206">
        <f t="shared" si="17"/>
        <v>0.96666666666666667</v>
      </c>
      <c r="F17" s="206">
        <f t="shared" si="17"/>
        <v>0.82424242424242422</v>
      </c>
      <c r="G17" s="206">
        <f t="shared" si="17"/>
        <v>0</v>
      </c>
      <c r="H17" s="206">
        <f t="shared" si="17"/>
        <v>0</v>
      </c>
      <c r="I17" s="206">
        <f t="shared" si="17"/>
        <v>0</v>
      </c>
      <c r="J17" s="206">
        <f t="shared" si="17"/>
        <v>4.3272727272727272</v>
      </c>
      <c r="K17" s="252">
        <f t="shared" si="17"/>
        <v>0</v>
      </c>
      <c r="L17" s="14"/>
      <c r="M17" s="14"/>
      <c r="N17" s="14"/>
    </row>
    <row r="18" spans="1:14" ht="14.5" customHeight="1"/>
    <row r="19" spans="1:14">
      <c r="A19" s="13" t="s">
        <v>181</v>
      </c>
    </row>
  </sheetData>
  <autoFilter ref="A1:E8" xr:uid="{00000000-0009-0000-0000-000001000000}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X104"/>
  <sheetViews>
    <sheetView zoomScale="117" zoomScaleNormal="70" workbookViewId="0">
      <pane xSplit="1" ySplit="9" topLeftCell="B73" activePane="bottomRight" state="frozen"/>
      <selection pane="topRight" activeCell="B1" sqref="B1"/>
      <selection pane="bottomLeft" activeCell="A9" sqref="A9"/>
      <selection pane="bottomRight" activeCell="C9" sqref="C9"/>
    </sheetView>
  </sheetViews>
  <sheetFormatPr defaultColWidth="8.90625" defaultRowHeight="14.5"/>
  <cols>
    <col min="1" max="1" width="1.08984375" style="1" customWidth="1"/>
    <col min="2" max="2" width="20.7265625" style="1" bestFit="1" customWidth="1"/>
    <col min="3" max="3" width="15.90625" style="1" bestFit="1" customWidth="1"/>
    <col min="4" max="4" width="12.7265625" style="1" customWidth="1"/>
    <col min="5" max="6" width="11.90625" style="1" bestFit="1" customWidth="1"/>
    <col min="7" max="7" width="8.90625" style="1"/>
    <col min="8" max="8" width="13.7265625" style="1" bestFit="1" customWidth="1"/>
    <col min="9" max="9" width="11.90625" style="1" bestFit="1" customWidth="1"/>
    <col min="10" max="10" width="8.90625" style="1"/>
    <col min="11" max="11" width="13.08984375" style="1" customWidth="1"/>
    <col min="12" max="12" width="11.90625" style="1" bestFit="1" customWidth="1"/>
    <col min="13" max="13" width="3.36328125" style="1" customWidth="1"/>
    <col min="14" max="14" width="11.26953125" style="1" customWidth="1"/>
    <col min="15" max="15" width="16.26953125" style="1" customWidth="1"/>
    <col min="16" max="20" width="8.90625" style="1"/>
    <col min="21" max="21" width="11.36328125" style="1" bestFit="1" customWidth="1"/>
    <col min="22" max="22" width="12" style="1" bestFit="1" customWidth="1"/>
    <col min="23" max="16384" width="8.90625" style="1"/>
  </cols>
  <sheetData>
    <row r="1" spans="2:22" ht="15" thickBot="1"/>
    <row r="2" spans="2:22" ht="37.15" customHeight="1">
      <c r="B2" s="357" t="s">
        <v>182</v>
      </c>
      <c r="C2" s="358"/>
    </row>
    <row r="3" spans="2:22">
      <c r="B3" s="3" t="s">
        <v>564</v>
      </c>
      <c r="C3" s="4">
        <f>2.5</f>
        <v>2.5</v>
      </c>
    </row>
    <row r="4" spans="2:22">
      <c r="B4" s="3" t="s">
        <v>563</v>
      </c>
      <c r="C4" s="4">
        <v>8</v>
      </c>
    </row>
    <row r="5" spans="2:22">
      <c r="B5" s="165" t="s">
        <v>565</v>
      </c>
      <c r="C5" s="166">
        <v>15</v>
      </c>
    </row>
    <row r="6" spans="2:22">
      <c r="B6" s="165" t="s">
        <v>566</v>
      </c>
      <c r="C6" s="166">
        <v>10</v>
      </c>
    </row>
    <row r="7" spans="2:22">
      <c r="B7" s="165" t="s">
        <v>567</v>
      </c>
      <c r="C7" s="166">
        <v>30</v>
      </c>
    </row>
    <row r="8" spans="2:22">
      <c r="B8" s="165" t="s">
        <v>562</v>
      </c>
      <c r="C8" s="190">
        <f>(PI()*(DiameterRocket/100)^2)/4</f>
        <v>5.0265482457436689E-3</v>
      </c>
    </row>
    <row r="9" spans="2:22" ht="15" thickBot="1">
      <c r="B9" s="5" t="s">
        <v>568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61" t="s">
        <v>185</v>
      </c>
      <c r="D12" s="362"/>
      <c r="E12" s="362"/>
      <c r="F12" s="362"/>
      <c r="G12" s="363"/>
      <c r="H12" s="1" t="s">
        <v>186</v>
      </c>
      <c r="I12" s="1" t="s">
        <v>187</v>
      </c>
      <c r="J12" s="1" t="s">
        <v>188</v>
      </c>
      <c r="L12" s="64"/>
      <c r="M12" s="64"/>
      <c r="N12" s="8" t="s">
        <v>184</v>
      </c>
      <c r="O12" s="361" t="s">
        <v>189</v>
      </c>
      <c r="P12" s="362"/>
      <c r="Q12" s="362"/>
      <c r="R12" s="362"/>
      <c r="S12" s="363"/>
      <c r="T12" s="1" t="s">
        <v>186</v>
      </c>
      <c r="U12" s="1" t="s">
        <v>187</v>
      </c>
      <c r="V12" s="1" t="s">
        <v>188</v>
      </c>
    </row>
    <row r="13" spans="2:22">
      <c r="B13" s="359" t="s">
        <v>190</v>
      </c>
      <c r="C13" s="71"/>
      <c r="D13" s="72"/>
      <c r="E13" s="72"/>
      <c r="F13" s="72"/>
      <c r="G13" s="73"/>
      <c r="H13" s="1">
        <v>0</v>
      </c>
      <c r="I13" s="1">
        <v>0</v>
      </c>
      <c r="J13" s="1">
        <f>I13*-1</f>
        <v>0</v>
      </c>
      <c r="L13" s="64"/>
      <c r="M13" s="64"/>
      <c r="N13" s="359" t="s">
        <v>190</v>
      </c>
      <c r="O13" s="71"/>
      <c r="P13" s="72"/>
      <c r="Q13" s="72"/>
      <c r="R13" s="72"/>
      <c r="S13" s="73"/>
      <c r="T13" s="1">
        <v>0</v>
      </c>
      <c r="U13" s="1">
        <v>0</v>
      </c>
      <c r="V13" s="1">
        <f>U13*-1</f>
        <v>0</v>
      </c>
    </row>
    <row r="14" spans="2:22">
      <c r="B14" s="360"/>
      <c r="C14" s="74"/>
      <c r="D14" s="64"/>
      <c r="E14" s="64"/>
      <c r="F14" s="64"/>
      <c r="G14" s="75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4"/>
      <c r="M14" s="64"/>
      <c r="N14" s="360"/>
      <c r="O14" s="74"/>
      <c r="P14" s="64"/>
      <c r="Q14" s="64"/>
      <c r="R14" s="64"/>
      <c r="S14" s="75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60"/>
      <c r="C15" s="74"/>
      <c r="D15" s="64"/>
      <c r="E15" s="64"/>
      <c r="F15" s="64"/>
      <c r="G15" s="75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4"/>
      <c r="M15" s="64"/>
      <c r="N15" s="360"/>
      <c r="O15" s="74"/>
      <c r="P15" s="64"/>
      <c r="Q15" s="64"/>
      <c r="R15" s="64"/>
      <c r="S15" s="75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60"/>
      <c r="C16" s="74"/>
      <c r="D16" s="64"/>
      <c r="E16" s="64"/>
      <c r="F16" s="64"/>
      <c r="G16" s="75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4"/>
      <c r="M16" s="64"/>
      <c r="N16" s="360"/>
      <c r="O16" s="74"/>
      <c r="P16" s="64"/>
      <c r="Q16" s="64"/>
      <c r="R16" s="64"/>
      <c r="S16" s="75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60"/>
      <c r="C17" s="74"/>
      <c r="D17" s="64"/>
      <c r="E17" s="64"/>
      <c r="F17" s="64"/>
      <c r="G17" s="75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4"/>
      <c r="M17" s="64"/>
      <c r="N17" s="360"/>
      <c r="O17" s="74"/>
      <c r="P17" s="64"/>
      <c r="Q17" s="64"/>
      <c r="R17" s="64"/>
      <c r="S17" s="75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60"/>
      <c r="C18" s="74"/>
      <c r="D18" s="64"/>
      <c r="E18" s="64"/>
      <c r="F18" s="64"/>
      <c r="G18" s="75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4"/>
      <c r="M18" s="64"/>
      <c r="N18" s="360"/>
      <c r="O18" s="74"/>
      <c r="P18" s="64"/>
      <c r="Q18" s="64"/>
      <c r="R18" s="64"/>
      <c r="S18" s="75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60"/>
      <c r="C19" s="74"/>
      <c r="D19" s="64"/>
      <c r="E19" s="64"/>
      <c r="F19" s="64"/>
      <c r="G19" s="75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4"/>
      <c r="M19" s="64"/>
      <c r="N19" s="360"/>
      <c r="O19" s="74"/>
      <c r="P19" s="64"/>
      <c r="Q19" s="64"/>
      <c r="R19" s="64"/>
      <c r="S19" s="75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60"/>
      <c r="C20" s="74"/>
      <c r="D20" s="64"/>
      <c r="E20" s="64"/>
      <c r="F20" s="64"/>
      <c r="G20" s="75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4"/>
      <c r="M20" s="64"/>
      <c r="N20" s="360"/>
      <c r="O20" s="74"/>
      <c r="P20" s="64"/>
      <c r="Q20" s="64"/>
      <c r="R20" s="64"/>
      <c r="S20" s="75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60"/>
      <c r="C21" s="74"/>
      <c r="D21" s="64"/>
      <c r="E21" s="64"/>
      <c r="F21" s="64"/>
      <c r="G21" s="75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4"/>
      <c r="M21" s="64"/>
      <c r="N21" s="360"/>
      <c r="O21" s="74"/>
      <c r="P21" s="64"/>
      <c r="Q21" s="64"/>
      <c r="R21" s="64"/>
      <c r="S21" s="75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60"/>
      <c r="C22" s="74"/>
      <c r="D22" s="64"/>
      <c r="E22" s="64"/>
      <c r="F22" s="64"/>
      <c r="G22" s="75"/>
      <c r="H22" s="1">
        <f>D26</f>
        <v>30</v>
      </c>
      <c r="I22" s="1">
        <f t="shared" si="0"/>
        <v>4</v>
      </c>
      <c r="J22" s="1">
        <f t="shared" si="1"/>
        <v>-4</v>
      </c>
      <c r="L22" s="64"/>
      <c r="M22" s="64"/>
      <c r="N22" s="364"/>
      <c r="O22" s="74"/>
      <c r="P22" s="64"/>
      <c r="Q22" s="64"/>
      <c r="R22" s="64"/>
      <c r="S22" s="75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5" customHeight="1">
      <c r="B23" s="368" t="s">
        <v>191</v>
      </c>
      <c r="C23" s="66"/>
      <c r="D23" s="65" t="s">
        <v>186</v>
      </c>
      <c r="E23" s="65"/>
      <c r="F23" s="65"/>
      <c r="G23" s="65"/>
      <c r="K23" s="366"/>
      <c r="N23" s="367" t="s">
        <v>191</v>
      </c>
      <c r="O23" s="66" t="s">
        <v>192</v>
      </c>
      <c r="P23" s="65">
        <f>((P25/2)^2+P26^2)/(2*(P25/2))</f>
        <v>114.5</v>
      </c>
      <c r="Q23" s="65"/>
      <c r="R23" s="65"/>
      <c r="S23" s="65"/>
    </row>
    <row r="24" spans="2:22">
      <c r="B24" s="368"/>
      <c r="C24" s="67" t="s">
        <v>193</v>
      </c>
      <c r="D24" s="1">
        <f>(F25/2)/(F26)</f>
        <v>0.13333333333333333</v>
      </c>
      <c r="K24" s="366"/>
      <c r="N24" s="368"/>
      <c r="O24" s="67" t="s">
        <v>193</v>
      </c>
      <c r="P24" s="1" t="s">
        <v>194</v>
      </c>
    </row>
    <row r="25" spans="2:22">
      <c r="B25" s="368"/>
      <c r="C25" s="67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66"/>
      <c r="N25" s="368"/>
      <c r="O25" s="67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5" customHeight="1">
      <c r="B26" s="368"/>
      <c r="C26" s="68" t="s">
        <v>198</v>
      </c>
      <c r="D26" s="69">
        <v>30</v>
      </c>
      <c r="E26" s="69" t="s">
        <v>196</v>
      </c>
      <c r="F26" s="69">
        <f>D26/100</f>
        <v>0.3</v>
      </c>
      <c r="G26" s="69" t="s">
        <v>197</v>
      </c>
      <c r="K26" s="366"/>
      <c r="N26" s="368"/>
      <c r="O26" s="68" t="s">
        <v>198</v>
      </c>
      <c r="P26" s="69">
        <v>30</v>
      </c>
      <c r="Q26" s="69" t="s">
        <v>196</v>
      </c>
      <c r="R26" s="69">
        <f>P26/100</f>
        <v>0.3</v>
      </c>
      <c r="S26" s="69" t="s">
        <v>197</v>
      </c>
    </row>
    <row r="27" spans="2:22" ht="29.5" customHeight="1">
      <c r="B27" s="2" t="s">
        <v>199</v>
      </c>
      <c r="C27" s="369" t="s">
        <v>200</v>
      </c>
      <c r="D27" s="369"/>
      <c r="E27" s="369"/>
      <c r="F27" s="369"/>
      <c r="G27" s="369"/>
      <c r="L27" s="64"/>
      <c r="M27" s="64"/>
      <c r="N27" s="2" t="s">
        <v>199</v>
      </c>
      <c r="O27" s="369" t="s">
        <v>200</v>
      </c>
      <c r="P27" s="369"/>
      <c r="Q27" s="369"/>
      <c r="R27" s="369"/>
      <c r="S27" s="369"/>
    </row>
    <row r="28" spans="2:22" ht="58">
      <c r="B28" s="2" t="s">
        <v>201</v>
      </c>
      <c r="C28" s="10" t="s">
        <v>202</v>
      </c>
      <c r="D28" s="9"/>
      <c r="E28" s="9"/>
      <c r="F28" s="9"/>
      <c r="G28" s="9"/>
      <c r="L28" s="70"/>
      <c r="M28" s="64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59" t="s">
        <v>203</v>
      </c>
      <c r="C31" s="357"/>
      <c r="D31" s="370"/>
      <c r="E31" s="370"/>
      <c r="F31" s="370"/>
      <c r="G31" s="358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60"/>
      <c r="C32" s="371"/>
      <c r="D32" s="365"/>
      <c r="E32" s="365"/>
      <c r="F32" s="365"/>
      <c r="G32" s="372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60"/>
      <c r="C33" s="371"/>
      <c r="D33" s="365"/>
      <c r="E33" s="365"/>
      <c r="F33" s="365"/>
      <c r="G33" s="372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60"/>
      <c r="C34" s="371"/>
      <c r="D34" s="365"/>
      <c r="E34" s="365"/>
      <c r="F34" s="365"/>
      <c r="G34" s="372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60"/>
      <c r="C35" s="371"/>
      <c r="D35" s="365"/>
      <c r="E35" s="365"/>
      <c r="F35" s="365"/>
      <c r="G35" s="372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60"/>
      <c r="C36" s="371"/>
      <c r="D36" s="365"/>
      <c r="E36" s="365"/>
      <c r="F36" s="365"/>
      <c r="G36" s="372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60"/>
      <c r="C37" s="371"/>
      <c r="D37" s="365"/>
      <c r="E37" s="365"/>
      <c r="F37" s="365"/>
      <c r="G37" s="372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60"/>
      <c r="C38" s="371"/>
      <c r="D38" s="365"/>
      <c r="E38" s="365"/>
      <c r="F38" s="365"/>
      <c r="G38" s="372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5" customHeight="1">
      <c r="B39" s="360"/>
      <c r="C39" s="371"/>
      <c r="D39" s="365"/>
      <c r="E39" s="365"/>
      <c r="F39" s="365"/>
      <c r="G39" s="372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64"/>
      <c r="C40" s="373"/>
      <c r="D40" s="374"/>
      <c r="E40" s="374"/>
      <c r="F40" s="374"/>
      <c r="G40" s="375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9">
      <c r="B41" s="369" t="s">
        <v>191</v>
      </c>
      <c r="C41" s="1" t="s">
        <v>204</v>
      </c>
      <c r="H41" s="12"/>
    </row>
    <row r="42" spans="2:24">
      <c r="B42" s="365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65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65" t="s">
        <v>206</v>
      </c>
      <c r="D44" s="365"/>
      <c r="E44" s="365"/>
      <c r="F44" s="365"/>
      <c r="G44" s="365"/>
    </row>
    <row r="45" spans="2:24">
      <c r="B45" s="365" t="s">
        <v>201</v>
      </c>
    </row>
    <row r="46" spans="2:24">
      <c r="B46" s="365"/>
    </row>
    <row r="47" spans="2:24" ht="15" thickBot="1">
      <c r="B47" s="365"/>
    </row>
    <row r="48" spans="2:24" ht="15" customHeight="1" thickBot="1">
      <c r="K48" s="376" t="s">
        <v>207</v>
      </c>
      <c r="L48" s="378"/>
      <c r="W48" s="366" t="s">
        <v>207</v>
      </c>
      <c r="X48" s="366"/>
    </row>
    <row r="49" spans="2:24" ht="15" thickBot="1">
      <c r="B49" s="8" t="s">
        <v>184</v>
      </c>
      <c r="C49" s="376" t="s">
        <v>208</v>
      </c>
      <c r="D49" s="377"/>
      <c r="E49" s="377"/>
      <c r="F49" s="377"/>
      <c r="G49" s="378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376" t="s">
        <v>212</v>
      </c>
      <c r="P49" s="377"/>
      <c r="Q49" s="377"/>
      <c r="R49" s="377"/>
      <c r="S49" s="378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59" t="s">
        <v>214</v>
      </c>
      <c r="C50" s="357"/>
      <c r="D50" s="370"/>
      <c r="E50" s="370"/>
      <c r="F50" s="370"/>
      <c r="G50" s="358"/>
      <c r="H50" s="86">
        <f>($H$40-D68-D65)</f>
        <v>110</v>
      </c>
      <c r="I50" s="87">
        <f t="shared" ref="I50:I58" si="9">IF(((($D$67)/($D$65-$D$64))*(H50-$H$50)+$I$40)&gt;($D$67+$I$40),($D$67+$I$40),(($D$67)/($D$65-$D$64))*(H50-$H$50)+$I$40)</f>
        <v>4</v>
      </c>
      <c r="J50" s="88">
        <f>I50*-1</f>
        <v>-4</v>
      </c>
      <c r="K50" s="92">
        <f>D61/D60</f>
        <v>93.999999999999986</v>
      </c>
      <c r="L50" s="93">
        <f>0</f>
        <v>0</v>
      </c>
      <c r="N50" s="359" t="s">
        <v>214</v>
      </c>
      <c r="O50" s="357"/>
      <c r="P50" s="370"/>
      <c r="Q50" s="370"/>
      <c r="R50" s="370"/>
      <c r="S50" s="358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60"/>
      <c r="C51" s="371"/>
      <c r="D51" s="365"/>
      <c r="E51" s="365"/>
      <c r="F51" s="365"/>
      <c r="G51" s="372"/>
      <c r="H51" s="86">
        <f>(H58-H50)/8/2+H50</f>
        <v>110.9375</v>
      </c>
      <c r="I51" s="87">
        <f t="shared" si="9"/>
        <v>7.75</v>
      </c>
      <c r="J51" s="88">
        <f t="shared" ref="J51:J57" si="11">I51*-1</f>
        <v>-7.75</v>
      </c>
      <c r="K51" s="92">
        <f>H50</f>
        <v>110</v>
      </c>
      <c r="L51" s="93">
        <v>3</v>
      </c>
      <c r="N51" s="360"/>
      <c r="O51" s="371"/>
      <c r="P51" s="365"/>
      <c r="Q51" s="365"/>
      <c r="R51" s="365"/>
      <c r="S51" s="372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60"/>
      <c r="C52" s="371"/>
      <c r="D52" s="365"/>
      <c r="E52" s="365"/>
      <c r="F52" s="365"/>
      <c r="G52" s="372"/>
      <c r="H52" s="86">
        <f t="shared" ref="H52:H57" si="13">($H$58-$H$50)/8+H51</f>
        <v>112.8125</v>
      </c>
      <c r="I52" s="87">
        <f t="shared" si="9"/>
        <v>15.25</v>
      </c>
      <c r="J52" s="88">
        <f t="shared" si="11"/>
        <v>-15.25</v>
      </c>
      <c r="K52" s="86">
        <f>H51</f>
        <v>110.9375</v>
      </c>
      <c r="L52" s="88">
        <f>I51</f>
        <v>7.75</v>
      </c>
      <c r="N52" s="360"/>
      <c r="O52" s="371"/>
      <c r="P52" s="365"/>
      <c r="Q52" s="365"/>
      <c r="R52" s="365"/>
      <c r="S52" s="372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60"/>
      <c r="C53" s="371"/>
      <c r="D53" s="365"/>
      <c r="E53" s="365"/>
      <c r="F53" s="365"/>
      <c r="G53" s="372"/>
      <c r="H53" s="86">
        <f t="shared" si="13"/>
        <v>114.6875</v>
      </c>
      <c r="I53" s="87">
        <f t="shared" si="9"/>
        <v>22.75</v>
      </c>
      <c r="J53" s="88">
        <f t="shared" si="11"/>
        <v>-22.75</v>
      </c>
      <c r="K53" s="86">
        <f t="shared" ref="K53:K57" si="15">H52</f>
        <v>112.8125</v>
      </c>
      <c r="L53" s="88">
        <f t="shared" ref="L53:L57" si="16">I52</f>
        <v>15.25</v>
      </c>
      <c r="N53" s="360"/>
      <c r="O53" s="371"/>
      <c r="P53" s="365"/>
      <c r="Q53" s="365"/>
      <c r="R53" s="365"/>
      <c r="S53" s="372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60"/>
      <c r="C54" s="371"/>
      <c r="D54" s="365"/>
      <c r="E54" s="365"/>
      <c r="F54" s="365"/>
      <c r="G54" s="372"/>
      <c r="H54" s="86">
        <f t="shared" si="13"/>
        <v>116.5625</v>
      </c>
      <c r="I54" s="87">
        <f t="shared" si="9"/>
        <v>24</v>
      </c>
      <c r="J54" s="88">
        <f t="shared" si="11"/>
        <v>-24</v>
      </c>
      <c r="K54" s="86">
        <f t="shared" si="15"/>
        <v>114.6875</v>
      </c>
      <c r="L54" s="88">
        <f t="shared" si="16"/>
        <v>22.75</v>
      </c>
      <c r="N54" s="360"/>
      <c r="O54" s="371"/>
      <c r="P54" s="365"/>
      <c r="Q54" s="365"/>
      <c r="R54" s="365"/>
      <c r="S54" s="372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60"/>
      <c r="C55" s="371"/>
      <c r="D55" s="365"/>
      <c r="E55" s="365"/>
      <c r="F55" s="365"/>
      <c r="G55" s="372"/>
      <c r="H55" s="86">
        <f t="shared" si="13"/>
        <v>118.4375</v>
      </c>
      <c r="I55" s="87">
        <f t="shared" si="9"/>
        <v>24</v>
      </c>
      <c r="J55" s="88">
        <f t="shared" si="11"/>
        <v>-24</v>
      </c>
      <c r="K55" s="86">
        <f t="shared" si="15"/>
        <v>116.5625</v>
      </c>
      <c r="L55" s="88">
        <f t="shared" si="16"/>
        <v>24</v>
      </c>
      <c r="N55" s="360"/>
      <c r="O55" s="371"/>
      <c r="P55" s="365"/>
      <c r="Q55" s="365"/>
      <c r="R55" s="365"/>
      <c r="S55" s="372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60"/>
      <c r="C56" s="371"/>
      <c r="D56" s="365"/>
      <c r="E56" s="365"/>
      <c r="F56" s="365"/>
      <c r="G56" s="372"/>
      <c r="H56" s="86">
        <f t="shared" si="13"/>
        <v>120.3125</v>
      </c>
      <c r="I56" s="87">
        <f t="shared" si="9"/>
        <v>24</v>
      </c>
      <c r="J56" s="88">
        <f t="shared" si="11"/>
        <v>-24</v>
      </c>
      <c r="K56" s="86">
        <f t="shared" si="15"/>
        <v>118.4375</v>
      </c>
      <c r="L56" s="88">
        <f t="shared" si="16"/>
        <v>24</v>
      </c>
      <c r="N56" s="360"/>
      <c r="O56" s="371"/>
      <c r="P56" s="365"/>
      <c r="Q56" s="365"/>
      <c r="R56" s="365"/>
      <c r="S56" s="372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60"/>
      <c r="C57" s="371"/>
      <c r="D57" s="365"/>
      <c r="E57" s="365"/>
      <c r="F57" s="365"/>
      <c r="G57" s="372"/>
      <c r="H57" s="86">
        <f t="shared" si="13"/>
        <v>122.1875</v>
      </c>
      <c r="I57" s="87">
        <f t="shared" si="9"/>
        <v>24</v>
      </c>
      <c r="J57" s="88">
        <f t="shared" si="11"/>
        <v>-24</v>
      </c>
      <c r="K57" s="86">
        <f t="shared" si="15"/>
        <v>120.3125</v>
      </c>
      <c r="L57" s="88">
        <f t="shared" si="16"/>
        <v>24</v>
      </c>
      <c r="N57" s="360"/>
      <c r="O57" s="371"/>
      <c r="P57" s="365"/>
      <c r="Q57" s="365"/>
      <c r="R57" s="365"/>
      <c r="S57" s="372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60"/>
      <c r="C58" s="371"/>
      <c r="D58" s="365"/>
      <c r="E58" s="365"/>
      <c r="F58" s="365"/>
      <c r="G58" s="372"/>
      <c r="H58" s="86">
        <f>$H$50+D65</f>
        <v>125</v>
      </c>
      <c r="I58" s="87">
        <f t="shared" si="9"/>
        <v>24</v>
      </c>
      <c r="J58" s="88">
        <f>I58*-1</f>
        <v>-24</v>
      </c>
      <c r="K58" s="86">
        <f>H58</f>
        <v>125</v>
      </c>
      <c r="L58" s="88">
        <f>IF(((($D$67)/($D$65-$D$64))*(K58-$H$50)+$I$40)&gt;($D$67+$I$40),($D$67+$I$40),(($D$67)/($D$65-$D$64))*(K58-$H$50)+$I$40)</f>
        <v>24</v>
      </c>
      <c r="N58" s="360"/>
      <c r="O58" s="371"/>
      <c r="P58" s="365"/>
      <c r="Q58" s="365"/>
      <c r="R58" s="365"/>
      <c r="S58" s="372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64"/>
      <c r="C59" s="379"/>
      <c r="D59" s="380"/>
      <c r="E59" s="380"/>
      <c r="F59" s="380"/>
      <c r="G59" s="381"/>
      <c r="H59" s="89">
        <f>H58</f>
        <v>125</v>
      </c>
      <c r="I59" s="90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1">
        <f>I59*-1</f>
        <v>-4</v>
      </c>
      <c r="K59" s="92">
        <f>K58</f>
        <v>125</v>
      </c>
      <c r="L59" s="93">
        <f>L50</f>
        <v>0</v>
      </c>
      <c r="N59" s="364"/>
      <c r="O59" s="373"/>
      <c r="P59" s="374"/>
      <c r="Q59" s="374"/>
      <c r="R59" s="374"/>
      <c r="S59" s="375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382" t="s">
        <v>191</v>
      </c>
      <c r="C60" s="82" t="s">
        <v>215</v>
      </c>
      <c r="D60" s="54">
        <f>TAN(RADIANS(F60))</f>
        <v>0.24999999999999981</v>
      </c>
      <c r="E60" s="76" t="s">
        <v>216</v>
      </c>
      <c r="F60" s="56">
        <f>90-DEGREES(ATAN(D67/(D65-D64)))</f>
        <v>14.036243467926468</v>
      </c>
      <c r="G60" s="57" t="s">
        <v>217</v>
      </c>
      <c r="H60" s="387" t="s">
        <v>218</v>
      </c>
      <c r="I60" s="388"/>
      <c r="J60" s="389"/>
      <c r="K60" s="82" t="s">
        <v>219</v>
      </c>
      <c r="L60" s="57">
        <f>K67^2/K68</f>
        <v>1.1707317073170729</v>
      </c>
      <c r="N60" s="369" t="s">
        <v>191</v>
      </c>
      <c r="O60" s="1" t="s">
        <v>220</v>
      </c>
    </row>
    <row r="61" spans="2:24" ht="16.149999999999999" customHeight="1" thickBot="1">
      <c r="B61" s="383"/>
      <c r="C61" s="81" t="s">
        <v>221</v>
      </c>
      <c r="D61" s="83">
        <f>-I50+D60*H50</f>
        <v>23.499999999999979</v>
      </c>
      <c r="E61" s="78"/>
      <c r="F61" s="61"/>
      <c r="G61" s="62"/>
      <c r="H61" s="390"/>
      <c r="I61" s="391"/>
      <c r="J61" s="392"/>
      <c r="K61" s="81"/>
      <c r="L61" s="62"/>
      <c r="N61" s="369"/>
    </row>
    <row r="62" spans="2:24" ht="27.65" customHeight="1">
      <c r="B62" s="383"/>
      <c r="C62" s="80" t="s">
        <v>222</v>
      </c>
      <c r="D62" s="189">
        <f>(D63/1000)*(I63/100)</f>
        <v>2.9999999999999997E-4</v>
      </c>
      <c r="E62" s="1" t="s">
        <v>223</v>
      </c>
      <c r="H62" s="84" t="s">
        <v>224</v>
      </c>
      <c r="I62" s="1" t="s">
        <v>225</v>
      </c>
      <c r="L62" s="59"/>
      <c r="N62" s="369"/>
    </row>
    <row r="63" spans="2:24" ht="27.65" customHeight="1">
      <c r="B63" s="383"/>
      <c r="C63" s="80" t="s">
        <v>226</v>
      </c>
      <c r="D63" s="79">
        <v>2</v>
      </c>
      <c r="E63" s="1" t="s">
        <v>227</v>
      </c>
      <c r="H63" s="77" t="s">
        <v>228</v>
      </c>
      <c r="I63" s="1">
        <v>15</v>
      </c>
      <c r="L63" s="59"/>
      <c r="N63" s="369"/>
    </row>
    <row r="64" spans="2:24">
      <c r="B64" s="384"/>
      <c r="C64" s="77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7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69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385"/>
      <c r="C65" s="77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7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65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385"/>
      <c r="C66" s="77" t="s">
        <v>231</v>
      </c>
      <c r="D66" s="58">
        <f>D64/D65</f>
        <v>0.66666666666666663</v>
      </c>
      <c r="E66" s="1" t="s">
        <v>194</v>
      </c>
      <c r="H66" s="77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65"/>
    </row>
    <row r="67" spans="2:19">
      <c r="B67" s="385"/>
      <c r="C67" s="77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7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65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5" thickBot="1">
      <c r="B68" s="386"/>
      <c r="C68" s="78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8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65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650000000000006" customHeight="1">
      <c r="B69" s="55" t="s">
        <v>199</v>
      </c>
      <c r="C69" s="369" t="s">
        <v>237</v>
      </c>
      <c r="D69" s="369"/>
      <c r="E69" s="369"/>
      <c r="F69" s="369"/>
      <c r="G69" s="369"/>
      <c r="N69" s="2" t="s">
        <v>199</v>
      </c>
      <c r="O69" s="365" t="s">
        <v>238</v>
      </c>
      <c r="P69" s="365"/>
      <c r="Q69" s="365"/>
      <c r="R69" s="365"/>
      <c r="S69" s="365"/>
    </row>
    <row r="70" spans="2:19">
      <c r="B70" s="365" t="s">
        <v>201</v>
      </c>
      <c r="C70" s="66"/>
      <c r="D70" s="65"/>
      <c r="E70" s="65"/>
      <c r="F70" s="65"/>
      <c r="G70" s="94"/>
      <c r="N70" s="365" t="s">
        <v>201</v>
      </c>
    </row>
    <row r="71" spans="2:19">
      <c r="B71" s="365"/>
      <c r="C71" s="67"/>
      <c r="G71" s="95"/>
      <c r="N71" s="365"/>
    </row>
    <row r="72" spans="2:19">
      <c r="B72" s="365"/>
      <c r="C72" s="68"/>
      <c r="D72" s="69"/>
      <c r="E72" s="69"/>
      <c r="F72" s="69"/>
      <c r="G72" s="96"/>
      <c r="N72" s="365"/>
    </row>
    <row r="73" spans="2:19" ht="15" thickBot="1"/>
    <row r="74" spans="2:19" ht="15" thickBot="1">
      <c r="B74" s="85" t="s">
        <v>239</v>
      </c>
    </row>
    <row r="76" spans="2:19" ht="29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7">
        <f t="shared" ref="C77:C81" si="18">I64</f>
        <v>10</v>
      </c>
      <c r="D77" s="87">
        <f t="shared" ref="D77:D81" si="19">K64</f>
        <v>0.1</v>
      </c>
      <c r="E77" s="87"/>
      <c r="F77" s="87"/>
      <c r="G77" s="87"/>
    </row>
    <row r="78" spans="2:19">
      <c r="B78" s="1" t="s">
        <v>230</v>
      </c>
      <c r="C78" s="87">
        <f t="shared" si="18"/>
        <v>31.000000000000014</v>
      </c>
      <c r="D78" s="87">
        <f t="shared" si="19"/>
        <v>0.31000000000000016</v>
      </c>
      <c r="E78" s="87"/>
      <c r="F78" s="87"/>
      <c r="G78" s="87"/>
    </row>
    <row r="79" spans="2:19">
      <c r="B79" s="1" t="s">
        <v>231</v>
      </c>
      <c r="C79" s="87">
        <f t="shared" si="18"/>
        <v>0.32258064516129015</v>
      </c>
      <c r="D79" s="87">
        <f t="shared" si="19"/>
        <v>0.32258064516129015</v>
      </c>
      <c r="E79" s="87"/>
      <c r="F79" s="87"/>
      <c r="G79" s="87"/>
    </row>
    <row r="80" spans="2:19">
      <c r="B80" s="1" t="s">
        <v>233</v>
      </c>
      <c r="C80" s="87">
        <f t="shared" si="18"/>
        <v>48</v>
      </c>
      <c r="D80" s="87">
        <f t="shared" si="19"/>
        <v>0.48</v>
      </c>
      <c r="E80" s="87"/>
      <c r="F80" s="87"/>
      <c r="G80" s="87"/>
    </row>
    <row r="81" spans="2:10">
      <c r="B81" s="1" t="s">
        <v>245</v>
      </c>
      <c r="C81" s="87">
        <f t="shared" si="18"/>
        <v>984.00000000000034</v>
      </c>
      <c r="D81" s="87">
        <f t="shared" si="19"/>
        <v>0.19680000000000006</v>
      </c>
      <c r="E81" s="87"/>
      <c r="F81" s="87"/>
      <c r="G81" s="87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59" t="s">
        <v>246</v>
      </c>
      <c r="C88" s="357"/>
      <c r="D88" s="370"/>
      <c r="E88" s="370"/>
      <c r="F88" s="370"/>
      <c r="G88" s="358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60"/>
      <c r="C89" s="371"/>
      <c r="D89" s="365"/>
      <c r="E89" s="365"/>
      <c r="F89" s="365"/>
      <c r="G89" s="372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60"/>
      <c r="C90" s="371"/>
      <c r="D90" s="365"/>
      <c r="E90" s="365"/>
      <c r="F90" s="365"/>
      <c r="G90" s="372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60"/>
      <c r="C91" s="371"/>
      <c r="D91" s="365"/>
      <c r="E91" s="365"/>
      <c r="F91" s="365"/>
      <c r="G91" s="372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60"/>
      <c r="C92" s="371"/>
      <c r="D92" s="365"/>
      <c r="E92" s="365"/>
      <c r="F92" s="365"/>
      <c r="G92" s="372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60"/>
      <c r="C93" s="371"/>
      <c r="D93" s="365"/>
      <c r="E93" s="365"/>
      <c r="F93" s="365"/>
      <c r="G93" s="372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60"/>
      <c r="C94" s="371"/>
      <c r="D94" s="365"/>
      <c r="E94" s="365"/>
      <c r="F94" s="365"/>
      <c r="G94" s="372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60"/>
      <c r="C95" s="371"/>
      <c r="D95" s="365"/>
      <c r="E95" s="365"/>
      <c r="F95" s="365"/>
      <c r="G95" s="372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60"/>
      <c r="C96" s="371"/>
      <c r="D96" s="365"/>
      <c r="E96" s="365"/>
      <c r="F96" s="365"/>
      <c r="G96" s="372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64"/>
      <c r="C97" s="373"/>
      <c r="D97" s="374"/>
      <c r="E97" s="374"/>
      <c r="F97" s="374"/>
      <c r="G97" s="375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9">
      <c r="B98" s="369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9">
      <c r="B99" s="365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65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5" customHeight="1">
      <c r="B101" s="2" t="s">
        <v>199</v>
      </c>
      <c r="C101" s="365" t="s">
        <v>249</v>
      </c>
      <c r="D101" s="365"/>
      <c r="E101" s="365"/>
      <c r="F101" s="365"/>
      <c r="G101" s="365"/>
    </row>
    <row r="102" spans="2:10">
      <c r="B102" s="365" t="s">
        <v>201</v>
      </c>
    </row>
    <row r="103" spans="2:10">
      <c r="B103" s="365"/>
    </row>
    <row r="104" spans="2:10">
      <c r="B104" s="365"/>
    </row>
  </sheetData>
  <mergeCells count="35">
    <mergeCell ref="O12:S12"/>
    <mergeCell ref="O27:S27"/>
    <mergeCell ref="H60:J61"/>
    <mergeCell ref="N70:N72"/>
    <mergeCell ref="O69:S69"/>
    <mergeCell ref="K48:L48"/>
    <mergeCell ref="W48:X48"/>
    <mergeCell ref="O49:S49"/>
    <mergeCell ref="N50:N59"/>
    <mergeCell ref="O50:S59"/>
    <mergeCell ref="N60:N68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</mergeCells>
  <hyperlinks>
    <hyperlink ref="C28" r:id="rId1" display="https://www.youtube.com/watch?v=-05AlwGI7Jo" xr:uid="{00000000-0004-0000-0200-000000000000}"/>
    <hyperlink ref="O28" r:id="rId2" display="https://www.youtube.com/watch?v=-05AlwGI7Jo" xr:uid="{00000000-0004-0000-0200-000001000000}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4:V64"/>
  <sheetViews>
    <sheetView topLeftCell="A7" zoomScale="84" zoomScaleNormal="120" workbookViewId="0">
      <selection activeCell="F27" sqref="F27"/>
    </sheetView>
  </sheetViews>
  <sheetFormatPr defaultColWidth="8.90625" defaultRowHeight="14.5"/>
  <cols>
    <col min="1" max="1" width="4.7265625" style="14" customWidth="1"/>
    <col min="2" max="2" width="20" style="14" customWidth="1"/>
    <col min="3" max="3" width="10.26953125" style="14" customWidth="1"/>
    <col min="4" max="6" width="9" style="14" bestFit="1" customWidth="1"/>
    <col min="7" max="7" width="13" style="14" bestFit="1" customWidth="1"/>
    <col min="8" max="8" width="10.6328125" style="14" bestFit="1" customWidth="1"/>
    <col min="9" max="9" width="9" style="14" bestFit="1" customWidth="1"/>
    <col min="10" max="10" width="8.90625" style="14"/>
    <col min="11" max="11" width="17.36328125" style="14" customWidth="1"/>
    <col min="12" max="12" width="10.08984375" style="14" bestFit="1" customWidth="1"/>
    <col min="13" max="13" width="9" style="14" bestFit="1" customWidth="1"/>
    <col min="14" max="14" width="11.6328125" style="14" customWidth="1"/>
    <col min="15" max="15" width="13.26953125" style="14" customWidth="1"/>
    <col min="16" max="16" width="9" style="14" bestFit="1" customWidth="1"/>
    <col min="17" max="17" width="14.90625" style="14" customWidth="1"/>
    <col min="18" max="18" width="9" style="14" bestFit="1" customWidth="1"/>
    <col min="19" max="19" width="8.90625" style="14"/>
    <col min="20" max="20" width="13" style="14" bestFit="1" customWidth="1"/>
    <col min="21" max="21" width="12.7265625" style="14" bestFit="1" customWidth="1"/>
    <col min="22" max="22" width="11.26953125" style="14" bestFit="1" customWidth="1"/>
    <col min="23" max="16384" width="8.90625" style="14"/>
  </cols>
  <sheetData>
    <row r="14" spans="2:22" ht="15" thickBot="1"/>
    <row r="15" spans="2:22" ht="15" thickBot="1">
      <c r="B15" s="171" t="s">
        <v>250</v>
      </c>
      <c r="C15" s="172" t="s">
        <v>251</v>
      </c>
      <c r="D15" s="172"/>
      <c r="E15" s="172"/>
      <c r="F15" s="173"/>
      <c r="K15" s="171" t="s">
        <v>250</v>
      </c>
      <c r="L15" s="172"/>
      <c r="M15" s="172"/>
      <c r="N15" s="172"/>
      <c r="O15" s="173"/>
      <c r="T15" s="396" t="s">
        <v>252</v>
      </c>
      <c r="U15" s="397"/>
      <c r="V15" s="398"/>
    </row>
    <row r="16" spans="2:22" ht="15" thickBot="1">
      <c r="B16" s="258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8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280</v>
      </c>
      <c r="D18" s="20">
        <v>80</v>
      </c>
      <c r="E18" s="20">
        <v>0</v>
      </c>
      <c r="F18" s="20">
        <v>0</v>
      </c>
      <c r="G18" s="19">
        <f>$C$18*D18*9.81</f>
        <v>219744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0.28000000000000003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2.1974400000000003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150</v>
      </c>
      <c r="D19" s="20">
        <v>120</v>
      </c>
      <c r="E19" s="20">
        <v>6</v>
      </c>
      <c r="F19" s="20">
        <v>0</v>
      </c>
      <c r="G19" s="19">
        <f>$C$19*D19*9.81</f>
        <v>176580</v>
      </c>
      <c r="H19" s="20">
        <f t="shared" ref="H19:I19" si="9">$C$19*E19*9.81</f>
        <v>8829</v>
      </c>
      <c r="I19" s="21">
        <f t="shared" si="9"/>
        <v>0</v>
      </c>
      <c r="K19" s="22" t="s">
        <v>264</v>
      </c>
      <c r="L19" s="19">
        <f>C19/1000</f>
        <v>0.15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1.7658</v>
      </c>
      <c r="Q19" s="20">
        <f>$L$19*N19*9.81</f>
        <v>8.8289999999999993E-2</v>
      </c>
      <c r="R19" s="21">
        <f t="shared" ref="R19:R20" si="10">$L$21*O19*9.81</f>
        <v>0</v>
      </c>
    </row>
    <row r="20" spans="2:22">
      <c r="B20" s="22" t="s">
        <v>265</v>
      </c>
      <c r="C20" s="19">
        <v>150</v>
      </c>
      <c r="D20" s="20">
        <v>120</v>
      </c>
      <c r="E20" s="20">
        <v>-6</v>
      </c>
      <c r="F20" s="20">
        <v>0</v>
      </c>
      <c r="G20" s="19">
        <f>$C$20*D20*9.81</f>
        <v>176580</v>
      </c>
      <c r="H20" s="20">
        <f t="shared" ref="H20:I20" si="11">$C$20*E20*9.81</f>
        <v>-8829</v>
      </c>
      <c r="I20" s="21">
        <f t="shared" si="11"/>
        <v>0</v>
      </c>
      <c r="K20" s="22" t="s">
        <v>265</v>
      </c>
      <c r="L20" s="19">
        <f t="shared" ref="L20:L22" si="12">C20/1000</f>
        <v>0.15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1.7658</v>
      </c>
      <c r="Q20" s="20">
        <f t="shared" ref="Q20" si="16">$L$21*N20*9.81</f>
        <v>-8.8289999999999993E-2</v>
      </c>
      <c r="R20" s="21">
        <f t="shared" si="10"/>
        <v>0</v>
      </c>
    </row>
    <row r="21" spans="2:22" ht="15" thickBot="1">
      <c r="B21" s="22" t="s">
        <v>266</v>
      </c>
      <c r="C21" s="19">
        <v>150</v>
      </c>
      <c r="D21" s="20">
        <v>120</v>
      </c>
      <c r="E21" s="20">
        <v>0</v>
      </c>
      <c r="F21" s="20">
        <v>6</v>
      </c>
      <c r="G21" s="19">
        <f>$C$21*D21*9.81</f>
        <v>176580</v>
      </c>
      <c r="H21" s="20">
        <f t="shared" ref="H21:I21" si="17">$C$21*E21*9.81</f>
        <v>0</v>
      </c>
      <c r="I21" s="21">
        <f t="shared" si="17"/>
        <v>8829</v>
      </c>
      <c r="K21" s="22" t="s">
        <v>266</v>
      </c>
      <c r="L21" s="19">
        <f t="shared" si="12"/>
        <v>0.15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1.7658</v>
      </c>
      <c r="Q21" s="20">
        <f t="shared" ref="Q21:R21" si="19">$L$21*N21*9.81</f>
        <v>0</v>
      </c>
      <c r="R21" s="21">
        <f t="shared" si="19"/>
        <v>8.8289999999999993E-2</v>
      </c>
    </row>
    <row r="22" spans="2:22" ht="15" thickBot="1">
      <c r="B22" s="22" t="s">
        <v>267</v>
      </c>
      <c r="C22" s="19">
        <v>150</v>
      </c>
      <c r="D22" s="20">
        <v>120</v>
      </c>
      <c r="E22" s="20">
        <v>0</v>
      </c>
      <c r="F22" s="20">
        <v>-6</v>
      </c>
      <c r="G22" s="19">
        <f>$C$22*D22*9.81</f>
        <v>176580</v>
      </c>
      <c r="H22" s="20">
        <f t="shared" ref="H22:I22" si="20">$C$22*E22*9.81</f>
        <v>0</v>
      </c>
      <c r="I22" s="21">
        <f t="shared" si="20"/>
        <v>-8829</v>
      </c>
      <c r="K22" s="22" t="s">
        <v>267</v>
      </c>
      <c r="L22" s="19">
        <f t="shared" si="12"/>
        <v>0.15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1.7658</v>
      </c>
      <c r="Q22" s="20">
        <f t="shared" ref="Q22" si="21">$L$21*N22*9.81</f>
        <v>0</v>
      </c>
      <c r="R22" s="21">
        <f t="shared" ref="R22" si="22">$L$21*O22*9.81</f>
        <v>-8.8289999999999993E-2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399" t="s">
        <v>252</v>
      </c>
      <c r="U23" s="400"/>
      <c r="V23" s="401"/>
    </row>
    <row r="24" spans="2:22">
      <c r="B24" s="22" t="s">
        <v>270</v>
      </c>
      <c r="C24" s="19">
        <v>260</v>
      </c>
      <c r="D24" s="20">
        <v>40</v>
      </c>
      <c r="E24" s="20">
        <v>0</v>
      </c>
      <c r="F24" s="20">
        <v>0</v>
      </c>
      <c r="G24" s="19">
        <f>$C$24*D24*9.81</f>
        <v>102024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0.26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1.02024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650</v>
      </c>
      <c r="D25" s="20">
        <v>60</v>
      </c>
      <c r="E25" s="20">
        <v>0</v>
      </c>
      <c r="F25" s="20">
        <v>0</v>
      </c>
      <c r="G25" s="19">
        <f>$C$25*D25*9.81</f>
        <v>382590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0.65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3.8259000000000003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1000</v>
      </c>
      <c r="D27" s="20">
        <v>25</v>
      </c>
      <c r="E27" s="20">
        <v>0</v>
      </c>
      <c r="F27" s="20">
        <v>0</v>
      </c>
      <c r="G27" s="19">
        <f>$C$27*D27*9.81</f>
        <v>245250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2.4525000000000001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3211</v>
      </c>
      <c r="D28" s="63">
        <f>G28/($C$28*9.81)</f>
        <v>58.959825599501713</v>
      </c>
      <c r="E28" s="63">
        <f>H28/($C$28*9.81)</f>
        <v>0</v>
      </c>
      <c r="F28" s="63">
        <f>I28/($C$28*9.81)</f>
        <v>0</v>
      </c>
      <c r="G28" s="23">
        <f>SUM(G17:G27)</f>
        <v>1857229.2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3.2109999999999999</v>
      </c>
      <c r="M28" s="260">
        <f>P28/($L$28*9.81)</f>
        <v>0.58959825599501714</v>
      </c>
      <c r="N28" s="260">
        <f>Q28/($L$28*9.81)</f>
        <v>0</v>
      </c>
      <c r="O28" s="260">
        <f>R28/($L$28*9.81)</f>
        <v>0</v>
      </c>
      <c r="P28" s="23">
        <f>SUM(P17:P27)</f>
        <v>18.572292000000001</v>
      </c>
      <c r="Q28" s="24">
        <f>SUM(Q17:Q27)</f>
        <v>0</v>
      </c>
      <c r="R28" s="25">
        <f>SUM(R17:R27)</f>
        <v>0</v>
      </c>
    </row>
    <row r="29" spans="2:22" ht="29.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1" t="s">
        <v>285</v>
      </c>
      <c r="C32" s="184"/>
      <c r="D32" s="184"/>
      <c r="E32" s="184"/>
      <c r="F32" s="185"/>
    </row>
    <row r="33" spans="2:19" ht="15" thickBot="1">
      <c r="B33" s="174" t="s">
        <v>227</v>
      </c>
      <c r="C33" s="168" t="s">
        <v>253</v>
      </c>
      <c r="D33" s="169" t="s">
        <v>254</v>
      </c>
      <c r="E33" s="169" t="s">
        <v>255</v>
      </c>
      <c r="F33" s="170" t="s">
        <v>256</v>
      </c>
      <c r="G33" s="168" t="s">
        <v>257</v>
      </c>
      <c r="H33" s="169" t="s">
        <v>258</v>
      </c>
      <c r="I33" s="170" t="s">
        <v>259</v>
      </c>
      <c r="K33" s="402" t="s">
        <v>286</v>
      </c>
      <c r="L33" s="403"/>
      <c r="M33" s="403"/>
      <c r="N33" s="403"/>
      <c r="O33" s="403"/>
      <c r="P33" s="403"/>
      <c r="Q33" s="403"/>
      <c r="R33" s="403"/>
      <c r="S33" s="404"/>
    </row>
    <row r="34" spans="2:19">
      <c r="B34" s="175" t="s">
        <v>287</v>
      </c>
      <c r="C34" s="18"/>
      <c r="D34" s="178"/>
      <c r="E34" s="178"/>
      <c r="F34" s="179"/>
      <c r="G34" s="18"/>
      <c r="H34" s="178"/>
      <c r="I34" s="179"/>
      <c r="K34" s="22" t="s">
        <v>288</v>
      </c>
      <c r="N34" s="97"/>
      <c r="O34" s="14" t="s">
        <v>289</v>
      </c>
      <c r="Q34" s="14" t="s">
        <v>290</v>
      </c>
      <c r="R34" s="256" t="s">
        <v>186</v>
      </c>
      <c r="S34" s="180" t="s">
        <v>291</v>
      </c>
    </row>
    <row r="35" spans="2:19">
      <c r="B35" s="176" t="s">
        <v>292</v>
      </c>
      <c r="C35" s="22" t="s">
        <v>88</v>
      </c>
      <c r="F35" s="180"/>
      <c r="G35" s="22"/>
      <c r="I35" s="180"/>
      <c r="K35" s="22" t="s">
        <v>293</v>
      </c>
      <c r="L35" s="14">
        <v>8</v>
      </c>
      <c r="M35" s="14" t="s">
        <v>196</v>
      </c>
      <c r="N35" s="14">
        <f>L35/100</f>
        <v>0.08</v>
      </c>
      <c r="O35" s="253" t="s">
        <v>197</v>
      </c>
      <c r="Q35" s="14" t="s">
        <v>294</v>
      </c>
      <c r="R35" s="14">
        <v>2.6</v>
      </c>
      <c r="S35" s="254" t="s">
        <v>295</v>
      </c>
    </row>
    <row r="36" spans="2:19">
      <c r="B36" s="176" t="s">
        <v>296</v>
      </c>
      <c r="C36" s="22"/>
      <c r="F36" s="180"/>
      <c r="G36" s="22"/>
      <c r="I36" s="180"/>
      <c r="K36" s="22" t="s">
        <v>297</v>
      </c>
      <c r="L36" s="14">
        <v>7.2</v>
      </c>
      <c r="M36" s="14" t="s">
        <v>196</v>
      </c>
      <c r="N36" s="14">
        <f t="shared" ref="N36:N37" si="32">L36/100</f>
        <v>7.2000000000000008E-2</v>
      </c>
      <c r="O36" s="253" t="s">
        <v>197</v>
      </c>
      <c r="Q36" s="14" t="s">
        <v>298</v>
      </c>
      <c r="R36" s="14">
        <v>60</v>
      </c>
      <c r="S36" s="254" t="s">
        <v>299</v>
      </c>
    </row>
    <row r="37" spans="2:19">
      <c r="B37" s="176" t="s">
        <v>300</v>
      </c>
      <c r="C37" s="22"/>
      <c r="F37" s="180"/>
      <c r="G37" s="22"/>
      <c r="I37" s="180"/>
      <c r="K37" s="22" t="s">
        <v>205</v>
      </c>
      <c r="L37" s="14">
        <v>200</v>
      </c>
      <c r="M37" s="14" t="s">
        <v>196</v>
      </c>
      <c r="N37" s="14">
        <f t="shared" si="32"/>
        <v>2</v>
      </c>
      <c r="O37" s="253" t="s">
        <v>197</v>
      </c>
      <c r="S37" s="180"/>
    </row>
    <row r="38" spans="2:19" ht="15" thickBot="1">
      <c r="B38" s="176" t="s">
        <v>301</v>
      </c>
      <c r="C38" s="22"/>
      <c r="F38" s="180"/>
      <c r="G38" s="22"/>
      <c r="I38" s="180"/>
      <c r="K38" s="22" t="s">
        <v>302</v>
      </c>
      <c r="L38" s="14">
        <f>((L35-L36)/2)*10</f>
        <v>3.9999999999999991</v>
      </c>
      <c r="M38" s="14" t="s">
        <v>227</v>
      </c>
      <c r="Q38" s="14" t="s">
        <v>303</v>
      </c>
      <c r="R38" s="256" t="s">
        <v>186</v>
      </c>
      <c r="S38" s="180" t="s">
        <v>291</v>
      </c>
    </row>
    <row r="39" spans="2:19">
      <c r="B39" s="175" t="s">
        <v>304</v>
      </c>
      <c r="C39" s="18"/>
      <c r="D39" s="178"/>
      <c r="E39" s="178"/>
      <c r="F39" s="179"/>
      <c r="G39" s="18"/>
      <c r="H39" s="178"/>
      <c r="I39" s="179"/>
      <c r="K39" s="22"/>
      <c r="Q39" s="14" t="s">
        <v>294</v>
      </c>
      <c r="R39" s="14">
        <v>1.4</v>
      </c>
      <c r="S39" s="254" t="s">
        <v>295</v>
      </c>
    </row>
    <row r="40" spans="2:19">
      <c r="B40" s="176" t="s">
        <v>305</v>
      </c>
      <c r="C40" s="22"/>
      <c r="F40" s="180"/>
      <c r="G40" s="22"/>
      <c r="I40" s="180"/>
      <c r="K40" s="22" t="s">
        <v>294</v>
      </c>
      <c r="L40" s="14">
        <f>N40</f>
        <v>2.12</v>
      </c>
      <c r="M40" s="14" t="s">
        <v>306</v>
      </c>
      <c r="N40" s="14">
        <f>(R35*R36/100)+(R39*R40/100)</f>
        <v>2.12</v>
      </c>
      <c r="O40" s="253" t="s">
        <v>295</v>
      </c>
      <c r="Q40" s="14" t="s">
        <v>307</v>
      </c>
      <c r="R40" s="14">
        <v>40</v>
      </c>
      <c r="S40" s="254" t="s">
        <v>299</v>
      </c>
    </row>
    <row r="41" spans="2:19" ht="15" thickBot="1">
      <c r="B41" s="177" t="s">
        <v>308</v>
      </c>
      <c r="C41" s="181"/>
      <c r="D41" s="182"/>
      <c r="E41" s="182"/>
      <c r="F41" s="183"/>
      <c r="G41" s="181"/>
      <c r="H41" s="182"/>
      <c r="I41" s="183"/>
      <c r="K41" s="181" t="s">
        <v>309</v>
      </c>
      <c r="L41" s="257">
        <f>N41*1000</f>
        <v>38.575741857135213</v>
      </c>
      <c r="M41" s="182" t="s">
        <v>310</v>
      </c>
      <c r="N41" s="259">
        <f>(((PI()*N36^2)/4)*N37 + ((PI()*N35^2)/4)*N37) * N40</f>
        <v>3.8575741857135214E-2</v>
      </c>
      <c r="O41" s="255" t="s">
        <v>311</v>
      </c>
      <c r="P41" s="182"/>
      <c r="Q41" s="182"/>
      <c r="R41" s="182"/>
      <c r="S41" s="183"/>
    </row>
    <row r="42" spans="2:19" ht="15" thickBot="1"/>
    <row r="43" spans="2:19" ht="15" thickBot="1">
      <c r="K43" s="402" t="s">
        <v>312</v>
      </c>
      <c r="L43" s="403"/>
      <c r="M43" s="403"/>
      <c r="N43" s="403"/>
      <c r="O43" s="403"/>
      <c r="P43" s="403"/>
      <c r="Q43" s="403"/>
      <c r="R43" s="403"/>
      <c r="S43" s="404"/>
    </row>
    <row r="44" spans="2:19" ht="15" thickBot="1">
      <c r="B44" s="393" t="s">
        <v>313</v>
      </c>
      <c r="C44" s="394"/>
      <c r="D44" s="394"/>
      <c r="E44" s="394"/>
      <c r="F44" s="395"/>
      <c r="K44" s="22" t="s">
        <v>288</v>
      </c>
      <c r="N44" s="97"/>
      <c r="O44" s="14" t="s">
        <v>289</v>
      </c>
      <c r="Q44" s="14" t="s">
        <v>290</v>
      </c>
      <c r="R44" s="14" t="s">
        <v>186</v>
      </c>
      <c r="S44" s="180" t="s">
        <v>291</v>
      </c>
    </row>
    <row r="45" spans="2:19" ht="29.5" thickBot="1">
      <c r="B45" s="15" t="s">
        <v>196</v>
      </c>
      <c r="C45" s="29" t="s">
        <v>314</v>
      </c>
      <c r="D45" s="16" t="s">
        <v>254</v>
      </c>
      <c r="E45" s="16" t="s">
        <v>255</v>
      </c>
      <c r="F45" s="17" t="s">
        <v>256</v>
      </c>
      <c r="G45" s="15" t="s">
        <v>257</v>
      </c>
      <c r="H45" s="16" t="s">
        <v>258</v>
      </c>
      <c r="I45" s="17" t="s">
        <v>259</v>
      </c>
      <c r="K45" s="22" t="s">
        <v>315</v>
      </c>
      <c r="L45" s="14">
        <v>15</v>
      </c>
      <c r="M45" s="14" t="s">
        <v>196</v>
      </c>
      <c r="N45" s="14">
        <f>L45/100</f>
        <v>0.15</v>
      </c>
      <c r="O45" s="253" t="s">
        <v>197</v>
      </c>
      <c r="Q45" s="14" t="s">
        <v>294</v>
      </c>
      <c r="R45" s="14">
        <v>2</v>
      </c>
      <c r="S45" s="254" t="s">
        <v>316</v>
      </c>
    </row>
    <row r="46" spans="2:19">
      <c r="B46" s="18" t="s">
        <v>262</v>
      </c>
      <c r="C46" s="26"/>
      <c r="D46" s="27">
        <v>20</v>
      </c>
      <c r="E46" s="27">
        <v>0</v>
      </c>
      <c r="F46" s="28">
        <v>0</v>
      </c>
      <c r="G46" s="19">
        <f>$C$17*D46*9.81</f>
        <v>58860</v>
      </c>
      <c r="H46" s="20">
        <f>$C$17*E46*9.81</f>
        <v>0</v>
      </c>
      <c r="I46" s="21">
        <f t="shared" ref="I46" si="33">$C$17*F46*9.81</f>
        <v>0</v>
      </c>
      <c r="K46" s="22" t="s">
        <v>317</v>
      </c>
      <c r="L46" s="14">
        <v>10</v>
      </c>
      <c r="M46" s="14" t="s">
        <v>196</v>
      </c>
      <c r="N46" s="14">
        <f t="shared" ref="N46:N47" si="34">L46/100</f>
        <v>0.1</v>
      </c>
      <c r="O46" s="253" t="s">
        <v>197</v>
      </c>
      <c r="Q46" s="14" t="s">
        <v>298</v>
      </c>
      <c r="R46" s="14">
        <v>60</v>
      </c>
      <c r="S46" s="254" t="s">
        <v>299</v>
      </c>
    </row>
    <row r="47" spans="2:19">
      <c r="B47" s="22" t="s">
        <v>263</v>
      </c>
      <c r="C47" s="19"/>
      <c r="D47" s="20">
        <v>80</v>
      </c>
      <c r="E47" s="20">
        <v>0</v>
      </c>
      <c r="F47" s="21">
        <v>0</v>
      </c>
      <c r="G47" s="19">
        <f>$C$18*D47*9.81</f>
        <v>219744</v>
      </c>
      <c r="H47" s="20">
        <f>$C$18*E47*9.81</f>
        <v>0</v>
      </c>
      <c r="I47" s="21">
        <f t="shared" ref="I47" si="35">$C$18*F47*9.81</f>
        <v>0</v>
      </c>
      <c r="K47" s="22" t="s">
        <v>205</v>
      </c>
      <c r="L47" s="14">
        <v>8</v>
      </c>
      <c r="M47" s="14" t="s">
        <v>196</v>
      </c>
      <c r="N47" s="14">
        <f t="shared" si="34"/>
        <v>0.08</v>
      </c>
      <c r="O47" s="253" t="s">
        <v>197</v>
      </c>
      <c r="S47" s="180"/>
    </row>
    <row r="48" spans="2:19">
      <c r="B48" s="22" t="s">
        <v>264</v>
      </c>
      <c r="C48" s="19"/>
      <c r="D48" s="20">
        <v>120</v>
      </c>
      <c r="E48" s="20">
        <v>4</v>
      </c>
      <c r="F48" s="21">
        <v>0</v>
      </c>
      <c r="G48" s="19"/>
      <c r="H48" s="20"/>
      <c r="I48" s="21"/>
      <c r="K48" s="22" t="s">
        <v>226</v>
      </c>
      <c r="L48" s="14">
        <v>2</v>
      </c>
      <c r="M48" s="14" t="s">
        <v>227</v>
      </c>
      <c r="N48" s="14">
        <f>L48/1000</f>
        <v>2E-3</v>
      </c>
      <c r="O48" s="253" t="s">
        <v>197</v>
      </c>
      <c r="Q48" s="14" t="s">
        <v>303</v>
      </c>
      <c r="R48" s="14" t="s">
        <v>186</v>
      </c>
      <c r="S48" s="180"/>
    </row>
    <row r="49" spans="2:19">
      <c r="B49" s="22" t="s">
        <v>265</v>
      </c>
      <c r="C49" s="19"/>
      <c r="D49" s="20">
        <v>120</v>
      </c>
      <c r="E49" s="20">
        <v>-4</v>
      </c>
      <c r="F49" s="21">
        <v>0</v>
      </c>
      <c r="G49" s="19"/>
      <c r="H49" s="20"/>
      <c r="I49" s="21"/>
      <c r="K49" s="22"/>
      <c r="Q49" s="14" t="s">
        <v>294</v>
      </c>
      <c r="R49" s="14">
        <v>1.5</v>
      </c>
      <c r="S49" s="254" t="s">
        <v>295</v>
      </c>
    </row>
    <row r="50" spans="2:19">
      <c r="B50" s="22" t="s">
        <v>266</v>
      </c>
      <c r="C50" s="19"/>
      <c r="D50" s="20">
        <v>120</v>
      </c>
      <c r="E50" s="20">
        <v>0</v>
      </c>
      <c r="F50" s="21">
        <v>4</v>
      </c>
      <c r="G50" s="19">
        <f>$C$21*D50*9.81</f>
        <v>176580</v>
      </c>
      <c r="H50" s="20">
        <f>$C$21*E50*9.81</f>
        <v>0</v>
      </c>
      <c r="I50" s="21">
        <f t="shared" ref="I50" si="36">$C$21*F50*9.81</f>
        <v>5886</v>
      </c>
      <c r="K50" s="22" t="s">
        <v>294</v>
      </c>
      <c r="L50" s="14">
        <f>N50</f>
        <v>1.7999999999999998</v>
      </c>
      <c r="M50" s="14" t="s">
        <v>306</v>
      </c>
      <c r="N50" s="14">
        <f>(R45*R46/100)+(R49*R50/100)</f>
        <v>1.7999999999999998</v>
      </c>
      <c r="O50" s="253" t="s">
        <v>295</v>
      </c>
      <c r="Q50" s="14" t="s">
        <v>307</v>
      </c>
      <c r="R50" s="14">
        <v>40</v>
      </c>
      <c r="S50" s="254" t="s">
        <v>299</v>
      </c>
    </row>
    <row r="51" spans="2:19" ht="15" thickBot="1">
      <c r="B51" s="22" t="s">
        <v>267</v>
      </c>
      <c r="C51" s="19"/>
      <c r="D51" s="20">
        <v>120</v>
      </c>
      <c r="E51" s="20">
        <v>0</v>
      </c>
      <c r="F51" s="21">
        <v>-4</v>
      </c>
      <c r="G51" s="19"/>
      <c r="H51" s="20"/>
      <c r="I51" s="21"/>
      <c r="K51" s="181" t="s">
        <v>309</v>
      </c>
      <c r="L51" s="182">
        <f>N51*1000</f>
        <v>3.6000000000000004E-2</v>
      </c>
      <c r="M51" s="182" t="s">
        <v>310</v>
      </c>
      <c r="N51" s="182">
        <f>((0.5*(N45+N46)*N47)*N48*N50*1000)/1000</f>
        <v>3.6000000000000001E-5</v>
      </c>
      <c r="O51" s="255" t="s">
        <v>311</v>
      </c>
      <c r="P51" s="182"/>
      <c r="Q51" s="182"/>
      <c r="R51" s="182"/>
      <c r="S51" s="183"/>
    </row>
    <row r="52" spans="2:19">
      <c r="B52" s="22" t="s">
        <v>269</v>
      </c>
      <c r="C52" s="19"/>
      <c r="D52" s="20">
        <v>128</v>
      </c>
      <c r="E52" s="20">
        <v>0</v>
      </c>
      <c r="F52" s="21">
        <v>0</v>
      </c>
      <c r="G52" s="19">
        <f>$C$23*D52*9.81</f>
        <v>0</v>
      </c>
      <c r="H52" s="20">
        <f>$C$23*E52*9.81</f>
        <v>0</v>
      </c>
      <c r="I52" s="21">
        <f t="shared" ref="I52" si="37">$C$23*F52*9.81</f>
        <v>0</v>
      </c>
    </row>
    <row r="53" spans="2:19" ht="15" thickBot="1">
      <c r="B53" s="22" t="s">
        <v>318</v>
      </c>
      <c r="C53" s="23">
        <f>SUM(C46:C52)</f>
        <v>0</v>
      </c>
      <c r="D53" s="24">
        <f>G53/($C$28*9.81)</f>
        <v>14.450327000934289</v>
      </c>
      <c r="E53" s="24">
        <f>H53/($C$28*9.81)</f>
        <v>0</v>
      </c>
      <c r="F53" s="25">
        <f t="shared" ref="F53" si="38">I53/($C$28*9.81)</f>
        <v>0.18685767673621925</v>
      </c>
      <c r="G53" s="23">
        <f>SUM(G46:G52)</f>
        <v>455184</v>
      </c>
      <c r="H53" s="24">
        <f>SUM(H46:H52)</f>
        <v>0</v>
      </c>
      <c r="I53" s="25">
        <f>SUM(I46:I52)</f>
        <v>5886</v>
      </c>
    </row>
    <row r="54" spans="2:19" ht="29.5" thickBot="1">
      <c r="B54" s="49" t="s">
        <v>319</v>
      </c>
      <c r="C54" s="23"/>
      <c r="D54" s="24"/>
      <c r="E54" s="24"/>
      <c r="F54" s="25"/>
      <c r="G54" s="20"/>
      <c r="I54" s="20"/>
    </row>
    <row r="57" spans="2:19" s="97" customFormat="1" ht="4.5" customHeight="1"/>
    <row r="59" spans="2:19">
      <c r="B59" s="14" t="s">
        <v>320</v>
      </c>
    </row>
    <row r="60" spans="2:19">
      <c r="B60" s="14" t="s">
        <v>321</v>
      </c>
      <c r="C60" s="14" t="s">
        <v>186</v>
      </c>
      <c r="D60" s="14" t="s">
        <v>322</v>
      </c>
      <c r="E60" s="14" t="s">
        <v>323</v>
      </c>
    </row>
    <row r="61" spans="2:19">
      <c r="B61" s="14" t="s">
        <v>324</v>
      </c>
    </row>
    <row r="62" spans="2:19">
      <c r="B62" s="14" t="s">
        <v>325</v>
      </c>
    </row>
    <row r="63" spans="2:19">
      <c r="B63" s="14" t="s">
        <v>214</v>
      </c>
    </row>
    <row r="64" spans="2:19">
      <c r="B64" s="14" t="s">
        <v>326</v>
      </c>
    </row>
  </sheetData>
  <mergeCells count="5">
    <mergeCell ref="B44:F44"/>
    <mergeCell ref="T15:V15"/>
    <mergeCell ref="T23:V23"/>
    <mergeCell ref="K33:S33"/>
    <mergeCell ref="K43:S43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K249"/>
  <sheetViews>
    <sheetView zoomScale="85" zoomScaleNormal="85" workbookViewId="0">
      <pane ySplit="10" topLeftCell="A105" activePane="bottomLeft" state="frozen"/>
      <selection pane="bottomLeft" activeCell="C154" sqref="C154"/>
    </sheetView>
  </sheetViews>
  <sheetFormatPr defaultColWidth="9.08984375" defaultRowHeight="15" customHeight="1" outlineLevelRow="1"/>
  <cols>
    <col min="1" max="1" width="39.36328125" customWidth="1"/>
    <col min="2" max="11" width="12.7265625" style="191" customWidth="1"/>
  </cols>
  <sheetData>
    <row r="1" spans="1:11" ht="30.75" customHeight="1" thickBot="1">
      <c r="A1" s="269" t="s">
        <v>496</v>
      </c>
      <c r="B1" s="191">
        <v>1</v>
      </c>
      <c r="C1" s="191">
        <v>1</v>
      </c>
      <c r="D1" s="191">
        <v>1</v>
      </c>
      <c r="E1" s="191">
        <v>1</v>
      </c>
      <c r="F1" s="191">
        <v>1</v>
      </c>
      <c r="G1" s="191">
        <v>1</v>
      </c>
      <c r="H1" s="191">
        <v>1</v>
      </c>
      <c r="I1" s="191">
        <v>1</v>
      </c>
      <c r="J1" s="191">
        <v>1</v>
      </c>
      <c r="K1" s="191">
        <v>1</v>
      </c>
    </row>
    <row r="2" spans="1:11" ht="14.5">
      <c r="A2" t="s">
        <v>327</v>
      </c>
      <c r="B2" s="191">
        <f>B6*B8</f>
        <v>20.410444385167118</v>
      </c>
      <c r="C2" s="191">
        <f t="shared" ref="C2:I2" si="0">C6*C8</f>
        <v>34.028626478304993</v>
      </c>
      <c r="D2" s="191">
        <f t="shared" si="0"/>
        <v>102.08587943491499</v>
      </c>
      <c r="E2" s="191">
        <f t="shared" si="0"/>
        <v>170.14313239152497</v>
      </c>
      <c r="F2" s="191">
        <f t="shared" si="0"/>
        <v>238.20038534813494</v>
      </c>
      <c r="G2" s="191">
        <f t="shared" si="0"/>
        <v>340.28626478304994</v>
      </c>
      <c r="H2" s="191">
        <f t="shared" si="0"/>
        <v>510.42939717457489</v>
      </c>
      <c r="I2" s="191">
        <f t="shared" si="0"/>
        <v>680.57252956609989</v>
      </c>
      <c r="J2" s="191">
        <f t="shared" ref="J2:K2" si="1">J6*J8</f>
        <v>1020.8587943491498</v>
      </c>
      <c r="K2" s="191">
        <f t="shared" si="1"/>
        <v>1701.4313239152498</v>
      </c>
    </row>
    <row r="3" spans="1:11" ht="14.5" outlineLevel="1">
      <c r="A3" t="s">
        <v>328</v>
      </c>
      <c r="B3" s="191">
        <f>B2*COS(RADIANS(B9))*COS(RADIANS(B10))</f>
        <v>19.714975357669623</v>
      </c>
      <c r="C3" s="191">
        <f t="shared" ref="C3:I3" si="2">C2*COS(RADIANS(C9))*COS(RADIANS(C10))</f>
        <v>34.028626478304993</v>
      </c>
      <c r="D3" s="191">
        <f t="shared" si="2"/>
        <v>102.08587943491499</v>
      </c>
      <c r="E3" s="191">
        <f t="shared" si="2"/>
        <v>170.14313239152497</v>
      </c>
      <c r="F3" s="191">
        <f t="shared" si="2"/>
        <v>238.20038534813494</v>
      </c>
      <c r="G3" s="191">
        <f t="shared" si="2"/>
        <v>340.28626478304994</v>
      </c>
      <c r="H3" s="191">
        <f t="shared" si="2"/>
        <v>510.42939717457489</v>
      </c>
      <c r="I3" s="191">
        <f t="shared" si="2"/>
        <v>680.57252956609989</v>
      </c>
      <c r="J3" s="191">
        <f t="shared" ref="J3" si="3">J2*COS(RADIANS(J9))*COS(RADIANS(J10))</f>
        <v>1020.8587943491498</v>
      </c>
      <c r="K3" s="191">
        <f t="shared" ref="K3" si="4">K2*COS(RADIANS(K9))*COS(RADIANS(K10))</f>
        <v>1701.4313239152498</v>
      </c>
    </row>
    <row r="4" spans="1:11" ht="14.5" outlineLevel="1">
      <c r="A4" t="s">
        <v>329</v>
      </c>
      <c r="B4" s="191">
        <f t="shared" ref="B4" si="5">B2*SIN(RADIANS(B10))</f>
        <v>0</v>
      </c>
      <c r="C4" s="191">
        <f t="shared" ref="C4:I4" si="6">C2*SIN(RADIANS(C10))</f>
        <v>0</v>
      </c>
      <c r="D4" s="191">
        <f t="shared" si="6"/>
        <v>0</v>
      </c>
      <c r="E4" s="191">
        <f t="shared" si="6"/>
        <v>0</v>
      </c>
      <c r="F4" s="191">
        <f t="shared" si="6"/>
        <v>0</v>
      </c>
      <c r="G4" s="191">
        <f t="shared" si="6"/>
        <v>0</v>
      </c>
      <c r="H4" s="191">
        <f t="shared" si="6"/>
        <v>0</v>
      </c>
      <c r="I4" s="191">
        <f t="shared" si="6"/>
        <v>0</v>
      </c>
      <c r="J4" s="191">
        <f t="shared" ref="J4:K4" si="7">J2*SIN(RADIANS(J10))</f>
        <v>0</v>
      </c>
      <c r="K4" s="191">
        <f t="shared" si="7"/>
        <v>0</v>
      </c>
    </row>
    <row r="5" spans="1:11" ht="14.5" outlineLevel="1">
      <c r="A5" t="s">
        <v>330</v>
      </c>
      <c r="B5" s="191">
        <f t="shared" ref="B5" si="8">B2*SIN(RADIANS(B9))*COS(RADIANS(B10))</f>
        <v>5.2826117258870591</v>
      </c>
      <c r="C5" s="191">
        <f t="shared" ref="C5:I5" si="9">C2*SIN(RADIANS(C9))*COS(RADIANS(C10))</f>
        <v>0</v>
      </c>
      <c r="D5" s="191">
        <f t="shared" si="9"/>
        <v>0</v>
      </c>
      <c r="E5" s="191">
        <f t="shared" si="9"/>
        <v>0</v>
      </c>
      <c r="F5" s="191">
        <f t="shared" si="9"/>
        <v>0</v>
      </c>
      <c r="G5" s="191">
        <f t="shared" si="9"/>
        <v>0</v>
      </c>
      <c r="H5" s="191">
        <f t="shared" si="9"/>
        <v>0</v>
      </c>
      <c r="I5" s="191">
        <f t="shared" si="9"/>
        <v>0</v>
      </c>
      <c r="J5" s="191">
        <f t="shared" ref="J5:K5" si="10">J2*SIN(RADIANS(J9))*COS(RADIANS(J10))</f>
        <v>0</v>
      </c>
      <c r="K5" s="191">
        <f t="shared" si="10"/>
        <v>0</v>
      </c>
    </row>
    <row r="6" spans="1:11" s="284" customFormat="1" ht="14.5">
      <c r="A6" s="284" t="s">
        <v>484</v>
      </c>
      <c r="B6" s="285">
        <v>0.06</v>
      </c>
      <c r="C6" s="285">
        <v>0.1</v>
      </c>
      <c r="D6" s="285">
        <v>0.3</v>
      </c>
      <c r="E6" s="285">
        <v>0.5</v>
      </c>
      <c r="F6" s="285">
        <v>0.7</v>
      </c>
      <c r="G6" s="285">
        <v>1</v>
      </c>
      <c r="H6" s="285">
        <v>1.5</v>
      </c>
      <c r="I6" s="285">
        <v>2</v>
      </c>
      <c r="J6" s="285">
        <v>3</v>
      </c>
      <c r="K6" s="285">
        <v>5</v>
      </c>
    </row>
    <row r="7" spans="1:11" ht="14.5">
      <c r="A7" t="s">
        <v>331</v>
      </c>
      <c r="B7" s="282">
        <f t="shared" ref="B7" si="11">B2/B8</f>
        <v>0.06</v>
      </c>
      <c r="C7" s="282">
        <f t="shared" ref="C7:I7" si="12">C2/C8</f>
        <v>9.9999999999999992E-2</v>
      </c>
      <c r="D7" s="282">
        <f t="shared" si="12"/>
        <v>0.3</v>
      </c>
      <c r="E7" s="282">
        <f t="shared" si="12"/>
        <v>0.5</v>
      </c>
      <c r="F7" s="282">
        <f t="shared" si="12"/>
        <v>0.7</v>
      </c>
      <c r="G7" s="282">
        <f t="shared" si="12"/>
        <v>1</v>
      </c>
      <c r="H7" s="282">
        <f t="shared" si="12"/>
        <v>1.5</v>
      </c>
      <c r="I7" s="282">
        <f t="shared" si="12"/>
        <v>2</v>
      </c>
      <c r="J7" s="282">
        <f t="shared" ref="J7:K7" si="13">J2/J8</f>
        <v>3</v>
      </c>
      <c r="K7" s="282">
        <f t="shared" si="13"/>
        <v>5</v>
      </c>
    </row>
    <row r="8" spans="1:11" ht="14.5">
      <c r="A8" t="s">
        <v>485</v>
      </c>
      <c r="B8" s="191">
        <f>(SQRT(1.4*B17*287))</f>
        <v>340.17407308611865</v>
      </c>
      <c r="C8" s="191">
        <f t="shared" ref="C8:I8" si="14">(SQRT(1.4*C17*287))</f>
        <v>340.28626478304994</v>
      </c>
      <c r="D8" s="191">
        <f t="shared" si="14"/>
        <v>340.28626478304994</v>
      </c>
      <c r="E8" s="191">
        <f t="shared" si="14"/>
        <v>340.28626478304994</v>
      </c>
      <c r="F8" s="191">
        <f t="shared" si="14"/>
        <v>340.28626478304994</v>
      </c>
      <c r="G8" s="191">
        <f t="shared" si="14"/>
        <v>340.28626478304994</v>
      </c>
      <c r="H8" s="191">
        <f t="shared" si="14"/>
        <v>340.28626478304994</v>
      </c>
      <c r="I8" s="191">
        <f t="shared" si="14"/>
        <v>340.28626478304994</v>
      </c>
      <c r="J8" s="191">
        <f t="shared" ref="J8:K8" si="15">(SQRT(1.4*J17*287))</f>
        <v>340.28626478304994</v>
      </c>
      <c r="K8" s="191">
        <f t="shared" si="15"/>
        <v>340.28626478304994</v>
      </c>
    </row>
    <row r="9" spans="1:11" s="284" customFormat="1" ht="14.5">
      <c r="A9" s="284" t="s">
        <v>332</v>
      </c>
      <c r="B9" s="286">
        <v>15</v>
      </c>
      <c r="C9" s="286">
        <v>0</v>
      </c>
      <c r="D9" s="286">
        <v>0</v>
      </c>
      <c r="E9" s="286">
        <v>0</v>
      </c>
      <c r="F9" s="286">
        <v>0</v>
      </c>
      <c r="G9" s="286">
        <v>0</v>
      </c>
      <c r="H9" s="286">
        <v>0</v>
      </c>
      <c r="I9" s="286">
        <v>0</v>
      </c>
      <c r="J9" s="286">
        <v>0</v>
      </c>
      <c r="K9" s="286">
        <v>0</v>
      </c>
    </row>
    <row r="10" spans="1:11" ht="14.5">
      <c r="A10" s="267" t="s">
        <v>333</v>
      </c>
      <c r="B10" s="191">
        <v>0</v>
      </c>
      <c r="C10" s="191">
        <v>0</v>
      </c>
      <c r="D10" s="191">
        <v>0</v>
      </c>
      <c r="E10" s="191">
        <v>0</v>
      </c>
      <c r="F10" s="191">
        <v>0</v>
      </c>
      <c r="G10" s="191">
        <v>0</v>
      </c>
      <c r="H10" s="191">
        <v>0</v>
      </c>
      <c r="I10" s="191">
        <v>0</v>
      </c>
      <c r="J10" s="191">
        <v>0</v>
      </c>
      <c r="K10" s="191">
        <v>0</v>
      </c>
    </row>
    <row r="11" spans="1:11" ht="14.5">
      <c r="A11" t="s">
        <v>334</v>
      </c>
      <c r="B11" s="191">
        <f t="shared" ref="B11:K11" si="16">RADIANS(AoAfins)</f>
        <v>0.26179938779914941</v>
      </c>
      <c r="C11" s="191">
        <f t="shared" si="16"/>
        <v>0.26179938779914941</v>
      </c>
      <c r="D11" s="191">
        <f t="shared" si="16"/>
        <v>0.26179938779914941</v>
      </c>
      <c r="E11" s="191">
        <f t="shared" si="16"/>
        <v>0.26179938779914941</v>
      </c>
      <c r="F11" s="191">
        <f t="shared" si="16"/>
        <v>0.26179938779914941</v>
      </c>
      <c r="G11" s="191">
        <f t="shared" si="16"/>
        <v>0.26179938779914941</v>
      </c>
      <c r="H11" s="191">
        <f t="shared" si="16"/>
        <v>0.26179938779914941</v>
      </c>
      <c r="I11" s="191">
        <f t="shared" si="16"/>
        <v>0.26179938779914941</v>
      </c>
      <c r="J11" s="191">
        <f t="shared" si="16"/>
        <v>0.26179938779914941</v>
      </c>
      <c r="K11" s="191">
        <f t="shared" si="16"/>
        <v>0.26179938779914941</v>
      </c>
    </row>
    <row r="12" spans="1:11" ht="14.5">
      <c r="A12" t="s">
        <v>335</v>
      </c>
      <c r="B12" s="191">
        <f t="shared" ref="B12:K12" si="17">RADIANS(AoSfins)</f>
        <v>0</v>
      </c>
      <c r="C12" s="191">
        <f t="shared" si="17"/>
        <v>0</v>
      </c>
      <c r="D12" s="191">
        <f t="shared" si="17"/>
        <v>0</v>
      </c>
      <c r="E12" s="191">
        <f t="shared" si="17"/>
        <v>0</v>
      </c>
      <c r="F12" s="191">
        <f t="shared" si="17"/>
        <v>0</v>
      </c>
      <c r="G12" s="191">
        <f t="shared" si="17"/>
        <v>0</v>
      </c>
      <c r="H12" s="191">
        <f t="shared" si="17"/>
        <v>0</v>
      </c>
      <c r="I12" s="191">
        <f t="shared" si="17"/>
        <v>0</v>
      </c>
      <c r="J12" s="191">
        <f t="shared" si="17"/>
        <v>0</v>
      </c>
      <c r="K12" s="191">
        <f t="shared" si="17"/>
        <v>0</v>
      </c>
    </row>
    <row r="13" spans="1:11" thickBot="1">
      <c r="A13" t="s">
        <v>336</v>
      </c>
      <c r="B13" s="191">
        <v>0</v>
      </c>
      <c r="C13" s="191">
        <v>0</v>
      </c>
      <c r="D13" s="191">
        <v>0</v>
      </c>
      <c r="E13" s="191">
        <v>0</v>
      </c>
      <c r="F13" s="191">
        <v>0</v>
      </c>
      <c r="G13" s="191">
        <v>0</v>
      </c>
      <c r="H13" s="191">
        <v>0</v>
      </c>
      <c r="I13" s="191">
        <v>0</v>
      </c>
      <c r="J13" s="191">
        <v>0</v>
      </c>
      <c r="K13" s="191">
        <v>0</v>
      </c>
    </row>
    <row r="14" spans="1:11" thickBot="1">
      <c r="A14" s="268" t="s">
        <v>486</v>
      </c>
    </row>
    <row r="15" spans="1:11" ht="14.5" outlineLevel="1">
      <c r="A15" t="s">
        <v>348</v>
      </c>
      <c r="B15" s="191">
        <f>101325*(B17/288.08)^5.256</f>
        <v>101177.1939523339</v>
      </c>
      <c r="C15" s="191">
        <f t="shared" ref="C15:I15" si="18">101325*(C17/288.08)^5.256</f>
        <v>101528.51875418922</v>
      </c>
      <c r="D15" s="191">
        <f t="shared" si="18"/>
        <v>101528.51875418922</v>
      </c>
      <c r="E15" s="191">
        <f t="shared" si="18"/>
        <v>101528.51875418922</v>
      </c>
      <c r="F15" s="191">
        <f t="shared" si="18"/>
        <v>101528.51875418922</v>
      </c>
      <c r="G15" s="191">
        <f t="shared" si="18"/>
        <v>101528.51875418922</v>
      </c>
      <c r="H15" s="191">
        <f t="shared" si="18"/>
        <v>101528.51875418922</v>
      </c>
      <c r="I15" s="191">
        <f t="shared" si="18"/>
        <v>101528.51875418922</v>
      </c>
      <c r="J15" s="191">
        <f t="shared" ref="J15:K15" si="19">101325*(J17/288.08)^5.256</f>
        <v>101528.51875418922</v>
      </c>
      <c r="K15" s="191">
        <f t="shared" si="19"/>
        <v>101528.51875418922</v>
      </c>
    </row>
    <row r="16" spans="1:11" ht="14.5" outlineLevel="1">
      <c r="A16" t="s">
        <v>337</v>
      </c>
      <c r="B16" s="191">
        <f t="shared" ref="B16" si="20">B15/(287*B17)</f>
        <v>1.2240756140187512</v>
      </c>
      <c r="C16" s="191">
        <f t="shared" ref="C16:I16" si="21">C15/(287*C17)</f>
        <v>1.2275162395185863</v>
      </c>
      <c r="D16" s="191">
        <f t="shared" si="21"/>
        <v>1.2275162395185863</v>
      </c>
      <c r="E16" s="191">
        <f t="shared" si="21"/>
        <v>1.2275162395185863</v>
      </c>
      <c r="F16" s="191">
        <f t="shared" si="21"/>
        <v>1.2275162395185863</v>
      </c>
      <c r="G16" s="191">
        <f t="shared" si="21"/>
        <v>1.2275162395185863</v>
      </c>
      <c r="H16" s="191">
        <f t="shared" si="21"/>
        <v>1.2275162395185863</v>
      </c>
      <c r="I16" s="191">
        <f t="shared" si="21"/>
        <v>1.2275162395185863</v>
      </c>
      <c r="J16" s="191">
        <f t="shared" ref="J16:K16" si="22">J15/(287*J17)</f>
        <v>1.2275162395185863</v>
      </c>
      <c r="K16" s="191">
        <f t="shared" si="22"/>
        <v>1.2275162395185863</v>
      </c>
    </row>
    <row r="17" spans="1:11" ht="14.5" outlineLevel="1">
      <c r="A17" t="s">
        <v>338</v>
      </c>
      <c r="B17" s="191">
        <f>(15-0.0065*B13)+273</f>
        <v>288</v>
      </c>
      <c r="C17" s="191">
        <f t="shared" ref="C17:I17" si="23">(15.04-0.0065*C13)+273.15</f>
        <v>288.19</v>
      </c>
      <c r="D17" s="191">
        <f t="shared" si="23"/>
        <v>288.19</v>
      </c>
      <c r="E17" s="191">
        <f t="shared" si="23"/>
        <v>288.19</v>
      </c>
      <c r="F17" s="191">
        <f t="shared" si="23"/>
        <v>288.19</v>
      </c>
      <c r="G17" s="191">
        <f t="shared" si="23"/>
        <v>288.19</v>
      </c>
      <c r="H17" s="191">
        <f t="shared" si="23"/>
        <v>288.19</v>
      </c>
      <c r="I17" s="191">
        <f t="shared" si="23"/>
        <v>288.19</v>
      </c>
      <c r="J17" s="191">
        <f t="shared" ref="J17:K17" si="24">(15.04-0.0065*J13)+273.15</f>
        <v>288.19</v>
      </c>
      <c r="K17" s="191">
        <f t="shared" si="24"/>
        <v>288.19</v>
      </c>
    </row>
    <row r="18" spans="1:11" ht="14.5" outlineLevel="1">
      <c r="A18" t="s">
        <v>483</v>
      </c>
      <c r="B18" s="191">
        <f>B17-273</f>
        <v>15</v>
      </c>
      <c r="C18" s="191">
        <f t="shared" ref="C18:I18" si="25">C17-273</f>
        <v>15.189999999999998</v>
      </c>
      <c r="D18" s="191">
        <f t="shared" si="25"/>
        <v>15.189999999999998</v>
      </c>
      <c r="E18" s="191">
        <f t="shared" si="25"/>
        <v>15.189999999999998</v>
      </c>
      <c r="F18" s="191">
        <f t="shared" si="25"/>
        <v>15.189999999999998</v>
      </c>
      <c r="G18" s="191">
        <f t="shared" si="25"/>
        <v>15.189999999999998</v>
      </c>
      <c r="H18" s="191">
        <f t="shared" si="25"/>
        <v>15.189999999999998</v>
      </c>
      <c r="I18" s="191">
        <f t="shared" si="25"/>
        <v>15.189999999999998</v>
      </c>
      <c r="J18" s="191">
        <f t="shared" ref="J18" si="26">J17-273</f>
        <v>15.189999999999998</v>
      </c>
      <c r="K18" s="191">
        <f t="shared" ref="K18" si="27">K17-273</f>
        <v>15.189999999999998</v>
      </c>
    </row>
    <row r="19" spans="1:11" ht="14.5" outlineLevel="1">
      <c r="A19" t="s">
        <v>339</v>
      </c>
      <c r="B19" s="186">
        <f>(1.76*10^-5)*((B17/273)^(3/2))*((273+110)/(B17+110))</f>
        <v>1.8351566035015911E-5</v>
      </c>
      <c r="C19" s="186">
        <f t="shared" ref="C19:I19" si="28">(1.76*10^-5)*((C17/273)^(3/2))*((273+110)/(C17+110))</f>
        <v>1.8360964149388051E-5</v>
      </c>
      <c r="D19" s="186">
        <f t="shared" si="28"/>
        <v>1.8360964149388051E-5</v>
      </c>
      <c r="E19" s="186">
        <f t="shared" si="28"/>
        <v>1.8360964149388051E-5</v>
      </c>
      <c r="F19" s="186">
        <f t="shared" si="28"/>
        <v>1.8360964149388051E-5</v>
      </c>
      <c r="G19" s="186">
        <f t="shared" si="28"/>
        <v>1.8360964149388051E-5</v>
      </c>
      <c r="H19" s="186">
        <f t="shared" si="28"/>
        <v>1.8360964149388051E-5</v>
      </c>
      <c r="I19" s="186">
        <f t="shared" si="28"/>
        <v>1.8360964149388051E-5</v>
      </c>
      <c r="J19" s="186">
        <f t="shared" ref="J19:K19" si="29">(1.76*10^-5)*((J17/273)^(3/2))*((273+110)/(J17+110))</f>
        <v>1.8360964149388051E-5</v>
      </c>
      <c r="K19" s="186">
        <f t="shared" si="29"/>
        <v>1.8360964149388051E-5</v>
      </c>
    </row>
    <row r="20" spans="1:11" ht="14.5" outlineLevel="1">
      <c r="A20" t="s">
        <v>340</v>
      </c>
      <c r="B20" s="186">
        <f t="shared" ref="B20" si="30">B19/B16</f>
        <v>1.4992183346228143E-5</v>
      </c>
      <c r="C20" s="186">
        <f t="shared" ref="C20:I20" si="31">C19/C16</f>
        <v>1.4957817712121631E-5</v>
      </c>
      <c r="D20" s="186">
        <f t="shared" si="31"/>
        <v>1.4957817712121631E-5</v>
      </c>
      <c r="E20" s="186">
        <f t="shared" si="31"/>
        <v>1.4957817712121631E-5</v>
      </c>
      <c r="F20" s="186">
        <f t="shared" si="31"/>
        <v>1.4957817712121631E-5</v>
      </c>
      <c r="G20" s="186">
        <f t="shared" si="31"/>
        <v>1.4957817712121631E-5</v>
      </c>
      <c r="H20" s="186">
        <f t="shared" si="31"/>
        <v>1.4957817712121631E-5</v>
      </c>
      <c r="I20" s="186">
        <f t="shared" si="31"/>
        <v>1.4957817712121631E-5</v>
      </c>
      <c r="J20" s="186">
        <f t="shared" ref="J20:K20" si="32">J19/J16</f>
        <v>1.4957817712121631E-5</v>
      </c>
      <c r="K20" s="186">
        <f t="shared" si="32"/>
        <v>1.4957817712121631E-5</v>
      </c>
    </row>
    <row r="21" spans="1:11" ht="14.5" outlineLevel="1">
      <c r="A21" t="s">
        <v>341</v>
      </c>
      <c r="B21" s="191">
        <v>9</v>
      </c>
      <c r="C21" s="191">
        <v>9</v>
      </c>
      <c r="D21" s="191">
        <v>9</v>
      </c>
      <c r="E21" s="191">
        <v>9</v>
      </c>
      <c r="F21" s="191">
        <v>9</v>
      </c>
      <c r="G21" s="191">
        <v>9</v>
      </c>
      <c r="H21" s="191">
        <v>9</v>
      </c>
      <c r="I21" s="191">
        <v>9</v>
      </c>
      <c r="J21" s="191">
        <v>9</v>
      </c>
      <c r="K21" s="191">
        <v>9</v>
      </c>
    </row>
    <row r="22" spans="1:11" ht="14.5" outlineLevel="1">
      <c r="A22" t="s">
        <v>349</v>
      </c>
    </row>
    <row r="23" spans="1:11" ht="14.5" outlineLevel="1">
      <c r="A23" t="s">
        <v>350</v>
      </c>
    </row>
    <row r="24" spans="1:11" ht="14.5" outlineLevel="1">
      <c r="A24" t="s">
        <v>351</v>
      </c>
    </row>
    <row r="25" spans="1:11" ht="14.5" outlineLevel="1">
      <c r="A25" t="s">
        <v>342</v>
      </c>
      <c r="B25" s="191">
        <f t="shared" ref="B25" si="33">DEGREES(ATAN((B5+B21)/B3))</f>
        <v>35.921637338271211</v>
      </c>
      <c r="C25" s="191">
        <f t="shared" ref="C25:I25" si="34">DEGREES(ATAN((C5+C21)/C3))</f>
        <v>14.814555975479079</v>
      </c>
      <c r="D25" s="191">
        <f t="shared" si="34"/>
        <v>5.0382309646817349</v>
      </c>
      <c r="E25" s="191">
        <f t="shared" si="34"/>
        <v>3.0279322124746915</v>
      </c>
      <c r="F25" s="191">
        <f t="shared" si="34"/>
        <v>2.1637951681161911</v>
      </c>
      <c r="G25" s="191">
        <f t="shared" si="34"/>
        <v>1.5150239133225982</v>
      </c>
      <c r="H25" s="191">
        <f t="shared" si="34"/>
        <v>1.0101467304454064</v>
      </c>
      <c r="I25" s="191">
        <f t="shared" si="34"/>
        <v>0.75764439054895982</v>
      </c>
      <c r="J25" s="191">
        <f t="shared" ref="J25:K25" si="35">DEGREES(ATAN((J5+J21)/J3))</f>
        <v>0.505112616327407</v>
      </c>
      <c r="K25" s="191">
        <f t="shared" si="35"/>
        <v>0.30307259479063259</v>
      </c>
    </row>
    <row r="26" spans="1:11" ht="14.5" outlineLevel="1">
      <c r="A26" t="s">
        <v>343</v>
      </c>
      <c r="B26" s="191">
        <f t="shared" ref="B26" si="36">DEGREES(ATAN((B4+B21)/B3))</f>
        <v>24.536971295091643</v>
      </c>
      <c r="C26" s="191">
        <f t="shared" ref="C26:I26" si="37">DEGREES(ATAN((C4+C21)/C3))</f>
        <v>14.814555975479079</v>
      </c>
      <c r="D26" s="191">
        <f t="shared" si="37"/>
        <v>5.0382309646817349</v>
      </c>
      <c r="E26" s="191">
        <f t="shared" si="37"/>
        <v>3.0279322124746915</v>
      </c>
      <c r="F26" s="191">
        <f t="shared" si="37"/>
        <v>2.1637951681161911</v>
      </c>
      <c r="G26" s="191">
        <f t="shared" si="37"/>
        <v>1.5150239133225982</v>
      </c>
      <c r="H26" s="191">
        <f t="shared" si="37"/>
        <v>1.0101467304454064</v>
      </c>
      <c r="I26" s="191">
        <f t="shared" si="37"/>
        <v>0.75764439054895982</v>
      </c>
      <c r="J26" s="191">
        <f t="shared" ref="J26:K26" si="38">DEGREES(ATAN((J4+J21)/J3))</f>
        <v>0.505112616327407</v>
      </c>
      <c r="K26" s="191">
        <f t="shared" si="38"/>
        <v>0.30307259479063259</v>
      </c>
    </row>
    <row r="27" spans="1:11" ht="14.5" outlineLevel="1">
      <c r="A27" t="s">
        <v>344</v>
      </c>
      <c r="B27" s="191">
        <f t="shared" ref="B27" si="39">RADIANS(B25)</f>
        <v>0.62695084426016467</v>
      </c>
      <c r="C27" s="191">
        <f t="shared" ref="C27:I27" si="40">RADIANS(C25)</f>
        <v>0.25856277899311025</v>
      </c>
      <c r="D27" s="191">
        <f t="shared" si="40"/>
        <v>8.7933718809626416E-2</v>
      </c>
      <c r="E27" s="191">
        <f t="shared" si="40"/>
        <v>5.2847386634879888E-2</v>
      </c>
      <c r="F27" s="191">
        <f t="shared" si="40"/>
        <v>3.776535002237176E-2</v>
      </c>
      <c r="G27" s="191">
        <f t="shared" si="40"/>
        <v>2.6442155533928525E-2</v>
      </c>
      <c r="H27" s="191">
        <f t="shared" si="40"/>
        <v>1.7630386374527986E-2</v>
      </c>
      <c r="I27" s="191">
        <f t="shared" si="40"/>
        <v>1.3223389174345157E-2</v>
      </c>
      <c r="J27" s="191">
        <f t="shared" ref="J27:K27" si="41">RADIANS(J25)</f>
        <v>8.8158782482761211E-3</v>
      </c>
      <c r="K27" s="191">
        <f t="shared" si="41"/>
        <v>5.2896146516591535E-3</v>
      </c>
    </row>
    <row r="28" spans="1:11" ht="14.5" outlineLevel="1">
      <c r="A28" t="s">
        <v>345</v>
      </c>
      <c r="B28" s="191">
        <f t="shared" ref="B28" si="42">RADIANS(B26)</f>
        <v>0.42825093756668631</v>
      </c>
      <c r="C28" s="191">
        <f t="shared" ref="C28:I28" si="43">RADIANS(C26)</f>
        <v>0.25856277899311025</v>
      </c>
      <c r="D28" s="191">
        <f t="shared" si="43"/>
        <v>8.7933718809626416E-2</v>
      </c>
      <c r="E28" s="191">
        <f t="shared" si="43"/>
        <v>5.2847386634879888E-2</v>
      </c>
      <c r="F28" s="191">
        <f t="shared" si="43"/>
        <v>3.776535002237176E-2</v>
      </c>
      <c r="G28" s="191">
        <f t="shared" si="43"/>
        <v>2.6442155533928525E-2</v>
      </c>
      <c r="H28" s="191">
        <f t="shared" si="43"/>
        <v>1.7630386374527986E-2</v>
      </c>
      <c r="I28" s="191">
        <f t="shared" si="43"/>
        <v>1.3223389174345157E-2</v>
      </c>
      <c r="J28" s="191">
        <f t="shared" ref="J28:K28" si="44">RADIANS(J26)</f>
        <v>8.8158782482761211E-3</v>
      </c>
      <c r="K28" s="191">
        <f t="shared" si="44"/>
        <v>5.2896146516591535E-3</v>
      </c>
    </row>
    <row r="29" spans="1:11" ht="14.5" outlineLevel="1">
      <c r="A29" t="s">
        <v>346</v>
      </c>
      <c r="B29" s="191">
        <f t="shared" ref="B29" si="45">0.5*B16*B2^2</f>
        <v>254.96652875988138</v>
      </c>
      <c r="C29" s="191">
        <f t="shared" ref="C29:I29" si="46">0.5*C16*C2^2</f>
        <v>710.69963127932442</v>
      </c>
      <c r="D29" s="191">
        <f t="shared" si="46"/>
        <v>6396.2966815139198</v>
      </c>
      <c r="E29" s="191">
        <f t="shared" si="46"/>
        <v>17767.49078198311</v>
      </c>
      <c r="F29" s="191">
        <f t="shared" si="46"/>
        <v>34824.281932686892</v>
      </c>
      <c r="G29" s="191">
        <f t="shared" si="46"/>
        <v>71069.963127932439</v>
      </c>
      <c r="H29" s="191">
        <f t="shared" si="46"/>
        <v>159907.41703784798</v>
      </c>
      <c r="I29" s="191">
        <f t="shared" si="46"/>
        <v>284279.85251172975</v>
      </c>
      <c r="J29" s="191">
        <f t="shared" ref="J29:K29" si="47">0.5*J16*J2^2</f>
        <v>639629.6681513919</v>
      </c>
      <c r="K29" s="191">
        <f t="shared" si="47"/>
        <v>1776749.0781983112</v>
      </c>
    </row>
    <row r="30" spans="1:11" ht="14.5" outlineLevel="1">
      <c r="A30" t="s">
        <v>347</v>
      </c>
      <c r="B30" s="191">
        <f t="shared" ref="B30:K30" si="48">CrossSecAreaRocket</f>
        <v>5.0265482457436689E-3</v>
      </c>
      <c r="C30" s="191">
        <f t="shared" si="48"/>
        <v>5.0265482457436689E-3</v>
      </c>
      <c r="D30" s="191">
        <f t="shared" si="48"/>
        <v>5.0265482457436689E-3</v>
      </c>
      <c r="E30" s="191">
        <f t="shared" si="48"/>
        <v>5.0265482457436689E-3</v>
      </c>
      <c r="F30" s="191">
        <f t="shared" si="48"/>
        <v>5.0265482457436689E-3</v>
      </c>
      <c r="G30" s="191">
        <f t="shared" si="48"/>
        <v>5.0265482457436689E-3</v>
      </c>
      <c r="H30" s="191">
        <f t="shared" si="48"/>
        <v>5.0265482457436689E-3</v>
      </c>
      <c r="I30" s="191">
        <f t="shared" si="48"/>
        <v>5.0265482457436689E-3</v>
      </c>
      <c r="J30" s="191">
        <f t="shared" si="48"/>
        <v>5.0265482457436689E-3</v>
      </c>
      <c r="K30" s="191">
        <f t="shared" si="48"/>
        <v>5.0265482457436689E-3</v>
      </c>
    </row>
    <row r="31" spans="1:11" ht="15" customHeight="1" thickBot="1"/>
    <row r="32" spans="1:11" thickBot="1">
      <c r="A32" s="268" t="s">
        <v>352</v>
      </c>
    </row>
    <row r="33" spans="1:11" ht="14.5" outlineLevel="1">
      <c r="A33" t="s">
        <v>353</v>
      </c>
      <c r="B33" s="191">
        <f t="shared" ref="B33:K33" si="49">DiameterRocket</f>
        <v>8</v>
      </c>
      <c r="C33" s="191">
        <f t="shared" si="49"/>
        <v>8</v>
      </c>
      <c r="D33" s="191">
        <f t="shared" si="49"/>
        <v>8</v>
      </c>
      <c r="E33" s="191">
        <f t="shared" si="49"/>
        <v>8</v>
      </c>
      <c r="F33" s="191">
        <f t="shared" si="49"/>
        <v>8</v>
      </c>
      <c r="G33" s="191">
        <f t="shared" si="49"/>
        <v>8</v>
      </c>
      <c r="H33" s="191">
        <f t="shared" si="49"/>
        <v>8</v>
      </c>
      <c r="I33" s="191">
        <f t="shared" si="49"/>
        <v>8</v>
      </c>
      <c r="J33" s="191">
        <f t="shared" si="49"/>
        <v>8</v>
      </c>
      <c r="K33" s="191">
        <f t="shared" si="49"/>
        <v>8</v>
      </c>
    </row>
    <row r="34" spans="1:11" ht="14.5" outlineLevel="1">
      <c r="A34" t="s">
        <v>354</v>
      </c>
      <c r="B34" s="191">
        <f t="shared" ref="B34" si="50">B33/100</f>
        <v>0.08</v>
      </c>
      <c r="C34" s="191">
        <f t="shared" ref="C34:I34" si="51">C33/100</f>
        <v>0.08</v>
      </c>
      <c r="D34" s="191">
        <f t="shared" si="51"/>
        <v>0.08</v>
      </c>
      <c r="E34" s="191">
        <f t="shared" si="51"/>
        <v>0.08</v>
      </c>
      <c r="F34" s="191">
        <f t="shared" si="51"/>
        <v>0.08</v>
      </c>
      <c r="G34" s="191">
        <f t="shared" si="51"/>
        <v>0.08</v>
      </c>
      <c r="H34" s="191">
        <f t="shared" si="51"/>
        <v>0.08</v>
      </c>
      <c r="I34" s="191">
        <f t="shared" si="51"/>
        <v>0.08</v>
      </c>
      <c r="J34" s="191">
        <f t="shared" ref="J34:K34" si="52">J33/100</f>
        <v>0.08</v>
      </c>
      <c r="K34" s="191">
        <f t="shared" si="52"/>
        <v>0.08</v>
      </c>
    </row>
    <row r="35" spans="1:11" ht="14.5" outlineLevel="1">
      <c r="A35" t="s">
        <v>355</v>
      </c>
      <c r="B35" s="261">
        <f t="shared" ref="B35" si="53">((B39-B37)/(-B47))*(B47+B33/2)+B39</f>
        <v>16.333333333333332</v>
      </c>
      <c r="C35" s="261">
        <f t="shared" ref="C35:I35" si="54">((C39-C37)/(-C47))*(C47+C33/2)+C39</f>
        <v>16.333333333333332</v>
      </c>
      <c r="D35" s="261">
        <f t="shared" si="54"/>
        <v>16.333333333333332</v>
      </c>
      <c r="E35" s="261">
        <f t="shared" si="54"/>
        <v>16.333333333333332</v>
      </c>
      <c r="F35" s="261">
        <f t="shared" si="54"/>
        <v>16.333333333333332</v>
      </c>
      <c r="G35" s="261">
        <f t="shared" si="54"/>
        <v>16.333333333333332</v>
      </c>
      <c r="H35" s="261">
        <f t="shared" si="54"/>
        <v>16.333333333333332</v>
      </c>
      <c r="I35" s="261">
        <f t="shared" si="54"/>
        <v>16.333333333333332</v>
      </c>
      <c r="J35" s="261">
        <f t="shared" ref="J35:K35" si="55">((J39-J37)/(-J47))*(J47+J33/2)+J39</f>
        <v>16.333333333333332</v>
      </c>
      <c r="K35" s="261">
        <f t="shared" si="55"/>
        <v>16.333333333333332</v>
      </c>
    </row>
    <row r="36" spans="1:11" ht="14.5" outlineLevel="1">
      <c r="A36" t="s">
        <v>356</v>
      </c>
      <c r="B36" s="191">
        <f t="shared" ref="B36" si="56">B35/100</f>
        <v>0.16333333333333333</v>
      </c>
      <c r="C36" s="191">
        <f t="shared" ref="C36:I36" si="57">C35/100</f>
        <v>0.16333333333333333</v>
      </c>
      <c r="D36" s="191">
        <f t="shared" si="57"/>
        <v>0.16333333333333333</v>
      </c>
      <c r="E36" s="191">
        <f t="shared" si="57"/>
        <v>0.16333333333333333</v>
      </c>
      <c r="F36" s="191">
        <f t="shared" si="57"/>
        <v>0.16333333333333333</v>
      </c>
      <c r="G36" s="191">
        <f t="shared" si="57"/>
        <v>0.16333333333333333</v>
      </c>
      <c r="H36" s="191">
        <f t="shared" si="57"/>
        <v>0.16333333333333333</v>
      </c>
      <c r="I36" s="191">
        <f t="shared" si="57"/>
        <v>0.16333333333333333</v>
      </c>
      <c r="J36" s="191">
        <f t="shared" ref="J36:K36" si="58">J35/100</f>
        <v>0.16333333333333333</v>
      </c>
      <c r="K36" s="191">
        <f t="shared" si="58"/>
        <v>0.16333333333333333</v>
      </c>
    </row>
    <row r="37" spans="1:11" ht="14.5" outlineLevel="1">
      <c r="A37" s="266" t="s">
        <v>357</v>
      </c>
      <c r="B37" s="191">
        <v>15</v>
      </c>
      <c r="C37" s="191">
        <v>15</v>
      </c>
      <c r="D37" s="191">
        <v>15</v>
      </c>
      <c r="E37" s="191">
        <v>15</v>
      </c>
      <c r="F37" s="191">
        <v>15</v>
      </c>
      <c r="G37" s="191">
        <v>15</v>
      </c>
      <c r="H37" s="191">
        <v>15</v>
      </c>
      <c r="I37" s="191">
        <v>15</v>
      </c>
      <c r="J37" s="191">
        <v>15</v>
      </c>
      <c r="K37" s="191">
        <v>15</v>
      </c>
    </row>
    <row r="38" spans="1:11" ht="14.5" outlineLevel="1">
      <c r="A38" t="s">
        <v>354</v>
      </c>
      <c r="B38" s="191">
        <f t="shared" ref="B38" si="59">B37/100</f>
        <v>0.15</v>
      </c>
      <c r="C38" s="191">
        <f t="shared" ref="C38:I38" si="60">C37/100</f>
        <v>0.15</v>
      </c>
      <c r="D38" s="191">
        <f t="shared" si="60"/>
        <v>0.15</v>
      </c>
      <c r="E38" s="191">
        <f t="shared" si="60"/>
        <v>0.15</v>
      </c>
      <c r="F38" s="191">
        <f t="shared" si="60"/>
        <v>0.15</v>
      </c>
      <c r="G38" s="191">
        <f t="shared" si="60"/>
        <v>0.15</v>
      </c>
      <c r="H38" s="191">
        <f t="shared" si="60"/>
        <v>0.15</v>
      </c>
      <c r="I38" s="191">
        <f t="shared" si="60"/>
        <v>0.15</v>
      </c>
      <c r="J38" s="191">
        <f t="shared" ref="J38:K38" si="61">J37/100</f>
        <v>0.15</v>
      </c>
      <c r="K38" s="191">
        <f t="shared" si="61"/>
        <v>0.15</v>
      </c>
    </row>
    <row r="39" spans="1:11" ht="14.5" outlineLevel="1">
      <c r="A39" s="266" t="s">
        <v>358</v>
      </c>
      <c r="B39" s="191">
        <v>10</v>
      </c>
      <c r="C39" s="191">
        <v>10</v>
      </c>
      <c r="D39" s="191">
        <v>10</v>
      </c>
      <c r="E39" s="191">
        <v>10</v>
      </c>
      <c r="F39" s="191">
        <v>10</v>
      </c>
      <c r="G39" s="191">
        <v>10</v>
      </c>
      <c r="H39" s="191">
        <v>10</v>
      </c>
      <c r="I39" s="191">
        <v>10</v>
      </c>
      <c r="J39" s="191">
        <v>10</v>
      </c>
      <c r="K39" s="191">
        <v>10</v>
      </c>
    </row>
    <row r="40" spans="1:11" ht="14.5" outlineLevel="1">
      <c r="A40" t="s">
        <v>354</v>
      </c>
      <c r="B40" s="191">
        <f t="shared" ref="B40" si="62">B39/100</f>
        <v>0.1</v>
      </c>
      <c r="C40" s="191">
        <f t="shared" ref="C40:I40" si="63">C39/100</f>
        <v>0.1</v>
      </c>
      <c r="D40" s="191">
        <f t="shared" si="63"/>
        <v>0.1</v>
      </c>
      <c r="E40" s="191">
        <f t="shared" si="63"/>
        <v>0.1</v>
      </c>
      <c r="F40" s="191">
        <f t="shared" si="63"/>
        <v>0.1</v>
      </c>
      <c r="G40" s="191">
        <f t="shared" si="63"/>
        <v>0.1</v>
      </c>
      <c r="H40" s="191">
        <f t="shared" si="63"/>
        <v>0.1</v>
      </c>
      <c r="I40" s="191">
        <f t="shared" si="63"/>
        <v>0.1</v>
      </c>
      <c r="J40" s="191">
        <f t="shared" ref="J40:K40" si="64">J39/100</f>
        <v>0.1</v>
      </c>
      <c r="K40" s="191">
        <f t="shared" si="64"/>
        <v>0.1</v>
      </c>
    </row>
    <row r="41" spans="1:11" ht="14.5" outlineLevel="1">
      <c r="A41" s="266" t="s">
        <v>359</v>
      </c>
      <c r="B41" s="191">
        <v>2</v>
      </c>
      <c r="C41" s="191">
        <v>2</v>
      </c>
      <c r="D41" s="191">
        <v>2</v>
      </c>
      <c r="E41" s="191">
        <v>2</v>
      </c>
      <c r="F41" s="191">
        <v>2</v>
      </c>
      <c r="G41" s="191">
        <v>2</v>
      </c>
      <c r="H41" s="191">
        <v>2</v>
      </c>
      <c r="I41" s="191">
        <v>2</v>
      </c>
      <c r="J41" s="191">
        <v>2</v>
      </c>
      <c r="K41" s="191">
        <v>2</v>
      </c>
    </row>
    <row r="42" spans="1:11" ht="14.5" outlineLevel="1">
      <c r="A42" t="s">
        <v>354</v>
      </c>
      <c r="B42" s="191">
        <f t="shared" ref="B42" si="65">B41/100</f>
        <v>0.02</v>
      </c>
      <c r="C42" s="191">
        <f t="shared" ref="C42:I42" si="66">C41/100</f>
        <v>0.02</v>
      </c>
      <c r="D42" s="191">
        <f t="shared" si="66"/>
        <v>0.02</v>
      </c>
      <c r="E42" s="191">
        <f t="shared" si="66"/>
        <v>0.02</v>
      </c>
      <c r="F42" s="191">
        <f t="shared" si="66"/>
        <v>0.02</v>
      </c>
      <c r="G42" s="191">
        <f t="shared" si="66"/>
        <v>0.02</v>
      </c>
      <c r="H42" s="191">
        <f t="shared" si="66"/>
        <v>0.02</v>
      </c>
      <c r="I42" s="191">
        <f t="shared" si="66"/>
        <v>0.02</v>
      </c>
      <c r="J42" s="191">
        <f t="shared" ref="J42:K42" si="67">J41/100</f>
        <v>0.02</v>
      </c>
      <c r="K42" s="191">
        <f t="shared" si="67"/>
        <v>0.02</v>
      </c>
    </row>
    <row r="43" spans="1:11" ht="14.5" outlineLevel="1">
      <c r="A43" s="266" t="s">
        <v>360</v>
      </c>
      <c r="B43" s="191">
        <v>45</v>
      </c>
      <c r="C43" s="191">
        <v>45</v>
      </c>
      <c r="D43" s="191">
        <v>45</v>
      </c>
      <c r="E43" s="191">
        <v>45</v>
      </c>
      <c r="F43" s="191">
        <v>45</v>
      </c>
      <c r="G43" s="191">
        <v>45</v>
      </c>
      <c r="H43" s="191">
        <v>45</v>
      </c>
      <c r="I43" s="191">
        <v>45</v>
      </c>
      <c r="J43" s="191">
        <v>45</v>
      </c>
      <c r="K43" s="191">
        <v>45</v>
      </c>
    </row>
    <row r="44" spans="1:11" ht="14.5" outlineLevel="1">
      <c r="A44" t="s">
        <v>361</v>
      </c>
      <c r="B44" s="191">
        <f t="shared" ref="B44" si="68">B39/B37</f>
        <v>0.66666666666666663</v>
      </c>
      <c r="C44" s="191">
        <f t="shared" ref="C44:I44" si="69">C39/C37</f>
        <v>0.66666666666666663</v>
      </c>
      <c r="D44" s="191">
        <f t="shared" si="69"/>
        <v>0.66666666666666663</v>
      </c>
      <c r="E44" s="191">
        <f t="shared" si="69"/>
        <v>0.66666666666666663</v>
      </c>
      <c r="F44" s="191">
        <f t="shared" si="69"/>
        <v>0.66666666666666663</v>
      </c>
      <c r="G44" s="191">
        <f t="shared" si="69"/>
        <v>0.66666666666666663</v>
      </c>
      <c r="H44" s="191">
        <f t="shared" si="69"/>
        <v>0.66666666666666663</v>
      </c>
      <c r="I44" s="191">
        <f t="shared" si="69"/>
        <v>0.66666666666666663</v>
      </c>
      <c r="J44" s="191">
        <f t="shared" ref="J44:K44" si="70">J39/J37</f>
        <v>0.66666666666666663</v>
      </c>
      <c r="K44" s="191">
        <f t="shared" si="70"/>
        <v>0.66666666666666663</v>
      </c>
    </row>
    <row r="45" spans="1:11" ht="14.5" outlineLevel="1">
      <c r="A45" t="s">
        <v>362</v>
      </c>
      <c r="B45" s="191">
        <f t="shared" ref="B45" si="71">B47+B33/2</f>
        <v>19</v>
      </c>
      <c r="C45" s="191">
        <f t="shared" ref="C45:I45" si="72">C47+C33/2</f>
        <v>19</v>
      </c>
      <c r="D45" s="191">
        <f t="shared" si="72"/>
        <v>19</v>
      </c>
      <c r="E45" s="191">
        <f t="shared" si="72"/>
        <v>19</v>
      </c>
      <c r="F45" s="191">
        <f t="shared" si="72"/>
        <v>19</v>
      </c>
      <c r="G45" s="191">
        <f t="shared" si="72"/>
        <v>19</v>
      </c>
      <c r="H45" s="191">
        <f t="shared" si="72"/>
        <v>19</v>
      </c>
      <c r="I45" s="191">
        <f t="shared" si="72"/>
        <v>19</v>
      </c>
      <c r="J45" s="191">
        <f t="shared" ref="J45:K45" si="73">J47+J33/2</f>
        <v>19</v>
      </c>
      <c r="K45" s="191">
        <f t="shared" si="73"/>
        <v>19</v>
      </c>
    </row>
    <row r="46" spans="1:11" ht="14.5" outlineLevel="1">
      <c r="A46" t="s">
        <v>354</v>
      </c>
      <c r="B46" s="191">
        <f t="shared" ref="B46" si="74">B45/100</f>
        <v>0.19</v>
      </c>
      <c r="C46" s="191">
        <f t="shared" ref="C46:I46" si="75">C45/100</f>
        <v>0.19</v>
      </c>
      <c r="D46" s="191">
        <f t="shared" si="75"/>
        <v>0.19</v>
      </c>
      <c r="E46" s="191">
        <f t="shared" si="75"/>
        <v>0.19</v>
      </c>
      <c r="F46" s="191">
        <f t="shared" si="75"/>
        <v>0.19</v>
      </c>
      <c r="G46" s="191">
        <f t="shared" si="75"/>
        <v>0.19</v>
      </c>
      <c r="H46" s="191">
        <f t="shared" si="75"/>
        <v>0.19</v>
      </c>
      <c r="I46" s="191">
        <f t="shared" si="75"/>
        <v>0.19</v>
      </c>
      <c r="J46" s="191">
        <f t="shared" ref="J46:K46" si="76">J45/100</f>
        <v>0.19</v>
      </c>
      <c r="K46" s="191">
        <f t="shared" si="76"/>
        <v>0.19</v>
      </c>
    </row>
    <row r="47" spans="1:11" ht="14.5" outlineLevel="1">
      <c r="A47" s="266" t="s">
        <v>363</v>
      </c>
      <c r="B47" s="191">
        <v>15</v>
      </c>
      <c r="C47" s="191">
        <v>15</v>
      </c>
      <c r="D47" s="191">
        <v>15</v>
      </c>
      <c r="E47" s="191">
        <v>15</v>
      </c>
      <c r="F47" s="191">
        <v>15</v>
      </c>
      <c r="G47" s="191">
        <v>15</v>
      </c>
      <c r="H47" s="191">
        <v>15</v>
      </c>
      <c r="I47" s="191">
        <v>15</v>
      </c>
      <c r="J47" s="191">
        <v>15</v>
      </c>
      <c r="K47" s="191">
        <v>15</v>
      </c>
    </row>
    <row r="48" spans="1:11" ht="14.5" outlineLevel="1">
      <c r="A48" t="s">
        <v>356</v>
      </c>
      <c r="B48" s="191">
        <f t="shared" ref="B48" si="77">B47/100</f>
        <v>0.15</v>
      </c>
      <c r="C48" s="191">
        <f t="shared" ref="C48:I48" si="78">C47/100</f>
        <v>0.15</v>
      </c>
      <c r="D48" s="191">
        <f t="shared" si="78"/>
        <v>0.15</v>
      </c>
      <c r="E48" s="191">
        <f t="shared" si="78"/>
        <v>0.15</v>
      </c>
      <c r="F48" s="191">
        <f t="shared" si="78"/>
        <v>0.15</v>
      </c>
      <c r="G48" s="191">
        <f t="shared" si="78"/>
        <v>0.15</v>
      </c>
      <c r="H48" s="191">
        <f t="shared" si="78"/>
        <v>0.15</v>
      </c>
      <c r="I48" s="191">
        <f t="shared" si="78"/>
        <v>0.15</v>
      </c>
      <c r="J48" s="191">
        <f t="shared" ref="J48:K48" si="79">J47/100</f>
        <v>0.15</v>
      </c>
      <c r="K48" s="191">
        <f t="shared" si="79"/>
        <v>0.15</v>
      </c>
    </row>
    <row r="49" spans="1:11" ht="14.5" outlineLevel="1">
      <c r="A49" t="s">
        <v>364</v>
      </c>
      <c r="B49" s="191">
        <f>(B40+B36)*B46/2</f>
        <v>2.5016666666666666E-2</v>
      </c>
      <c r="C49" s="191">
        <f t="shared" ref="C49:I49" si="80">(C40+C36)*C46/2</f>
        <v>2.5016666666666666E-2</v>
      </c>
      <c r="D49" s="191">
        <f t="shared" si="80"/>
        <v>2.5016666666666666E-2</v>
      </c>
      <c r="E49" s="191">
        <f t="shared" si="80"/>
        <v>2.5016666666666666E-2</v>
      </c>
      <c r="F49" s="191">
        <f t="shared" si="80"/>
        <v>2.5016666666666666E-2</v>
      </c>
      <c r="G49" s="191">
        <f t="shared" si="80"/>
        <v>2.5016666666666666E-2</v>
      </c>
      <c r="H49" s="191">
        <f t="shared" si="80"/>
        <v>2.5016666666666666E-2</v>
      </c>
      <c r="I49" s="191">
        <f t="shared" si="80"/>
        <v>2.5016666666666666E-2</v>
      </c>
      <c r="J49" s="191">
        <f t="shared" ref="J49:K49" si="81">(J40+J36)*J46/2</f>
        <v>2.5016666666666666E-2</v>
      </c>
      <c r="K49" s="191">
        <f t="shared" si="81"/>
        <v>2.5016666666666666E-2</v>
      </c>
    </row>
    <row r="50" spans="1:11" ht="14.5" outlineLevel="1">
      <c r="A50" t="s">
        <v>365</v>
      </c>
      <c r="B50" s="191">
        <f t="shared" ref="B50" si="82">(B38+B40)*B48/2</f>
        <v>1.8749999999999999E-2</v>
      </c>
      <c r="C50" s="191">
        <f t="shared" ref="C50:I50" si="83">(C38+C40)*C48/2</f>
        <v>1.8749999999999999E-2</v>
      </c>
      <c r="D50" s="191">
        <f t="shared" si="83"/>
        <v>1.8749999999999999E-2</v>
      </c>
      <c r="E50" s="191">
        <f t="shared" si="83"/>
        <v>1.8749999999999999E-2</v>
      </c>
      <c r="F50" s="191">
        <f t="shared" si="83"/>
        <v>1.8749999999999999E-2</v>
      </c>
      <c r="G50" s="191">
        <f t="shared" si="83"/>
        <v>1.8749999999999999E-2</v>
      </c>
      <c r="H50" s="191">
        <f t="shared" si="83"/>
        <v>1.8749999999999999E-2</v>
      </c>
      <c r="I50" s="191">
        <f t="shared" si="83"/>
        <v>1.8749999999999999E-2</v>
      </c>
      <c r="J50" s="191">
        <f t="shared" ref="J50:K50" si="84">(J38+J40)*J48/2</f>
        <v>1.8749999999999999E-2</v>
      </c>
      <c r="K50" s="191">
        <f t="shared" si="84"/>
        <v>1.8749999999999999E-2</v>
      </c>
    </row>
    <row r="51" spans="1:11" ht="14.5" outlineLevel="1">
      <c r="A51" t="s">
        <v>366</v>
      </c>
      <c r="B51" s="261">
        <f>((B46+B46)^2)/(B49+B49)</f>
        <v>2.8860759493670889</v>
      </c>
      <c r="C51" s="261">
        <f t="shared" ref="C51:I51" si="85">((C46+C46)^2)/(C49+C49)</f>
        <v>2.8860759493670889</v>
      </c>
      <c r="D51" s="261">
        <f t="shared" si="85"/>
        <v>2.8860759493670889</v>
      </c>
      <c r="E51" s="261">
        <f t="shared" si="85"/>
        <v>2.8860759493670889</v>
      </c>
      <c r="F51" s="261">
        <f t="shared" si="85"/>
        <v>2.8860759493670889</v>
      </c>
      <c r="G51" s="261">
        <f t="shared" si="85"/>
        <v>2.8860759493670889</v>
      </c>
      <c r="H51" s="261">
        <f t="shared" si="85"/>
        <v>2.8860759493670889</v>
      </c>
      <c r="I51" s="261">
        <f t="shared" si="85"/>
        <v>2.8860759493670889</v>
      </c>
      <c r="J51" s="261">
        <f t="shared" ref="J51:K51" si="86">((J46+J46)^2)/(J49+J49)</f>
        <v>2.8860759493670889</v>
      </c>
      <c r="K51" s="261">
        <f t="shared" si="86"/>
        <v>2.8860759493670889</v>
      </c>
    </row>
    <row r="52" spans="1:11" thickBot="1">
      <c r="B52" s="261"/>
      <c r="C52" s="261"/>
      <c r="D52" s="261"/>
      <c r="E52" s="261"/>
      <c r="F52" s="261"/>
      <c r="G52" s="261"/>
      <c r="H52" s="261"/>
      <c r="I52" s="261"/>
      <c r="J52" s="261"/>
      <c r="K52" s="261"/>
    </row>
    <row r="53" spans="1:11" thickBot="1">
      <c r="A53" s="268" t="s">
        <v>367</v>
      </c>
      <c r="B53" s="261"/>
      <c r="C53" s="261"/>
      <c r="D53" s="261"/>
      <c r="E53" s="261"/>
      <c r="F53" s="261"/>
      <c r="G53" s="261"/>
      <c r="H53" s="261"/>
      <c r="I53" s="261"/>
      <c r="J53" s="261"/>
      <c r="K53" s="261"/>
    </row>
    <row r="54" spans="1:11" ht="14.5">
      <c r="A54" t="s">
        <v>368</v>
      </c>
      <c r="B54" s="261">
        <f t="shared" ref="B54" si="87">B48/(10+1)</f>
        <v>1.3636363636363636E-2</v>
      </c>
      <c r="C54" s="261">
        <f t="shared" ref="C54:I54" si="88">C48/(10+1)</f>
        <v>1.3636363636363636E-2</v>
      </c>
      <c r="D54" s="261">
        <f t="shared" si="88"/>
        <v>1.3636363636363636E-2</v>
      </c>
      <c r="E54" s="261">
        <f t="shared" si="88"/>
        <v>1.3636363636363636E-2</v>
      </c>
      <c r="F54" s="261">
        <f t="shared" si="88"/>
        <v>1.3636363636363636E-2</v>
      </c>
      <c r="G54" s="261">
        <f t="shared" si="88"/>
        <v>1.3636363636363636E-2</v>
      </c>
      <c r="H54" s="261">
        <f t="shared" si="88"/>
        <v>1.3636363636363636E-2</v>
      </c>
      <c r="I54" s="261">
        <f t="shared" si="88"/>
        <v>1.3636363636363636E-2</v>
      </c>
      <c r="J54" s="261">
        <f t="shared" ref="J54:K54" si="89">J48/(10+1)</f>
        <v>1.3636363636363636E-2</v>
      </c>
      <c r="K54" s="261">
        <f t="shared" si="89"/>
        <v>1.3636363636363636E-2</v>
      </c>
    </row>
    <row r="55" spans="1:11" ht="14.5">
      <c r="A55" t="s">
        <v>369</v>
      </c>
      <c r="B55" s="261">
        <f t="shared" ref="B55" si="90">(B37-B39)/(-B47)</f>
        <v>-0.33333333333333331</v>
      </c>
      <c r="C55" s="261">
        <f t="shared" ref="C55:I55" si="91">(C37-C39)/(-C47)</f>
        <v>-0.33333333333333331</v>
      </c>
      <c r="D55" s="261">
        <f t="shared" si="91"/>
        <v>-0.33333333333333331</v>
      </c>
      <c r="E55" s="261">
        <f t="shared" si="91"/>
        <v>-0.33333333333333331</v>
      </c>
      <c r="F55" s="261">
        <f t="shared" si="91"/>
        <v>-0.33333333333333331</v>
      </c>
      <c r="G55" s="261">
        <f t="shared" si="91"/>
        <v>-0.33333333333333331</v>
      </c>
      <c r="H55" s="261">
        <f t="shared" si="91"/>
        <v>-0.33333333333333331</v>
      </c>
      <c r="I55" s="261">
        <f t="shared" si="91"/>
        <v>-0.33333333333333331</v>
      </c>
      <c r="J55" s="261">
        <f t="shared" ref="J55:K55" si="92">(J37-J39)/(-J47)</f>
        <v>-0.33333333333333331</v>
      </c>
      <c r="K55" s="261">
        <f t="shared" si="92"/>
        <v>-0.33333333333333331</v>
      </c>
    </row>
    <row r="56" spans="1:11" ht="14.5">
      <c r="A56" t="s">
        <v>370</v>
      </c>
      <c r="B56" s="261"/>
      <c r="C56" s="261"/>
      <c r="D56" s="261"/>
      <c r="E56" s="261"/>
      <c r="F56" s="261"/>
      <c r="G56" s="261"/>
      <c r="H56" s="261"/>
      <c r="I56" s="261"/>
      <c r="J56" s="261"/>
      <c r="K56" s="261"/>
    </row>
    <row r="57" spans="1:11" ht="14.5" hidden="1" outlineLevel="1">
      <c r="A57">
        <v>1</v>
      </c>
      <c r="B57" s="261">
        <f>(B54/2)</f>
        <v>6.8181818181818179E-3</v>
      </c>
      <c r="C57" s="261">
        <f t="shared" ref="C57:I57" si="93">(C54/2)</f>
        <v>6.8181818181818179E-3</v>
      </c>
      <c r="D57" s="261">
        <f t="shared" si="93"/>
        <v>6.8181818181818179E-3</v>
      </c>
      <c r="E57" s="261">
        <f t="shared" si="93"/>
        <v>6.8181818181818179E-3</v>
      </c>
      <c r="F57" s="261">
        <f t="shared" si="93"/>
        <v>6.8181818181818179E-3</v>
      </c>
      <c r="G57" s="261">
        <f t="shared" si="93"/>
        <v>6.8181818181818179E-3</v>
      </c>
      <c r="H57" s="261">
        <f t="shared" si="93"/>
        <v>6.8181818181818179E-3</v>
      </c>
      <c r="I57" s="261">
        <f t="shared" si="93"/>
        <v>6.8181818181818179E-3</v>
      </c>
      <c r="J57" s="261">
        <f t="shared" ref="J57:K57" si="94">(J54/2)</f>
        <v>6.8181818181818179E-3</v>
      </c>
      <c r="K57" s="261">
        <f t="shared" si="94"/>
        <v>6.8181818181818179E-3</v>
      </c>
    </row>
    <row r="58" spans="1:11" ht="14.5" hidden="1" outlineLevel="1">
      <c r="A58">
        <v>2</v>
      </c>
      <c r="B58" s="261">
        <f>B57+B54</f>
        <v>2.0454545454545454E-2</v>
      </c>
      <c r="C58" s="261">
        <f t="shared" ref="C58:I58" si="95">C57+C54</f>
        <v>2.0454545454545454E-2</v>
      </c>
      <c r="D58" s="261">
        <f t="shared" si="95"/>
        <v>2.0454545454545454E-2</v>
      </c>
      <c r="E58" s="261">
        <f t="shared" si="95"/>
        <v>2.0454545454545454E-2</v>
      </c>
      <c r="F58" s="261">
        <f t="shared" si="95"/>
        <v>2.0454545454545454E-2</v>
      </c>
      <c r="G58" s="261">
        <f t="shared" si="95"/>
        <v>2.0454545454545454E-2</v>
      </c>
      <c r="H58" s="261">
        <f t="shared" si="95"/>
        <v>2.0454545454545454E-2</v>
      </c>
      <c r="I58" s="261">
        <f t="shared" si="95"/>
        <v>2.0454545454545454E-2</v>
      </c>
      <c r="J58" s="261">
        <f t="shared" ref="J58" si="96">J57+J54</f>
        <v>2.0454545454545454E-2</v>
      </c>
      <c r="K58" s="261">
        <f t="shared" ref="K58" si="97">K57+K54</f>
        <v>2.0454545454545454E-2</v>
      </c>
    </row>
    <row r="59" spans="1:11" ht="14.5" hidden="1" outlineLevel="1">
      <c r="A59">
        <v>3</v>
      </c>
      <c r="B59" s="261">
        <f t="shared" ref="B59" si="98">B58+B$54</f>
        <v>3.4090909090909088E-2</v>
      </c>
      <c r="C59" s="261">
        <f t="shared" ref="C59:I59" si="99">C58+C$54</f>
        <v>3.4090909090909088E-2</v>
      </c>
      <c r="D59" s="261">
        <f t="shared" si="99"/>
        <v>3.4090909090909088E-2</v>
      </c>
      <c r="E59" s="261">
        <f t="shared" si="99"/>
        <v>3.4090909090909088E-2</v>
      </c>
      <c r="F59" s="261">
        <f t="shared" si="99"/>
        <v>3.4090909090909088E-2</v>
      </c>
      <c r="G59" s="261">
        <f t="shared" si="99"/>
        <v>3.4090909090909088E-2</v>
      </c>
      <c r="H59" s="261">
        <f t="shared" si="99"/>
        <v>3.4090909090909088E-2</v>
      </c>
      <c r="I59" s="261">
        <f t="shared" si="99"/>
        <v>3.4090909090909088E-2</v>
      </c>
      <c r="J59" s="261">
        <f t="shared" ref="J59:K59" si="100">J58+J$54</f>
        <v>3.4090909090909088E-2</v>
      </c>
      <c r="K59" s="261">
        <f t="shared" si="100"/>
        <v>3.4090909090909088E-2</v>
      </c>
    </row>
    <row r="60" spans="1:11" ht="14.5" hidden="1" outlineLevel="1">
      <c r="A60">
        <v>4</v>
      </c>
      <c r="B60" s="261">
        <f t="shared" ref="B60:B67" si="101">B59+B$54</f>
        <v>4.7727272727272722E-2</v>
      </c>
      <c r="C60" s="261">
        <f t="shared" ref="C60:I60" si="102">C59+C$54</f>
        <v>4.7727272727272722E-2</v>
      </c>
      <c r="D60" s="261">
        <f t="shared" si="102"/>
        <v>4.7727272727272722E-2</v>
      </c>
      <c r="E60" s="261">
        <f t="shared" si="102"/>
        <v>4.7727272727272722E-2</v>
      </c>
      <c r="F60" s="261">
        <f t="shared" si="102"/>
        <v>4.7727272727272722E-2</v>
      </c>
      <c r="G60" s="261">
        <f t="shared" si="102"/>
        <v>4.7727272727272722E-2</v>
      </c>
      <c r="H60" s="261">
        <f t="shared" si="102"/>
        <v>4.7727272727272722E-2</v>
      </c>
      <c r="I60" s="261">
        <f t="shared" si="102"/>
        <v>4.7727272727272722E-2</v>
      </c>
      <c r="J60" s="261">
        <f t="shared" ref="J60:K60" si="103">J59+J$54</f>
        <v>4.7727272727272722E-2</v>
      </c>
      <c r="K60" s="261">
        <f t="shared" si="103"/>
        <v>4.7727272727272722E-2</v>
      </c>
    </row>
    <row r="61" spans="1:11" ht="14.5" hidden="1" outlineLevel="1">
      <c r="A61">
        <v>5</v>
      </c>
      <c r="B61" s="261">
        <f t="shared" si="101"/>
        <v>6.1363636363636356E-2</v>
      </c>
      <c r="C61" s="261">
        <f t="shared" ref="C61:I61" si="104">C60+C$54</f>
        <v>6.1363636363636356E-2</v>
      </c>
      <c r="D61" s="261">
        <f t="shared" si="104"/>
        <v>6.1363636363636356E-2</v>
      </c>
      <c r="E61" s="261">
        <f t="shared" si="104"/>
        <v>6.1363636363636356E-2</v>
      </c>
      <c r="F61" s="261">
        <f t="shared" si="104"/>
        <v>6.1363636363636356E-2</v>
      </c>
      <c r="G61" s="261">
        <f t="shared" si="104"/>
        <v>6.1363636363636356E-2</v>
      </c>
      <c r="H61" s="261">
        <f t="shared" si="104"/>
        <v>6.1363636363636356E-2</v>
      </c>
      <c r="I61" s="261">
        <f t="shared" si="104"/>
        <v>6.1363636363636356E-2</v>
      </c>
      <c r="J61" s="261">
        <f t="shared" ref="J61:K61" si="105">J60+J$54</f>
        <v>6.1363636363636356E-2</v>
      </c>
      <c r="K61" s="261">
        <f t="shared" si="105"/>
        <v>6.1363636363636356E-2</v>
      </c>
    </row>
    <row r="62" spans="1:11" ht="14.5" hidden="1" outlineLevel="1">
      <c r="A62">
        <v>6</v>
      </c>
      <c r="B62" s="261">
        <f t="shared" si="101"/>
        <v>7.4999999999999997E-2</v>
      </c>
      <c r="C62" s="261">
        <f t="shared" ref="C62:I62" si="106">C61+C$54</f>
        <v>7.4999999999999997E-2</v>
      </c>
      <c r="D62" s="261">
        <f t="shared" si="106"/>
        <v>7.4999999999999997E-2</v>
      </c>
      <c r="E62" s="261">
        <f t="shared" si="106"/>
        <v>7.4999999999999997E-2</v>
      </c>
      <c r="F62" s="261">
        <f t="shared" si="106"/>
        <v>7.4999999999999997E-2</v>
      </c>
      <c r="G62" s="261">
        <f t="shared" si="106"/>
        <v>7.4999999999999997E-2</v>
      </c>
      <c r="H62" s="261">
        <f t="shared" si="106"/>
        <v>7.4999999999999997E-2</v>
      </c>
      <c r="I62" s="261">
        <f t="shared" si="106"/>
        <v>7.4999999999999997E-2</v>
      </c>
      <c r="J62" s="261">
        <f t="shared" ref="J62:K62" si="107">J61+J$54</f>
        <v>7.4999999999999997E-2</v>
      </c>
      <c r="K62" s="261">
        <f t="shared" si="107"/>
        <v>7.4999999999999997E-2</v>
      </c>
    </row>
    <row r="63" spans="1:11" ht="14.5" hidden="1" outlineLevel="1">
      <c r="A63">
        <v>7</v>
      </c>
      <c r="B63" s="261">
        <f t="shared" si="101"/>
        <v>8.8636363636363638E-2</v>
      </c>
      <c r="C63" s="261">
        <f t="shared" ref="C63:I63" si="108">C62+C$54</f>
        <v>8.8636363636363638E-2</v>
      </c>
      <c r="D63" s="261">
        <f t="shared" si="108"/>
        <v>8.8636363636363638E-2</v>
      </c>
      <c r="E63" s="261">
        <f t="shared" si="108"/>
        <v>8.8636363636363638E-2</v>
      </c>
      <c r="F63" s="261">
        <f t="shared" si="108"/>
        <v>8.8636363636363638E-2</v>
      </c>
      <c r="G63" s="261">
        <f t="shared" si="108"/>
        <v>8.8636363636363638E-2</v>
      </c>
      <c r="H63" s="261">
        <f t="shared" si="108"/>
        <v>8.8636363636363638E-2</v>
      </c>
      <c r="I63" s="261">
        <f t="shared" si="108"/>
        <v>8.8636363636363638E-2</v>
      </c>
      <c r="J63" s="261">
        <f t="shared" ref="J63:K63" si="109">J62+J$54</f>
        <v>8.8636363636363638E-2</v>
      </c>
      <c r="K63" s="261">
        <f t="shared" si="109"/>
        <v>8.8636363636363638E-2</v>
      </c>
    </row>
    <row r="64" spans="1:11" ht="14.5" hidden="1" outlineLevel="1">
      <c r="A64">
        <v>8</v>
      </c>
      <c r="B64" s="261">
        <f t="shared" si="101"/>
        <v>0.10227272727272728</v>
      </c>
      <c r="C64" s="261">
        <f t="shared" ref="C64:I64" si="110">C63+C$54</f>
        <v>0.10227272727272728</v>
      </c>
      <c r="D64" s="261">
        <f t="shared" si="110"/>
        <v>0.10227272727272728</v>
      </c>
      <c r="E64" s="261">
        <f t="shared" si="110"/>
        <v>0.10227272727272728</v>
      </c>
      <c r="F64" s="261">
        <f t="shared" si="110"/>
        <v>0.10227272727272728</v>
      </c>
      <c r="G64" s="261">
        <f t="shared" si="110"/>
        <v>0.10227272727272728</v>
      </c>
      <c r="H64" s="261">
        <f t="shared" si="110"/>
        <v>0.10227272727272728</v>
      </c>
      <c r="I64" s="261">
        <f t="shared" si="110"/>
        <v>0.10227272727272728</v>
      </c>
      <c r="J64" s="261">
        <f t="shared" ref="J64:K64" si="111">J63+J$54</f>
        <v>0.10227272727272728</v>
      </c>
      <c r="K64" s="261">
        <f t="shared" si="111"/>
        <v>0.10227272727272728</v>
      </c>
    </row>
    <row r="65" spans="1:11" ht="14.5" hidden="1" outlineLevel="1">
      <c r="A65">
        <v>9</v>
      </c>
      <c r="B65" s="261">
        <f t="shared" si="101"/>
        <v>0.11590909090909092</v>
      </c>
      <c r="C65" s="261">
        <f t="shared" ref="C65:I65" si="112">C64+C$54</f>
        <v>0.11590909090909092</v>
      </c>
      <c r="D65" s="261">
        <f t="shared" si="112"/>
        <v>0.11590909090909092</v>
      </c>
      <c r="E65" s="261">
        <f t="shared" si="112"/>
        <v>0.11590909090909092</v>
      </c>
      <c r="F65" s="261">
        <f t="shared" si="112"/>
        <v>0.11590909090909092</v>
      </c>
      <c r="G65" s="261">
        <f t="shared" si="112"/>
        <v>0.11590909090909092</v>
      </c>
      <c r="H65" s="261">
        <f t="shared" si="112"/>
        <v>0.11590909090909092</v>
      </c>
      <c r="I65" s="261">
        <f t="shared" si="112"/>
        <v>0.11590909090909092</v>
      </c>
      <c r="J65" s="261">
        <f t="shared" ref="J65:K65" si="113">J64+J$54</f>
        <v>0.11590909090909092</v>
      </c>
      <c r="K65" s="261">
        <f t="shared" si="113"/>
        <v>0.11590909090909092</v>
      </c>
    </row>
    <row r="66" spans="1:11" ht="14.5" hidden="1" outlineLevel="1">
      <c r="A66">
        <v>10</v>
      </c>
      <c r="B66" s="261">
        <f t="shared" si="101"/>
        <v>0.12954545454545455</v>
      </c>
      <c r="C66" s="261">
        <f t="shared" ref="C66:I66" si="114">C65+C$54</f>
        <v>0.12954545454545455</v>
      </c>
      <c r="D66" s="261">
        <f t="shared" si="114"/>
        <v>0.12954545454545455</v>
      </c>
      <c r="E66" s="261">
        <f t="shared" si="114"/>
        <v>0.12954545454545455</v>
      </c>
      <c r="F66" s="261">
        <f t="shared" si="114"/>
        <v>0.12954545454545455</v>
      </c>
      <c r="G66" s="261">
        <f t="shared" si="114"/>
        <v>0.12954545454545455</v>
      </c>
      <c r="H66" s="261">
        <f t="shared" si="114"/>
        <v>0.12954545454545455</v>
      </c>
      <c r="I66" s="261">
        <f t="shared" si="114"/>
        <v>0.12954545454545455</v>
      </c>
      <c r="J66" s="261">
        <f t="shared" ref="J66:K66" si="115">J65+J$54</f>
        <v>0.12954545454545455</v>
      </c>
      <c r="K66" s="261">
        <f t="shared" si="115"/>
        <v>0.12954545454545455</v>
      </c>
    </row>
    <row r="67" spans="1:11" ht="14.5" hidden="1" outlineLevel="1">
      <c r="A67">
        <v>11</v>
      </c>
      <c r="B67" s="261">
        <f t="shared" si="101"/>
        <v>0.14318181818181819</v>
      </c>
      <c r="C67" s="261">
        <f t="shared" ref="C67:I67" si="116">C66+C$54</f>
        <v>0.14318181818181819</v>
      </c>
      <c r="D67" s="261">
        <f t="shared" si="116"/>
        <v>0.14318181818181819</v>
      </c>
      <c r="E67" s="261">
        <f t="shared" si="116"/>
        <v>0.14318181818181819</v>
      </c>
      <c r="F67" s="261">
        <f t="shared" si="116"/>
        <v>0.14318181818181819</v>
      </c>
      <c r="G67" s="261">
        <f t="shared" si="116"/>
        <v>0.14318181818181819</v>
      </c>
      <c r="H67" s="261">
        <f t="shared" si="116"/>
        <v>0.14318181818181819</v>
      </c>
      <c r="I67" s="261">
        <f t="shared" si="116"/>
        <v>0.14318181818181819</v>
      </c>
      <c r="J67" s="261">
        <f t="shared" ref="J67:K67" si="117">J66+J$54</f>
        <v>0.14318181818181819</v>
      </c>
      <c r="K67" s="261">
        <f t="shared" si="117"/>
        <v>0.14318181818181819</v>
      </c>
    </row>
    <row r="68" spans="1:11" ht="14.5" collapsed="1">
      <c r="A68" t="s">
        <v>371</v>
      </c>
      <c r="B68" s="261"/>
      <c r="C68" s="261"/>
      <c r="D68" s="261"/>
      <c r="E68" s="261"/>
      <c r="F68" s="261"/>
      <c r="G68" s="261"/>
      <c r="H68" s="261"/>
      <c r="I68" s="261"/>
      <c r="J68" s="261"/>
      <c r="K68" s="261"/>
    </row>
    <row r="69" spans="1:11" ht="14.5" hidden="1" outlineLevel="1">
      <c r="A69">
        <v>1</v>
      </c>
      <c r="B69" s="261">
        <f t="shared" ref="B69" si="118">(B57*B$55)+B$38</f>
        <v>0.14772727272727273</v>
      </c>
      <c r="C69" s="261">
        <f t="shared" ref="C69:I69" si="119">(C57*C$55)+C$38</f>
        <v>0.14772727272727273</v>
      </c>
      <c r="D69" s="261">
        <f t="shared" si="119"/>
        <v>0.14772727272727273</v>
      </c>
      <c r="E69" s="261">
        <f t="shared" si="119"/>
        <v>0.14772727272727273</v>
      </c>
      <c r="F69" s="261">
        <f t="shared" si="119"/>
        <v>0.14772727272727273</v>
      </c>
      <c r="G69" s="261">
        <f t="shared" si="119"/>
        <v>0.14772727272727273</v>
      </c>
      <c r="H69" s="261">
        <f t="shared" si="119"/>
        <v>0.14772727272727273</v>
      </c>
      <c r="I69" s="261">
        <f t="shared" si="119"/>
        <v>0.14772727272727273</v>
      </c>
      <c r="J69" s="261">
        <f t="shared" ref="J69:K69" si="120">(J57*J$55)+J$38</f>
        <v>0.14772727272727273</v>
      </c>
      <c r="K69" s="261">
        <f t="shared" si="120"/>
        <v>0.14772727272727273</v>
      </c>
    </row>
    <row r="70" spans="1:11" ht="14.5" hidden="1" outlineLevel="1">
      <c r="A70">
        <v>2</v>
      </c>
      <c r="B70" s="261">
        <f t="shared" ref="B70" si="121">(B58*B$55)+B$38</f>
        <v>0.14318181818181819</v>
      </c>
      <c r="C70" s="261">
        <f t="shared" ref="C70:I70" si="122">(C58*C$55)+C$38</f>
        <v>0.14318181818181819</v>
      </c>
      <c r="D70" s="261">
        <f t="shared" si="122"/>
        <v>0.14318181818181819</v>
      </c>
      <c r="E70" s="261">
        <f t="shared" si="122"/>
        <v>0.14318181818181819</v>
      </c>
      <c r="F70" s="261">
        <f t="shared" si="122"/>
        <v>0.14318181818181819</v>
      </c>
      <c r="G70" s="261">
        <f t="shared" si="122"/>
        <v>0.14318181818181819</v>
      </c>
      <c r="H70" s="261">
        <f t="shared" si="122"/>
        <v>0.14318181818181819</v>
      </c>
      <c r="I70" s="261">
        <f t="shared" si="122"/>
        <v>0.14318181818181819</v>
      </c>
      <c r="J70" s="261">
        <f t="shared" ref="J70:K70" si="123">(J58*J$55)+J$38</f>
        <v>0.14318181818181819</v>
      </c>
      <c r="K70" s="261">
        <f t="shared" si="123"/>
        <v>0.14318181818181819</v>
      </c>
    </row>
    <row r="71" spans="1:11" ht="14.5" hidden="1" outlineLevel="1">
      <c r="A71">
        <v>3</v>
      </c>
      <c r="B71" s="261">
        <f t="shared" ref="B71" si="124">(B59*B$55)+B$38</f>
        <v>0.13863636363636364</v>
      </c>
      <c r="C71" s="261">
        <f t="shared" ref="C71:I71" si="125">(C59*C$55)+C$38</f>
        <v>0.13863636363636364</v>
      </c>
      <c r="D71" s="261">
        <f t="shared" si="125"/>
        <v>0.13863636363636364</v>
      </c>
      <c r="E71" s="261">
        <f t="shared" si="125"/>
        <v>0.13863636363636364</v>
      </c>
      <c r="F71" s="261">
        <f t="shared" si="125"/>
        <v>0.13863636363636364</v>
      </c>
      <c r="G71" s="261">
        <f t="shared" si="125"/>
        <v>0.13863636363636364</v>
      </c>
      <c r="H71" s="261">
        <f t="shared" si="125"/>
        <v>0.13863636363636364</v>
      </c>
      <c r="I71" s="261">
        <f t="shared" si="125"/>
        <v>0.13863636363636364</v>
      </c>
      <c r="J71" s="261">
        <f t="shared" ref="J71:K71" si="126">(J59*J$55)+J$38</f>
        <v>0.13863636363636364</v>
      </c>
      <c r="K71" s="261">
        <f t="shared" si="126"/>
        <v>0.13863636363636364</v>
      </c>
    </row>
    <row r="72" spans="1:11" ht="14.5" hidden="1" outlineLevel="1">
      <c r="A72">
        <v>4</v>
      </c>
      <c r="B72" s="261">
        <f t="shared" ref="B72" si="127">(B60*B$55)+B$38</f>
        <v>0.13409090909090909</v>
      </c>
      <c r="C72" s="261">
        <f t="shared" ref="C72:I72" si="128">(C60*C$55)+C$38</f>
        <v>0.13409090909090909</v>
      </c>
      <c r="D72" s="261">
        <f t="shared" si="128"/>
        <v>0.13409090909090909</v>
      </c>
      <c r="E72" s="261">
        <f t="shared" si="128"/>
        <v>0.13409090909090909</v>
      </c>
      <c r="F72" s="261">
        <f t="shared" si="128"/>
        <v>0.13409090909090909</v>
      </c>
      <c r="G72" s="261">
        <f t="shared" si="128"/>
        <v>0.13409090909090909</v>
      </c>
      <c r="H72" s="261">
        <f t="shared" si="128"/>
        <v>0.13409090909090909</v>
      </c>
      <c r="I72" s="261">
        <f t="shared" si="128"/>
        <v>0.13409090909090909</v>
      </c>
      <c r="J72" s="261">
        <f t="shared" ref="J72:K72" si="129">(J60*J$55)+J$38</f>
        <v>0.13409090909090909</v>
      </c>
      <c r="K72" s="261">
        <f t="shared" si="129"/>
        <v>0.13409090909090909</v>
      </c>
    </row>
    <row r="73" spans="1:11" ht="14.5" hidden="1" outlineLevel="1">
      <c r="A73">
        <v>5</v>
      </c>
      <c r="B73" s="261">
        <f t="shared" ref="B73" si="130">(B61*B$55)+B$38</f>
        <v>0.12954545454545455</v>
      </c>
      <c r="C73" s="261">
        <f t="shared" ref="C73:I73" si="131">(C61*C$55)+C$38</f>
        <v>0.12954545454545455</v>
      </c>
      <c r="D73" s="261">
        <f t="shared" si="131"/>
        <v>0.12954545454545455</v>
      </c>
      <c r="E73" s="261">
        <f t="shared" si="131"/>
        <v>0.12954545454545455</v>
      </c>
      <c r="F73" s="261">
        <f t="shared" si="131"/>
        <v>0.12954545454545455</v>
      </c>
      <c r="G73" s="261">
        <f t="shared" si="131"/>
        <v>0.12954545454545455</v>
      </c>
      <c r="H73" s="261">
        <f t="shared" si="131"/>
        <v>0.12954545454545455</v>
      </c>
      <c r="I73" s="261">
        <f t="shared" si="131"/>
        <v>0.12954545454545455</v>
      </c>
      <c r="J73" s="261">
        <f t="shared" ref="J73:K73" si="132">(J61*J$55)+J$38</f>
        <v>0.12954545454545455</v>
      </c>
      <c r="K73" s="261">
        <f t="shared" si="132"/>
        <v>0.12954545454545455</v>
      </c>
    </row>
    <row r="74" spans="1:11" ht="14.5" hidden="1" outlineLevel="1">
      <c r="A74">
        <v>6</v>
      </c>
      <c r="B74" s="261">
        <f t="shared" ref="B74" si="133">(B62*B$55)+B$38</f>
        <v>0.125</v>
      </c>
      <c r="C74" s="261">
        <f t="shared" ref="C74:I74" si="134">(C62*C$55)+C$38</f>
        <v>0.125</v>
      </c>
      <c r="D74" s="261">
        <f t="shared" si="134"/>
        <v>0.125</v>
      </c>
      <c r="E74" s="261">
        <f t="shared" si="134"/>
        <v>0.125</v>
      </c>
      <c r="F74" s="261">
        <f t="shared" si="134"/>
        <v>0.125</v>
      </c>
      <c r="G74" s="261">
        <f t="shared" si="134"/>
        <v>0.125</v>
      </c>
      <c r="H74" s="261">
        <f t="shared" si="134"/>
        <v>0.125</v>
      </c>
      <c r="I74" s="261">
        <f t="shared" si="134"/>
        <v>0.125</v>
      </c>
      <c r="J74" s="261">
        <f t="shared" ref="J74:K74" si="135">(J62*J$55)+J$38</f>
        <v>0.125</v>
      </c>
      <c r="K74" s="261">
        <f t="shared" si="135"/>
        <v>0.125</v>
      </c>
    </row>
    <row r="75" spans="1:11" ht="14.5" hidden="1" outlineLevel="1">
      <c r="A75">
        <v>7</v>
      </c>
      <c r="B75" s="261">
        <f t="shared" ref="B75" si="136">(B63*B$55)+B$38</f>
        <v>0.12045454545454545</v>
      </c>
      <c r="C75" s="261">
        <f t="shared" ref="C75:I75" si="137">(C63*C$55)+C$38</f>
        <v>0.12045454545454545</v>
      </c>
      <c r="D75" s="261">
        <f t="shared" si="137"/>
        <v>0.12045454545454545</v>
      </c>
      <c r="E75" s="261">
        <f t="shared" si="137"/>
        <v>0.12045454545454545</v>
      </c>
      <c r="F75" s="261">
        <f t="shared" si="137"/>
        <v>0.12045454545454545</v>
      </c>
      <c r="G75" s="261">
        <f t="shared" si="137"/>
        <v>0.12045454545454545</v>
      </c>
      <c r="H75" s="261">
        <f t="shared" si="137"/>
        <v>0.12045454545454545</v>
      </c>
      <c r="I75" s="261">
        <f t="shared" si="137"/>
        <v>0.12045454545454545</v>
      </c>
      <c r="J75" s="261">
        <f t="shared" ref="J75:K75" si="138">(J63*J$55)+J$38</f>
        <v>0.12045454545454545</v>
      </c>
      <c r="K75" s="261">
        <f t="shared" si="138"/>
        <v>0.12045454545454545</v>
      </c>
    </row>
    <row r="76" spans="1:11" ht="14.5" hidden="1" outlineLevel="1">
      <c r="A76">
        <v>8</v>
      </c>
      <c r="B76" s="261">
        <f t="shared" ref="B76" si="139">(B64*B$55)+B$38</f>
        <v>0.11590909090909091</v>
      </c>
      <c r="C76" s="261">
        <f t="shared" ref="C76:I76" si="140">(C64*C$55)+C$38</f>
        <v>0.11590909090909091</v>
      </c>
      <c r="D76" s="261">
        <f t="shared" si="140"/>
        <v>0.11590909090909091</v>
      </c>
      <c r="E76" s="261">
        <f t="shared" si="140"/>
        <v>0.11590909090909091</v>
      </c>
      <c r="F76" s="261">
        <f t="shared" si="140"/>
        <v>0.11590909090909091</v>
      </c>
      <c r="G76" s="261">
        <f t="shared" si="140"/>
        <v>0.11590909090909091</v>
      </c>
      <c r="H76" s="261">
        <f t="shared" si="140"/>
        <v>0.11590909090909091</v>
      </c>
      <c r="I76" s="261">
        <f t="shared" si="140"/>
        <v>0.11590909090909091</v>
      </c>
      <c r="J76" s="261">
        <f t="shared" ref="J76:K76" si="141">(J64*J$55)+J$38</f>
        <v>0.11590909090909091</v>
      </c>
      <c r="K76" s="261">
        <f t="shared" si="141"/>
        <v>0.11590909090909091</v>
      </c>
    </row>
    <row r="77" spans="1:11" ht="14.5" hidden="1" outlineLevel="1">
      <c r="A77">
        <v>9</v>
      </c>
      <c r="B77" s="261">
        <f t="shared" ref="B77" si="142">(B65*B$55)+B$38</f>
        <v>0.11136363636363636</v>
      </c>
      <c r="C77" s="261">
        <f t="shared" ref="C77:I77" si="143">(C65*C$55)+C$38</f>
        <v>0.11136363636363636</v>
      </c>
      <c r="D77" s="261">
        <f t="shared" si="143"/>
        <v>0.11136363636363636</v>
      </c>
      <c r="E77" s="261">
        <f t="shared" si="143"/>
        <v>0.11136363636363636</v>
      </c>
      <c r="F77" s="261">
        <f t="shared" si="143"/>
        <v>0.11136363636363636</v>
      </c>
      <c r="G77" s="261">
        <f t="shared" si="143"/>
        <v>0.11136363636363636</v>
      </c>
      <c r="H77" s="261">
        <f t="shared" si="143"/>
        <v>0.11136363636363636</v>
      </c>
      <c r="I77" s="261">
        <f t="shared" si="143"/>
        <v>0.11136363636363636</v>
      </c>
      <c r="J77" s="261">
        <f t="shared" ref="J77:K77" si="144">(J65*J$55)+J$38</f>
        <v>0.11136363636363636</v>
      </c>
      <c r="K77" s="261">
        <f t="shared" si="144"/>
        <v>0.11136363636363636</v>
      </c>
    </row>
    <row r="78" spans="1:11" ht="14.5" hidden="1" outlineLevel="1">
      <c r="A78">
        <v>10</v>
      </c>
      <c r="B78" s="261">
        <f t="shared" ref="B78" si="145">(B66*B$55)+B$38</f>
        <v>0.10681818181818181</v>
      </c>
      <c r="C78" s="261">
        <f t="shared" ref="C78:I78" si="146">(C66*C$55)+C$38</f>
        <v>0.10681818181818181</v>
      </c>
      <c r="D78" s="261">
        <f t="shared" si="146"/>
        <v>0.10681818181818181</v>
      </c>
      <c r="E78" s="261">
        <f t="shared" si="146"/>
        <v>0.10681818181818181</v>
      </c>
      <c r="F78" s="261">
        <f t="shared" si="146"/>
        <v>0.10681818181818181</v>
      </c>
      <c r="G78" s="261">
        <f t="shared" si="146"/>
        <v>0.10681818181818181</v>
      </c>
      <c r="H78" s="261">
        <f t="shared" si="146"/>
        <v>0.10681818181818181</v>
      </c>
      <c r="I78" s="261">
        <f t="shared" si="146"/>
        <v>0.10681818181818181</v>
      </c>
      <c r="J78" s="261">
        <f t="shared" ref="J78:K78" si="147">(J66*J$55)+J$38</f>
        <v>0.10681818181818181</v>
      </c>
      <c r="K78" s="261">
        <f t="shared" si="147"/>
        <v>0.10681818181818181</v>
      </c>
    </row>
    <row r="79" spans="1:11" ht="14.5" hidden="1" outlineLevel="1">
      <c r="A79">
        <v>11</v>
      </c>
      <c r="B79" s="261">
        <f t="shared" ref="B79" si="148">(B67*B$55)+B$38</f>
        <v>0.10227272727272727</v>
      </c>
      <c r="C79" s="261">
        <f t="shared" ref="C79:I79" si="149">(C67*C$55)+C$38</f>
        <v>0.10227272727272727</v>
      </c>
      <c r="D79" s="261">
        <f t="shared" si="149"/>
        <v>0.10227272727272727</v>
      </c>
      <c r="E79" s="261">
        <f t="shared" si="149"/>
        <v>0.10227272727272727</v>
      </c>
      <c r="F79" s="261">
        <f t="shared" si="149"/>
        <v>0.10227272727272727</v>
      </c>
      <c r="G79" s="261">
        <f t="shared" si="149"/>
        <v>0.10227272727272727</v>
      </c>
      <c r="H79" s="261">
        <f t="shared" si="149"/>
        <v>0.10227272727272727</v>
      </c>
      <c r="I79" s="261">
        <f t="shared" si="149"/>
        <v>0.10227272727272727</v>
      </c>
      <c r="J79" s="261">
        <f t="shared" ref="J79:K79" si="150">(J67*J$55)+J$38</f>
        <v>0.10227272727272727</v>
      </c>
      <c r="K79" s="261">
        <f t="shared" si="150"/>
        <v>0.10227272727272727</v>
      </c>
    </row>
    <row r="80" spans="1:11" ht="14.5" collapsed="1">
      <c r="A80" t="s">
        <v>372</v>
      </c>
      <c r="B80" s="261"/>
      <c r="C80" s="261"/>
      <c r="D80" s="261"/>
      <c r="E80" s="261"/>
      <c r="F80" s="261"/>
      <c r="G80" s="261"/>
      <c r="H80" s="261"/>
      <c r="I80" s="261"/>
      <c r="J80" s="261"/>
      <c r="K80" s="261"/>
    </row>
    <row r="81" spans="1:11" ht="14.5" hidden="1" outlineLevel="1">
      <c r="A81">
        <v>1</v>
      </c>
      <c r="B81" s="262">
        <f t="shared" ref="B81" si="151">(B69+B70)*B$54/2</f>
        <v>1.9834710743801649E-3</v>
      </c>
      <c r="C81" s="262">
        <f t="shared" ref="C81:I81" si="152">(C69+C70)*C$54/2</f>
        <v>1.9834710743801649E-3</v>
      </c>
      <c r="D81" s="262">
        <f t="shared" si="152"/>
        <v>1.9834710743801649E-3</v>
      </c>
      <c r="E81" s="262">
        <f t="shared" si="152"/>
        <v>1.9834710743801649E-3</v>
      </c>
      <c r="F81" s="262">
        <f t="shared" si="152"/>
        <v>1.9834710743801649E-3</v>
      </c>
      <c r="G81" s="262">
        <f t="shared" si="152"/>
        <v>1.9834710743801649E-3</v>
      </c>
      <c r="H81" s="262">
        <f t="shared" si="152"/>
        <v>1.9834710743801649E-3</v>
      </c>
      <c r="I81" s="262">
        <f t="shared" si="152"/>
        <v>1.9834710743801649E-3</v>
      </c>
      <c r="J81" s="262">
        <f t="shared" ref="J81:K81" si="153">(J69+J70)*J$54/2</f>
        <v>1.9834710743801649E-3</v>
      </c>
      <c r="K81" s="262">
        <f t="shared" si="153"/>
        <v>1.9834710743801649E-3</v>
      </c>
    </row>
    <row r="82" spans="1:11" ht="14.5" hidden="1" outlineLevel="1">
      <c r="A82">
        <v>2</v>
      </c>
      <c r="B82" s="262">
        <f t="shared" ref="B82:B89" si="154">(B70+B71)*B$54/2</f>
        <v>1.9214876033057853E-3</v>
      </c>
      <c r="C82" s="262">
        <f t="shared" ref="C82:I82" si="155">(C70+C71)*C$54/2</f>
        <v>1.9214876033057853E-3</v>
      </c>
      <c r="D82" s="262">
        <f t="shared" si="155"/>
        <v>1.9214876033057853E-3</v>
      </c>
      <c r="E82" s="262">
        <f t="shared" si="155"/>
        <v>1.9214876033057853E-3</v>
      </c>
      <c r="F82" s="262">
        <f t="shared" si="155"/>
        <v>1.9214876033057853E-3</v>
      </c>
      <c r="G82" s="262">
        <f t="shared" si="155"/>
        <v>1.9214876033057853E-3</v>
      </c>
      <c r="H82" s="262">
        <f t="shared" si="155"/>
        <v>1.9214876033057853E-3</v>
      </c>
      <c r="I82" s="262">
        <f t="shared" si="155"/>
        <v>1.9214876033057853E-3</v>
      </c>
      <c r="J82" s="262">
        <f t="shared" ref="J82:K82" si="156">(J70+J71)*J$54/2</f>
        <v>1.9214876033057853E-3</v>
      </c>
      <c r="K82" s="262">
        <f t="shared" si="156"/>
        <v>1.9214876033057853E-3</v>
      </c>
    </row>
    <row r="83" spans="1:11" ht="14.5" hidden="1" outlineLevel="1">
      <c r="A83">
        <v>3</v>
      </c>
      <c r="B83" s="262">
        <f t="shared" si="154"/>
        <v>1.8595041322314048E-3</v>
      </c>
      <c r="C83" s="262">
        <f t="shared" ref="C83:I83" si="157">(C71+C72)*C$54/2</f>
        <v>1.8595041322314048E-3</v>
      </c>
      <c r="D83" s="262">
        <f t="shared" si="157"/>
        <v>1.8595041322314048E-3</v>
      </c>
      <c r="E83" s="262">
        <f t="shared" si="157"/>
        <v>1.8595041322314048E-3</v>
      </c>
      <c r="F83" s="262">
        <f t="shared" si="157"/>
        <v>1.8595041322314048E-3</v>
      </c>
      <c r="G83" s="262">
        <f t="shared" si="157"/>
        <v>1.8595041322314048E-3</v>
      </c>
      <c r="H83" s="262">
        <f t="shared" si="157"/>
        <v>1.8595041322314048E-3</v>
      </c>
      <c r="I83" s="262">
        <f t="shared" si="157"/>
        <v>1.8595041322314048E-3</v>
      </c>
      <c r="J83" s="262">
        <f t="shared" ref="J83:K83" si="158">(J71+J72)*J$54/2</f>
        <v>1.8595041322314048E-3</v>
      </c>
      <c r="K83" s="262">
        <f t="shared" si="158"/>
        <v>1.8595041322314048E-3</v>
      </c>
    </row>
    <row r="84" spans="1:11" ht="14.5" hidden="1" outlineLevel="1">
      <c r="A84">
        <v>4</v>
      </c>
      <c r="B84" s="262">
        <f t="shared" si="154"/>
        <v>1.7975206611570249E-3</v>
      </c>
      <c r="C84" s="262">
        <f t="shared" ref="C84:I84" si="159">(C72+C73)*C$54/2</f>
        <v>1.7975206611570249E-3</v>
      </c>
      <c r="D84" s="262">
        <f t="shared" si="159"/>
        <v>1.7975206611570249E-3</v>
      </c>
      <c r="E84" s="262">
        <f t="shared" si="159"/>
        <v>1.7975206611570249E-3</v>
      </c>
      <c r="F84" s="262">
        <f t="shared" si="159"/>
        <v>1.7975206611570249E-3</v>
      </c>
      <c r="G84" s="262">
        <f t="shared" si="159"/>
        <v>1.7975206611570249E-3</v>
      </c>
      <c r="H84" s="262">
        <f t="shared" si="159"/>
        <v>1.7975206611570249E-3</v>
      </c>
      <c r="I84" s="262">
        <f t="shared" si="159"/>
        <v>1.7975206611570249E-3</v>
      </c>
      <c r="J84" s="262">
        <f t="shared" ref="J84:K84" si="160">(J72+J73)*J$54/2</f>
        <v>1.7975206611570249E-3</v>
      </c>
      <c r="K84" s="262">
        <f t="shared" si="160"/>
        <v>1.7975206611570249E-3</v>
      </c>
    </row>
    <row r="85" spans="1:11" ht="14.5" hidden="1" outlineLevel="1">
      <c r="A85">
        <v>5</v>
      </c>
      <c r="B85" s="262">
        <f t="shared" si="154"/>
        <v>1.7355371900826444E-3</v>
      </c>
      <c r="C85" s="262">
        <f t="shared" ref="C85:I85" si="161">(C73+C74)*C$54/2</f>
        <v>1.7355371900826444E-3</v>
      </c>
      <c r="D85" s="262">
        <f t="shared" si="161"/>
        <v>1.7355371900826444E-3</v>
      </c>
      <c r="E85" s="262">
        <f t="shared" si="161"/>
        <v>1.7355371900826444E-3</v>
      </c>
      <c r="F85" s="262">
        <f t="shared" si="161"/>
        <v>1.7355371900826444E-3</v>
      </c>
      <c r="G85" s="262">
        <f t="shared" si="161"/>
        <v>1.7355371900826444E-3</v>
      </c>
      <c r="H85" s="262">
        <f t="shared" si="161"/>
        <v>1.7355371900826444E-3</v>
      </c>
      <c r="I85" s="262">
        <f t="shared" si="161"/>
        <v>1.7355371900826444E-3</v>
      </c>
      <c r="J85" s="262">
        <f t="shared" ref="J85:K85" si="162">(J73+J74)*J$54/2</f>
        <v>1.7355371900826444E-3</v>
      </c>
      <c r="K85" s="262">
        <f t="shared" si="162"/>
        <v>1.7355371900826444E-3</v>
      </c>
    </row>
    <row r="86" spans="1:11" ht="14.5" hidden="1" outlineLevel="1">
      <c r="A86">
        <v>6</v>
      </c>
      <c r="B86" s="262">
        <f t="shared" si="154"/>
        <v>1.6735537190082643E-3</v>
      </c>
      <c r="C86" s="262">
        <f t="shared" ref="C86:I86" si="163">(C74+C75)*C$54/2</f>
        <v>1.6735537190082643E-3</v>
      </c>
      <c r="D86" s="262">
        <f t="shared" si="163"/>
        <v>1.6735537190082643E-3</v>
      </c>
      <c r="E86" s="262">
        <f t="shared" si="163"/>
        <v>1.6735537190082643E-3</v>
      </c>
      <c r="F86" s="262">
        <f t="shared" si="163"/>
        <v>1.6735537190082643E-3</v>
      </c>
      <c r="G86" s="262">
        <f t="shared" si="163"/>
        <v>1.6735537190082643E-3</v>
      </c>
      <c r="H86" s="262">
        <f t="shared" si="163"/>
        <v>1.6735537190082643E-3</v>
      </c>
      <c r="I86" s="262">
        <f t="shared" si="163"/>
        <v>1.6735537190082643E-3</v>
      </c>
      <c r="J86" s="262">
        <f t="shared" ref="J86:K86" si="164">(J74+J75)*J$54/2</f>
        <v>1.6735537190082643E-3</v>
      </c>
      <c r="K86" s="262">
        <f t="shared" si="164"/>
        <v>1.6735537190082643E-3</v>
      </c>
    </row>
    <row r="87" spans="1:11" ht="14.5" hidden="1" outlineLevel="1">
      <c r="A87">
        <v>7</v>
      </c>
      <c r="B87" s="262">
        <f t="shared" si="154"/>
        <v>1.6115702479338842E-3</v>
      </c>
      <c r="C87" s="262">
        <f t="shared" ref="C87:I87" si="165">(C75+C76)*C$54/2</f>
        <v>1.6115702479338842E-3</v>
      </c>
      <c r="D87" s="262">
        <f t="shared" si="165"/>
        <v>1.6115702479338842E-3</v>
      </c>
      <c r="E87" s="262">
        <f t="shared" si="165"/>
        <v>1.6115702479338842E-3</v>
      </c>
      <c r="F87" s="262">
        <f t="shared" si="165"/>
        <v>1.6115702479338842E-3</v>
      </c>
      <c r="G87" s="262">
        <f t="shared" si="165"/>
        <v>1.6115702479338842E-3</v>
      </c>
      <c r="H87" s="262">
        <f t="shared" si="165"/>
        <v>1.6115702479338842E-3</v>
      </c>
      <c r="I87" s="262">
        <f t="shared" si="165"/>
        <v>1.6115702479338842E-3</v>
      </c>
      <c r="J87" s="262">
        <f t="shared" ref="J87:K87" si="166">(J75+J76)*J$54/2</f>
        <v>1.6115702479338842E-3</v>
      </c>
      <c r="K87" s="262">
        <f t="shared" si="166"/>
        <v>1.6115702479338842E-3</v>
      </c>
    </row>
    <row r="88" spans="1:11" ht="14.5" hidden="1" outlineLevel="1">
      <c r="A88">
        <v>8</v>
      </c>
      <c r="B88" s="262">
        <f t="shared" si="154"/>
        <v>1.549586776859504E-3</v>
      </c>
      <c r="C88" s="262">
        <f t="shared" ref="C88:I88" si="167">(C76+C77)*C$54/2</f>
        <v>1.549586776859504E-3</v>
      </c>
      <c r="D88" s="262">
        <f t="shared" si="167"/>
        <v>1.549586776859504E-3</v>
      </c>
      <c r="E88" s="262">
        <f t="shared" si="167"/>
        <v>1.549586776859504E-3</v>
      </c>
      <c r="F88" s="262">
        <f t="shared" si="167"/>
        <v>1.549586776859504E-3</v>
      </c>
      <c r="G88" s="262">
        <f t="shared" si="167"/>
        <v>1.549586776859504E-3</v>
      </c>
      <c r="H88" s="262">
        <f t="shared" si="167"/>
        <v>1.549586776859504E-3</v>
      </c>
      <c r="I88" s="262">
        <f t="shared" si="167"/>
        <v>1.549586776859504E-3</v>
      </c>
      <c r="J88" s="262">
        <f t="shared" ref="J88:K88" si="168">(J76+J77)*J$54/2</f>
        <v>1.549586776859504E-3</v>
      </c>
      <c r="K88" s="262">
        <f t="shared" si="168"/>
        <v>1.549586776859504E-3</v>
      </c>
    </row>
    <row r="89" spans="1:11" ht="14.5" hidden="1" outlineLevel="1">
      <c r="A89">
        <v>9</v>
      </c>
      <c r="B89" s="262">
        <f t="shared" si="154"/>
        <v>1.4876033057851239E-3</v>
      </c>
      <c r="C89" s="262">
        <f t="shared" ref="C89:I89" si="169">(C77+C78)*C$54/2</f>
        <v>1.4876033057851239E-3</v>
      </c>
      <c r="D89" s="262">
        <f t="shared" si="169"/>
        <v>1.4876033057851239E-3</v>
      </c>
      <c r="E89" s="262">
        <f t="shared" si="169"/>
        <v>1.4876033057851239E-3</v>
      </c>
      <c r="F89" s="262">
        <f t="shared" si="169"/>
        <v>1.4876033057851239E-3</v>
      </c>
      <c r="G89" s="262">
        <f t="shared" si="169"/>
        <v>1.4876033057851239E-3</v>
      </c>
      <c r="H89" s="262">
        <f t="shared" si="169"/>
        <v>1.4876033057851239E-3</v>
      </c>
      <c r="I89" s="262">
        <f t="shared" si="169"/>
        <v>1.4876033057851239E-3</v>
      </c>
      <c r="J89" s="262">
        <f t="shared" ref="J89:K89" si="170">(J77+J78)*J$54/2</f>
        <v>1.4876033057851239E-3</v>
      </c>
      <c r="K89" s="262">
        <f t="shared" si="170"/>
        <v>1.4876033057851239E-3</v>
      </c>
    </row>
    <row r="90" spans="1:11" ht="14.5" hidden="1" outlineLevel="1">
      <c r="A90">
        <v>10</v>
      </c>
      <c r="B90" s="262">
        <f>(B78+B79)*B$54/2</f>
        <v>1.4256198347107436E-3</v>
      </c>
      <c r="C90" s="262">
        <f t="shared" ref="C90:I90" si="171">(C78+C79)*C$54/2</f>
        <v>1.4256198347107436E-3</v>
      </c>
      <c r="D90" s="262">
        <f t="shared" si="171"/>
        <v>1.4256198347107436E-3</v>
      </c>
      <c r="E90" s="262">
        <f t="shared" si="171"/>
        <v>1.4256198347107436E-3</v>
      </c>
      <c r="F90" s="262">
        <f t="shared" si="171"/>
        <v>1.4256198347107436E-3</v>
      </c>
      <c r="G90" s="262">
        <f t="shared" si="171"/>
        <v>1.4256198347107436E-3</v>
      </c>
      <c r="H90" s="262">
        <f t="shared" si="171"/>
        <v>1.4256198347107436E-3</v>
      </c>
      <c r="I90" s="262">
        <f t="shared" si="171"/>
        <v>1.4256198347107436E-3</v>
      </c>
      <c r="J90" s="262">
        <f t="shared" ref="J90:K90" si="172">(J78+J79)*J$54/2</f>
        <v>1.4256198347107436E-3</v>
      </c>
      <c r="K90" s="262">
        <f t="shared" si="172"/>
        <v>1.4256198347107436E-3</v>
      </c>
    </row>
    <row r="91" spans="1:11" ht="14.5" collapsed="1">
      <c r="A91" t="s">
        <v>492</v>
      </c>
      <c r="B91" s="261">
        <f>SUM(B81:B90)</f>
        <v>1.7045454545454544E-2</v>
      </c>
      <c r="C91" s="261">
        <f t="shared" ref="C91:I91" si="173">SUM(C81:C90)</f>
        <v>1.7045454545454544E-2</v>
      </c>
      <c r="D91" s="261">
        <f t="shared" si="173"/>
        <v>1.7045454545454544E-2</v>
      </c>
      <c r="E91" s="261">
        <f t="shared" si="173"/>
        <v>1.7045454545454544E-2</v>
      </c>
      <c r="F91" s="261">
        <f t="shared" si="173"/>
        <v>1.7045454545454544E-2</v>
      </c>
      <c r="G91" s="261">
        <f t="shared" si="173"/>
        <v>1.7045454545454544E-2</v>
      </c>
      <c r="H91" s="261">
        <f t="shared" si="173"/>
        <v>1.7045454545454544E-2</v>
      </c>
      <c r="I91" s="261">
        <f t="shared" si="173"/>
        <v>1.7045454545454544E-2</v>
      </c>
      <c r="J91" s="261">
        <f t="shared" ref="J91" si="174">SUM(J81:J90)</f>
        <v>1.7045454545454544E-2</v>
      </c>
      <c r="K91" s="261">
        <f t="shared" ref="K91" si="175">SUM(K81:K90)</f>
        <v>1.7045454545454544E-2</v>
      </c>
    </row>
    <row r="92" spans="1:11" ht="14.5">
      <c r="A92" s="265" t="s">
        <v>373</v>
      </c>
    </row>
    <row r="93" spans="1:11" s="167" customFormat="1" ht="14.5">
      <c r="A93" s="167" t="s">
        <v>374</v>
      </c>
      <c r="B93" s="288">
        <f>IF(B7&lt;1,(B95/(B96+B97))/SQRT(1-B7^2),(B95/(B96+B97))/SQRT(1-0.99^2))</f>
        <v>1.7460228002045515</v>
      </c>
      <c r="C93" s="288">
        <f t="shared" ref="C93:I93" si="176">IF(C7&lt;1,(C95/(C96+C97))/SQRT(1-C7^2),(C95/(C96+C97))/SQRT(1-0.99^2))</f>
        <v>1.7516574184821574</v>
      </c>
      <c r="D93" s="288">
        <f t="shared" si="176"/>
        <v>1.8270316629357042</v>
      </c>
      <c r="E93" s="288">
        <f t="shared" si="176"/>
        <v>2.0125011551487666</v>
      </c>
      <c r="F93" s="288">
        <f t="shared" si="176"/>
        <v>2.4405161277517413</v>
      </c>
      <c r="G93" s="288">
        <f t="shared" si="176"/>
        <v>12.354928369089945</v>
      </c>
      <c r="H93" s="288">
        <f t="shared" si="176"/>
        <v>12.354928369089945</v>
      </c>
      <c r="I93" s="288">
        <f t="shared" si="176"/>
        <v>12.354928369089945</v>
      </c>
      <c r="J93" s="288">
        <f t="shared" ref="J93:K93" si="177">IF(J7&lt;1,(J95/(J96+J97))/SQRT(1-J7^2),(J95/(J96+J97))/SQRT(1-0.99^2))</f>
        <v>12.354928369089945</v>
      </c>
      <c r="K93" s="288">
        <f t="shared" si="177"/>
        <v>12.354928369089945</v>
      </c>
    </row>
    <row r="94" spans="1:11" s="167" customFormat="1" ht="14.5">
      <c r="A94" s="167" t="s">
        <v>511</v>
      </c>
      <c r="B94" s="288">
        <f>IF(B6&lt;1,B93,IF(B6&gt;1,(4)/SQRT(B6^2-1),(4)/SQRT((1.01)^2-1)))</f>
        <v>1.7460228002045515</v>
      </c>
      <c r="C94" s="288">
        <f t="shared" ref="C94:I94" si="178">IF(C6&lt;1,C93,IF(C6&gt;1,(4)/SQRT(C6^2-1),(4)/SQRT((1.01)^2-1)))</f>
        <v>1.7516574184821574</v>
      </c>
      <c r="D94" s="288">
        <f t="shared" si="178"/>
        <v>1.8270316629357042</v>
      </c>
      <c r="E94" s="288">
        <f t="shared" si="178"/>
        <v>2.0125011551487666</v>
      </c>
      <c r="F94" s="288">
        <f t="shared" si="178"/>
        <v>2.4405161277517413</v>
      </c>
      <c r="G94" s="288">
        <f t="shared" si="178"/>
        <v>28.213824634343929</v>
      </c>
      <c r="H94" s="288">
        <f t="shared" si="178"/>
        <v>3.5777087639996634</v>
      </c>
      <c r="I94" s="288">
        <f t="shared" si="178"/>
        <v>2.3094010767585034</v>
      </c>
      <c r="J94" s="288">
        <f t="shared" ref="J94" si="179">IF(J6&lt;1,J93,IF(J6&gt;1,(4)/SQRT(J6^2-1),(4)/SQRT((1.01)^2-1)))</f>
        <v>1.4142135623730949</v>
      </c>
      <c r="K94" s="288">
        <f t="shared" ref="K94" si="180">IF(K6&lt;1,K93,IF(K6&gt;1,(4)/SQRT(K6^2-1),(4)/SQRT((1.01)^2-1)))</f>
        <v>0.81649658092772615</v>
      </c>
    </row>
    <row r="95" spans="1:11" ht="14.5" hidden="1" outlineLevel="1">
      <c r="A95" t="s">
        <v>375</v>
      </c>
      <c r="B95" s="191">
        <f>PI()*COS(RADIANS(B43))</f>
        <v>2.2214414690791831</v>
      </c>
      <c r="C95" s="191">
        <f t="shared" ref="C95:I95" si="181">PI()*COS(RADIANS(C43))</f>
        <v>2.2214414690791831</v>
      </c>
      <c r="D95" s="191">
        <f t="shared" si="181"/>
        <v>2.2214414690791831</v>
      </c>
      <c r="E95" s="191">
        <f t="shared" si="181"/>
        <v>2.2214414690791831</v>
      </c>
      <c r="F95" s="191">
        <f t="shared" si="181"/>
        <v>2.2214414690791831</v>
      </c>
      <c r="G95" s="191">
        <f t="shared" si="181"/>
        <v>2.2214414690791831</v>
      </c>
      <c r="H95" s="191">
        <f t="shared" si="181"/>
        <v>2.2214414690791831</v>
      </c>
      <c r="I95" s="191">
        <f t="shared" si="181"/>
        <v>2.2214414690791831</v>
      </c>
      <c r="J95" s="191">
        <f t="shared" ref="J95:K95" si="182">PI()*COS(RADIANS(J43))</f>
        <v>2.2214414690791831</v>
      </c>
      <c r="K95" s="191">
        <f t="shared" si="182"/>
        <v>2.2214414690791831</v>
      </c>
    </row>
    <row r="96" spans="1:11" ht="14.5" hidden="1" outlineLevel="1">
      <c r="A96" t="s">
        <v>376</v>
      </c>
      <c r="B96" s="191">
        <f>SQRT(1+((B95/(PI()*B51))^2))</f>
        <v>1.0295766535643616</v>
      </c>
      <c r="C96" s="191">
        <f t="shared" ref="C96:I96" si="183">SQRT(1+((C95/(PI()*C51))^2))</f>
        <v>1.0295766535643616</v>
      </c>
      <c r="D96" s="191">
        <f t="shared" si="183"/>
        <v>1.0295766535643616</v>
      </c>
      <c r="E96" s="191">
        <f t="shared" si="183"/>
        <v>1.0295766535643616</v>
      </c>
      <c r="F96" s="191">
        <f t="shared" si="183"/>
        <v>1.0295766535643616</v>
      </c>
      <c r="G96" s="191">
        <f t="shared" si="183"/>
        <v>1.0295766535643616</v>
      </c>
      <c r="H96" s="191">
        <f t="shared" si="183"/>
        <v>1.0295766535643616</v>
      </c>
      <c r="I96" s="191">
        <f t="shared" si="183"/>
        <v>1.0295766535643616</v>
      </c>
      <c r="J96" s="191">
        <f t="shared" ref="J96" si="184">SQRT(1+((J95/(PI()*J51))^2))</f>
        <v>1.0295766535643616</v>
      </c>
      <c r="K96" s="191">
        <f t="shared" ref="K96" si="185">SQRT(1+((K95/(PI()*K51))^2))</f>
        <v>1.0295766535643616</v>
      </c>
    </row>
    <row r="97" spans="1:11" ht="14.5" hidden="1" outlineLevel="1">
      <c r="A97" t="s">
        <v>377</v>
      </c>
      <c r="B97" s="191">
        <f>B95/(PI()*B51)</f>
        <v>0.24500629699007567</v>
      </c>
      <c r="C97" s="191">
        <f t="shared" ref="C97:I97" si="186">C95/(PI()*C51)</f>
        <v>0.24500629699007567</v>
      </c>
      <c r="D97" s="191">
        <f t="shared" si="186"/>
        <v>0.24500629699007567</v>
      </c>
      <c r="E97" s="191">
        <f t="shared" si="186"/>
        <v>0.24500629699007567</v>
      </c>
      <c r="F97" s="191">
        <f t="shared" si="186"/>
        <v>0.24500629699007567</v>
      </c>
      <c r="G97" s="191">
        <f t="shared" si="186"/>
        <v>0.24500629699007567</v>
      </c>
      <c r="H97" s="191">
        <f t="shared" si="186"/>
        <v>0.24500629699007567</v>
      </c>
      <c r="I97" s="191">
        <f t="shared" si="186"/>
        <v>0.24500629699007567</v>
      </c>
      <c r="J97" s="191">
        <f t="shared" ref="J97:K97" si="187">J95/(PI()*J51)</f>
        <v>0.24500629699007567</v>
      </c>
      <c r="K97" s="191">
        <f t="shared" si="187"/>
        <v>0.24500629699007567</v>
      </c>
    </row>
    <row r="98" spans="1:11" ht="14.5" hidden="1" outlineLevel="1"/>
    <row r="99" spans="1:11" ht="14.5" collapsed="1">
      <c r="A99" t="s">
        <v>378</v>
      </c>
      <c r="B99" s="186">
        <f>(B16*B3*B38)/B19</f>
        <v>197252.54389944818</v>
      </c>
      <c r="C99" s="186">
        <f t="shared" ref="C99:I99" si="188">(C16*C3*C38)/C19</f>
        <v>341245.90030331042</v>
      </c>
      <c r="D99" s="186">
        <f t="shared" si="188"/>
        <v>1023737.7009099312</v>
      </c>
      <c r="E99" s="186">
        <f t="shared" si="188"/>
        <v>1706229.5015165519</v>
      </c>
      <c r="F99" s="186">
        <f t="shared" si="188"/>
        <v>2388721.3021231727</v>
      </c>
      <c r="G99" s="186">
        <f t="shared" si="188"/>
        <v>3412459.0030331039</v>
      </c>
      <c r="H99" s="186">
        <f t="shared" si="188"/>
        <v>5118688.5045496561</v>
      </c>
      <c r="I99" s="186">
        <f t="shared" si="188"/>
        <v>6824918.0060662078</v>
      </c>
      <c r="J99" s="186">
        <f t="shared" ref="J99:K99" si="189">(J16*J3*J38)/J19</f>
        <v>10237377.009099312</v>
      </c>
      <c r="K99" s="186">
        <f t="shared" si="189"/>
        <v>17062295.015165523</v>
      </c>
    </row>
    <row r="100" spans="1:11" ht="14.5">
      <c r="A100" t="s">
        <v>379</v>
      </c>
      <c r="B100" s="186">
        <f>(B16*B3*B39)/B19</f>
        <v>13150169.593296546</v>
      </c>
      <c r="C100" s="186">
        <f t="shared" ref="C100:I100" si="190">(C16*C3*C39)/C19</f>
        <v>22749726.686887365</v>
      </c>
      <c r="D100" s="186">
        <f t="shared" si="190"/>
        <v>68249180.060662091</v>
      </c>
      <c r="E100" s="186">
        <f t="shared" si="190"/>
        <v>113748633.4344368</v>
      </c>
      <c r="F100" s="186">
        <f t="shared" si="190"/>
        <v>159248086.80821151</v>
      </c>
      <c r="G100" s="186">
        <f t="shared" si="190"/>
        <v>227497266.8688736</v>
      </c>
      <c r="H100" s="186">
        <f t="shared" si="190"/>
        <v>341245900.30331039</v>
      </c>
      <c r="I100" s="186">
        <f t="shared" si="190"/>
        <v>454994533.73774719</v>
      </c>
      <c r="J100" s="186">
        <f t="shared" ref="J100:K100" si="191">(J16*J3*J39)/J19</f>
        <v>682491800.60662079</v>
      </c>
      <c r="K100" s="186">
        <f t="shared" si="191"/>
        <v>1137486334.3443682</v>
      </c>
    </row>
    <row r="101" spans="1:11" s="274" customFormat="1" ht="14.5">
      <c r="A101" s="275" t="s">
        <v>488</v>
      </c>
      <c r="B101" s="277">
        <v>1.8564485158890635E-2</v>
      </c>
      <c r="C101" s="277">
        <v>1.0835747058992552E-3</v>
      </c>
      <c r="D101" s="277">
        <v>1.0835747058992552E-3</v>
      </c>
      <c r="E101" s="277">
        <v>1.0835747058992552E-3</v>
      </c>
      <c r="F101" s="277">
        <v>1.0835747058992552E-3</v>
      </c>
      <c r="G101" s="277">
        <v>1.0835747058992552E-3</v>
      </c>
      <c r="H101" s="277">
        <v>1.0835747058992552E-3</v>
      </c>
      <c r="I101" s="277">
        <v>1.0835747058992552E-3</v>
      </c>
      <c r="J101" s="277">
        <v>1.0835747058992552E-3</v>
      </c>
      <c r="K101" s="277">
        <v>1.0835747058992552E-3</v>
      </c>
    </row>
    <row r="102" spans="1:11" ht="14.5">
      <c r="A102" s="275" t="s">
        <v>489</v>
      </c>
      <c r="B102" s="186">
        <f>B101/1000</f>
        <v>1.8564485158890635E-5</v>
      </c>
      <c r="C102" s="186">
        <f t="shared" ref="C102:I102" si="192">C101/1000</f>
        <v>1.0835747058992552E-6</v>
      </c>
      <c r="D102" s="186">
        <f t="shared" si="192"/>
        <v>1.0835747058992552E-6</v>
      </c>
      <c r="E102" s="186">
        <f t="shared" si="192"/>
        <v>1.0835747058992552E-6</v>
      </c>
      <c r="F102" s="186">
        <f t="shared" si="192"/>
        <v>1.0835747058992552E-6</v>
      </c>
      <c r="G102" s="186">
        <f t="shared" si="192"/>
        <v>1.0835747058992552E-6</v>
      </c>
      <c r="H102" s="186">
        <f t="shared" si="192"/>
        <v>1.0835747058992552E-6</v>
      </c>
      <c r="I102" s="186">
        <f t="shared" si="192"/>
        <v>1.0835747058992552E-6</v>
      </c>
      <c r="J102" s="186">
        <f t="shared" ref="J102" si="193">J101/1000</f>
        <v>1.0835747058992552E-6</v>
      </c>
      <c r="K102" s="186">
        <f t="shared" ref="K102" si="194">K101/1000</f>
        <v>1.0835747058992552E-6</v>
      </c>
    </row>
    <row r="103" spans="1:11" ht="14.5">
      <c r="A103" t="s">
        <v>490</v>
      </c>
      <c r="B103" s="191">
        <f>(B102*B3)/B19</f>
        <v>19.94371307260672</v>
      </c>
      <c r="C103" s="191">
        <f t="shared" ref="C103:I103" si="195">(C102*C3)/C19</f>
        <v>2.0082038518447769</v>
      </c>
      <c r="D103" s="191">
        <f t="shared" si="195"/>
        <v>6.0246115555343307</v>
      </c>
      <c r="E103" s="191">
        <f t="shared" si="195"/>
        <v>10.041019259223885</v>
      </c>
      <c r="F103" s="191">
        <f t="shared" si="195"/>
        <v>14.057426962913439</v>
      </c>
      <c r="G103" s="191">
        <f t="shared" si="195"/>
        <v>20.082038518447771</v>
      </c>
      <c r="H103" s="191">
        <f t="shared" si="195"/>
        <v>30.123057777671651</v>
      </c>
      <c r="I103" s="191">
        <f t="shared" si="195"/>
        <v>40.164077036895542</v>
      </c>
      <c r="J103" s="191">
        <f t="shared" ref="J103" si="196">(J102*J3)/J19</f>
        <v>60.246115555343302</v>
      </c>
      <c r="K103" s="191">
        <f t="shared" ref="K103" si="197">(K102*K3)/K19</f>
        <v>100.41019259223886</v>
      </c>
    </row>
    <row r="104" spans="1:11" s="187" customFormat="1" ht="14.5">
      <c r="A104" s="272" t="s">
        <v>495</v>
      </c>
      <c r="B104" s="278">
        <f>B116</f>
        <v>0.99999999999999989</v>
      </c>
      <c r="C104" s="278">
        <f t="shared" ref="C104:I104" si="198">C116</f>
        <v>0.10069357920131253</v>
      </c>
      <c r="D104" s="278">
        <f t="shared" si="198"/>
        <v>0.30208073760393755</v>
      </c>
      <c r="E104" s="278">
        <f t="shared" si="198"/>
        <v>0.50346789600656272</v>
      </c>
      <c r="F104" s="278">
        <f t="shared" si="198"/>
        <v>0.70485505440918772</v>
      </c>
      <c r="G104" s="278">
        <f t="shared" si="198"/>
        <v>1.0069357920131254</v>
      </c>
      <c r="H104" s="278">
        <f t="shared" si="198"/>
        <v>1.5104036880196878</v>
      </c>
      <c r="I104" s="278">
        <f t="shared" si="198"/>
        <v>2.0138715840262509</v>
      </c>
      <c r="J104" s="278">
        <f t="shared" ref="J104:K104" si="199">J116</f>
        <v>3.0208073760393757</v>
      </c>
      <c r="K104" s="278">
        <f t="shared" si="199"/>
        <v>5.0346789600656265</v>
      </c>
    </row>
    <row r="105" spans="1:11" ht="14.5">
      <c r="A105" s="271" t="s">
        <v>527</v>
      </c>
      <c r="B105" s="191">
        <f>B38/$A110</f>
        <v>0.03</v>
      </c>
      <c r="C105" s="191">
        <f t="shared" ref="C105:I105" si="200">C38/$A110</f>
        <v>0.03</v>
      </c>
      <c r="D105" s="191">
        <f t="shared" si="200"/>
        <v>0.03</v>
      </c>
      <c r="E105" s="191">
        <f t="shared" si="200"/>
        <v>0.03</v>
      </c>
      <c r="F105" s="191">
        <f t="shared" si="200"/>
        <v>0.03</v>
      </c>
      <c r="G105" s="191">
        <f t="shared" si="200"/>
        <v>0.03</v>
      </c>
      <c r="H105" s="191">
        <f t="shared" si="200"/>
        <v>0.03</v>
      </c>
      <c r="I105" s="191">
        <f t="shared" si="200"/>
        <v>0.03</v>
      </c>
      <c r="J105" s="191">
        <f t="shared" ref="J105:K105" si="201">J38/$A110</f>
        <v>0.03</v>
      </c>
      <c r="K105" s="191">
        <f t="shared" si="201"/>
        <v>0.03</v>
      </c>
    </row>
    <row r="106" spans="1:11" ht="14.5" hidden="1" outlineLevel="1">
      <c r="A106">
        <v>1</v>
      </c>
      <c r="B106" s="186">
        <f>(B$16*B$3*($A106*B$105))/B$19</f>
        <v>39450.508779889642</v>
      </c>
      <c r="C106" s="186">
        <f t="shared" ref="C106:K110" si="202">(C$16*C$3*($A106*C$105))/C$19</f>
        <v>68249.180060662082</v>
      </c>
      <c r="D106" s="186">
        <f t="shared" si="202"/>
        <v>204747.54018198623</v>
      </c>
      <c r="E106" s="186">
        <f t="shared" si="202"/>
        <v>341245.90030331037</v>
      </c>
      <c r="F106" s="186">
        <f t="shared" si="202"/>
        <v>477744.26042463456</v>
      </c>
      <c r="G106" s="186">
        <f t="shared" si="202"/>
        <v>682491.80060662073</v>
      </c>
      <c r="H106" s="186">
        <f t="shared" si="202"/>
        <v>1023737.7009099312</v>
      </c>
      <c r="I106" s="186">
        <f t="shared" si="202"/>
        <v>1364983.6012132415</v>
      </c>
      <c r="J106" s="186">
        <f t="shared" si="202"/>
        <v>2047475.4018198624</v>
      </c>
      <c r="K106" s="186">
        <f t="shared" si="202"/>
        <v>3412459.0030331044</v>
      </c>
    </row>
    <row r="107" spans="1:11" ht="14.5" hidden="1" outlineLevel="1">
      <c r="A107">
        <v>2</v>
      </c>
      <c r="B107" s="186">
        <f>(B$16*B$3*($A107*B$105))/B$19</f>
        <v>78901.017559779284</v>
      </c>
      <c r="C107" s="186">
        <f t="shared" si="202"/>
        <v>136498.36012132416</v>
      </c>
      <c r="D107" s="186">
        <f t="shared" si="202"/>
        <v>409495.08036397246</v>
      </c>
      <c r="E107" s="186">
        <f t="shared" si="202"/>
        <v>682491.80060662073</v>
      </c>
      <c r="F107" s="186">
        <f t="shared" si="202"/>
        <v>955488.52084926912</v>
      </c>
      <c r="G107" s="186">
        <f t="shared" si="202"/>
        <v>1364983.6012132415</v>
      </c>
      <c r="H107" s="186">
        <f t="shared" si="202"/>
        <v>2047475.4018198624</v>
      </c>
      <c r="I107" s="186">
        <f t="shared" si="202"/>
        <v>2729967.2024264829</v>
      </c>
      <c r="J107" s="186">
        <f t="shared" si="202"/>
        <v>4094950.8036397249</v>
      </c>
      <c r="K107" s="186">
        <f t="shared" si="202"/>
        <v>6824918.0060662087</v>
      </c>
    </row>
    <row r="108" spans="1:11" ht="14.5" hidden="1" outlineLevel="1">
      <c r="A108">
        <v>3</v>
      </c>
      <c r="B108" s="186">
        <f>(B$16*B$3*($A108*B$105))/B$19</f>
        <v>118351.52633966893</v>
      </c>
      <c r="C108" s="186">
        <f t="shared" si="202"/>
        <v>204747.54018198623</v>
      </c>
      <c r="D108" s="186">
        <f t="shared" si="202"/>
        <v>614242.62054595875</v>
      </c>
      <c r="E108" s="186">
        <f t="shared" si="202"/>
        <v>1023737.7009099312</v>
      </c>
      <c r="F108" s="186">
        <f t="shared" si="202"/>
        <v>1433232.7812739036</v>
      </c>
      <c r="G108" s="186">
        <f t="shared" si="202"/>
        <v>2047475.4018198624</v>
      </c>
      <c r="H108" s="186">
        <f t="shared" si="202"/>
        <v>3071213.1027297936</v>
      </c>
      <c r="I108" s="186">
        <f t="shared" si="202"/>
        <v>4094950.8036397249</v>
      </c>
      <c r="J108" s="186">
        <f t="shared" si="202"/>
        <v>6142426.2054595873</v>
      </c>
      <c r="K108" s="186">
        <f t="shared" si="202"/>
        <v>10237377.009099314</v>
      </c>
    </row>
    <row r="109" spans="1:11" ht="14.5" hidden="1" outlineLevel="1">
      <c r="A109">
        <v>4</v>
      </c>
      <c r="B109" s="186">
        <f>(B$16*B$3*($A109*B$105))/B$19</f>
        <v>157802.03511955857</v>
      </c>
      <c r="C109" s="186">
        <f t="shared" si="202"/>
        <v>272996.72024264833</v>
      </c>
      <c r="D109" s="186">
        <f t="shared" si="202"/>
        <v>818990.16072794492</v>
      </c>
      <c r="E109" s="186">
        <f t="shared" si="202"/>
        <v>1364983.6012132415</v>
      </c>
      <c r="F109" s="186">
        <f t="shared" si="202"/>
        <v>1910977.0416985382</v>
      </c>
      <c r="G109" s="186">
        <f t="shared" si="202"/>
        <v>2729967.2024264829</v>
      </c>
      <c r="H109" s="186">
        <f t="shared" si="202"/>
        <v>4094950.8036397249</v>
      </c>
      <c r="I109" s="186">
        <f t="shared" si="202"/>
        <v>5459934.4048529658</v>
      </c>
      <c r="J109" s="186">
        <f t="shared" si="202"/>
        <v>8189901.6072794497</v>
      </c>
      <c r="K109" s="186">
        <f t="shared" si="202"/>
        <v>13649836.012132417</v>
      </c>
    </row>
    <row r="110" spans="1:11" ht="14.5" hidden="1" outlineLevel="1">
      <c r="A110">
        <v>5</v>
      </c>
      <c r="B110" s="186">
        <f>(B$16*B$3*($A110*B$105))/B$19</f>
        <v>197252.54389944818</v>
      </c>
      <c r="C110" s="186">
        <f t="shared" si="202"/>
        <v>341245.90030331042</v>
      </c>
      <c r="D110" s="186">
        <f t="shared" si="202"/>
        <v>1023737.7009099312</v>
      </c>
      <c r="E110" s="186">
        <f t="shared" si="202"/>
        <v>1706229.5015165519</v>
      </c>
      <c r="F110" s="186">
        <f t="shared" si="202"/>
        <v>2388721.3021231727</v>
      </c>
      <c r="G110" s="186">
        <f t="shared" si="202"/>
        <v>3412459.0030331039</v>
      </c>
      <c r="H110" s="186">
        <f t="shared" si="202"/>
        <v>5118688.5045496561</v>
      </c>
      <c r="I110" s="186">
        <f t="shared" si="202"/>
        <v>6824918.0060662078</v>
      </c>
      <c r="J110" s="186">
        <f t="shared" si="202"/>
        <v>10237377.009099312</v>
      </c>
      <c r="K110" s="186">
        <f t="shared" si="202"/>
        <v>17062295.015165523</v>
      </c>
    </row>
    <row r="111" spans="1:11" ht="14.5" collapsed="1">
      <c r="A111" s="271" t="s">
        <v>491</v>
      </c>
      <c r="B111" s="186"/>
      <c r="C111" s="186"/>
      <c r="D111" s="186"/>
      <c r="E111" s="186"/>
      <c r="F111" s="186"/>
      <c r="G111" s="186"/>
      <c r="H111" s="186"/>
      <c r="I111" s="186"/>
      <c r="J111" s="186"/>
      <c r="K111" s="186"/>
    </row>
    <row r="112" spans="1:11" ht="14.5" hidden="1" outlineLevel="1">
      <c r="A112">
        <v>1</v>
      </c>
      <c r="B112" s="186">
        <f>B$103*(SQRT(0.0576/(2*($B106^(1/5)))))</f>
        <v>1.1746189430880187</v>
      </c>
      <c r="C112" s="186">
        <f t="shared" ref="C112:I112" si="203">C$103*(SQRT(0.0576/(2*($B106^(1/5)))))</f>
        <v>0.11827658557719543</v>
      </c>
      <c r="D112" s="186">
        <f t="shared" si="203"/>
        <v>0.35482975673158629</v>
      </c>
      <c r="E112" s="186">
        <f t="shared" si="203"/>
        <v>0.59138292788597724</v>
      </c>
      <c r="F112" s="186">
        <f t="shared" si="203"/>
        <v>0.82793609904036813</v>
      </c>
      <c r="G112" s="186">
        <f t="shared" si="203"/>
        <v>1.1827658557719545</v>
      </c>
      <c r="H112" s="186">
        <f t="shared" si="203"/>
        <v>1.7741487836579313</v>
      </c>
      <c r="I112" s="186">
        <f t="shared" si="203"/>
        <v>2.365531711543909</v>
      </c>
      <c r="J112" s="186">
        <f t="shared" ref="J112:K112" si="204">J$103*(SQRT(0.0576/(2*($B106^(1/5)))))</f>
        <v>3.5482975673158625</v>
      </c>
      <c r="K112" s="186">
        <f t="shared" si="204"/>
        <v>5.9138292788597724</v>
      </c>
    </row>
    <row r="113" spans="1:11" ht="14.5" hidden="1" outlineLevel="1">
      <c r="A113">
        <v>2</v>
      </c>
      <c r="B113" s="186">
        <f t="shared" ref="B113:B116" si="205">B$103*(SQRT(0.0576/(2*($B107^(1/5)))))</f>
        <v>1.0959582263852172</v>
      </c>
      <c r="C113" s="186">
        <f t="shared" ref="C113:I113" si="206">C$103*(SQRT(0.0576/(2*($B107^(1/5)))))</f>
        <v>0.11035595646984987</v>
      </c>
      <c r="D113" s="186">
        <f t="shared" si="206"/>
        <v>0.33106786940954963</v>
      </c>
      <c r="E113" s="186">
        <f t="shared" si="206"/>
        <v>0.5517797823492494</v>
      </c>
      <c r="F113" s="186">
        <f t="shared" si="206"/>
        <v>0.77249169528894912</v>
      </c>
      <c r="G113" s="186">
        <f t="shared" si="206"/>
        <v>1.1035595646984988</v>
      </c>
      <c r="H113" s="186">
        <f t="shared" si="206"/>
        <v>1.655339347047748</v>
      </c>
      <c r="I113" s="186">
        <f t="shared" si="206"/>
        <v>2.2071191293969976</v>
      </c>
      <c r="J113" s="186">
        <f t="shared" ref="J113:K113" si="207">J$103*(SQRT(0.0576/(2*($B107^(1/5)))))</f>
        <v>3.310678694095496</v>
      </c>
      <c r="K113" s="186">
        <f t="shared" si="207"/>
        <v>5.5177978234924945</v>
      </c>
    </row>
    <row r="114" spans="1:11" ht="14.5" hidden="1" outlineLevel="1">
      <c r="A114">
        <v>3</v>
      </c>
      <c r="B114" s="186">
        <f t="shared" si="205"/>
        <v>1.0524097791489251</v>
      </c>
      <c r="C114" s="186">
        <f t="shared" ref="C114:I114" si="208">C$103*(SQRT(0.0576/(2*($B108^(1/5)))))</f>
        <v>0.10597090744896813</v>
      </c>
      <c r="D114" s="186">
        <f t="shared" si="208"/>
        <v>0.31791272234690438</v>
      </c>
      <c r="E114" s="186">
        <f t="shared" si="208"/>
        <v>0.52985453724484066</v>
      </c>
      <c r="F114" s="186">
        <f t="shared" si="208"/>
        <v>0.74179635214277695</v>
      </c>
      <c r="G114" s="186">
        <f t="shared" si="208"/>
        <v>1.0597090744896813</v>
      </c>
      <c r="H114" s="186">
        <f t="shared" si="208"/>
        <v>1.5895636117345218</v>
      </c>
      <c r="I114" s="186">
        <f t="shared" si="208"/>
        <v>2.1194181489793626</v>
      </c>
      <c r="J114" s="186">
        <f t="shared" ref="J114:K114" si="209">J$103*(SQRT(0.0576/(2*($B108^(1/5)))))</f>
        <v>3.1791272234690435</v>
      </c>
      <c r="K114" s="186">
        <f t="shared" si="209"/>
        <v>5.2985453724484071</v>
      </c>
    </row>
    <row r="115" spans="1:11" ht="14.5" hidden="1" outlineLevel="1">
      <c r="A115">
        <v>4</v>
      </c>
      <c r="B115" s="186">
        <f t="shared" si="205"/>
        <v>1.0225651825635729</v>
      </c>
      <c r="C115" s="186">
        <f t="shared" ref="C115:I115" si="210">C$103*(SQRT(0.0576/(2*($B109^(1/5)))))</f>
        <v>0.10296574819896973</v>
      </c>
      <c r="D115" s="186">
        <f t="shared" si="210"/>
        <v>0.3088972445969092</v>
      </c>
      <c r="E115" s="186">
        <f t="shared" si="210"/>
        <v>0.51482874099484865</v>
      </c>
      <c r="F115" s="186">
        <f t="shared" si="210"/>
        <v>0.72076023739278816</v>
      </c>
      <c r="G115" s="186">
        <f t="shared" si="210"/>
        <v>1.0296574819896973</v>
      </c>
      <c r="H115" s="186">
        <f t="shared" si="210"/>
        <v>1.5444862229845457</v>
      </c>
      <c r="I115" s="186">
        <f t="shared" si="210"/>
        <v>2.0593149639793946</v>
      </c>
      <c r="J115" s="186">
        <f t="shared" ref="J115:K115" si="211">J$103*(SQRT(0.0576/(2*($B109^(1/5)))))</f>
        <v>3.0889724459690915</v>
      </c>
      <c r="K115" s="186">
        <f t="shared" si="211"/>
        <v>5.1482874099484874</v>
      </c>
    </row>
    <row r="116" spans="1:11" ht="14.5" hidden="1" outlineLevel="1">
      <c r="A116">
        <v>5</v>
      </c>
      <c r="B116" s="186">
        <f t="shared" si="205"/>
        <v>0.99999999999999989</v>
      </c>
      <c r="C116" s="186">
        <f t="shared" ref="C116:I116" si="212">C$103*(SQRT(0.0576/(2*($B110^(1/5)))))</f>
        <v>0.10069357920131253</v>
      </c>
      <c r="D116" s="186">
        <f t="shared" si="212"/>
        <v>0.30208073760393755</v>
      </c>
      <c r="E116" s="186">
        <f t="shared" si="212"/>
        <v>0.50346789600656272</v>
      </c>
      <c r="F116" s="186">
        <f t="shared" si="212"/>
        <v>0.70485505440918772</v>
      </c>
      <c r="G116" s="186">
        <f t="shared" si="212"/>
        <v>1.0069357920131254</v>
      </c>
      <c r="H116" s="186">
        <f t="shared" si="212"/>
        <v>1.5104036880196878</v>
      </c>
      <c r="I116" s="186">
        <f t="shared" si="212"/>
        <v>2.0138715840262509</v>
      </c>
      <c r="J116" s="186">
        <f t="shared" ref="J116:K116" si="213">J$103*(SQRT(0.0576/(2*($B110^(1/5)))))</f>
        <v>3.0208073760393757</v>
      </c>
      <c r="K116" s="186">
        <f t="shared" si="213"/>
        <v>5.0346789600656265</v>
      </c>
    </row>
    <row r="117" spans="1:11" s="187" customFormat="1" ht="14.5" collapsed="1">
      <c r="A117" s="272" t="s">
        <v>494</v>
      </c>
      <c r="B117" s="278">
        <f>B123</f>
        <v>0.99983195461537211</v>
      </c>
      <c r="C117" s="278">
        <f t="shared" ref="C117:I117" si="214">C123</f>
        <v>0.10064661321757948</v>
      </c>
      <c r="D117" s="278">
        <f t="shared" si="214"/>
        <v>0.30082500105207111</v>
      </c>
      <c r="E117" s="278">
        <f t="shared" si="214"/>
        <v>0.49776468493298481</v>
      </c>
      <c r="F117" s="278">
        <f t="shared" si="214"/>
        <v>0.68963480542566613</v>
      </c>
      <c r="G117" s="278">
        <f t="shared" si="214"/>
        <v>0.96496810166095393</v>
      </c>
      <c r="H117" s="278">
        <f t="shared" si="214"/>
        <v>1.3848846732066717</v>
      </c>
      <c r="I117" s="278">
        <f t="shared" si="214"/>
        <v>1.7556002905898076</v>
      </c>
      <c r="J117" s="278">
        <f t="shared" ref="J117:K117" si="215">J123</f>
        <v>2.3752626118980853</v>
      </c>
      <c r="K117" s="278">
        <f t="shared" si="215"/>
        <v>3.3133969314461948</v>
      </c>
    </row>
    <row r="118" spans="1:11" ht="14.5">
      <c r="A118" s="271" t="s">
        <v>528</v>
      </c>
    </row>
    <row r="119" spans="1:11" ht="14.5" hidden="1" outlineLevel="1">
      <c r="A119">
        <v>1</v>
      </c>
      <c r="B119" s="186">
        <f>B112*SQRT((1+0.2*B$7^2)^(-0.467))</f>
        <v>1.1744215537959364</v>
      </c>
      <c r="C119" s="186">
        <f t="shared" ref="C119:I119" si="216">C112*SQRT((1+0.2*C$7^2)^(-0.467))</f>
        <v>0.11822141844302184</v>
      </c>
      <c r="D119" s="186">
        <f t="shared" si="216"/>
        <v>0.35335474479023593</v>
      </c>
      <c r="E119" s="186">
        <f t="shared" si="216"/>
        <v>0.58468382812252329</v>
      </c>
      <c r="F119" s="186">
        <f t="shared" si="216"/>
        <v>0.81005810626580743</v>
      </c>
      <c r="G119" s="186">
        <f t="shared" si="216"/>
        <v>1.1334698116866415</v>
      </c>
      <c r="H119" s="186">
        <f t="shared" si="216"/>
        <v>1.626711771140817</v>
      </c>
      <c r="I119" s="186">
        <f t="shared" si="216"/>
        <v>2.0621613578176183</v>
      </c>
      <c r="J119" s="186">
        <f t="shared" ref="J119:K119" si="217">J112*SQRT((1+0.2*J$7^2)^(-0.467))</f>
        <v>2.7900284587442155</v>
      </c>
      <c r="K119" s="186">
        <f t="shared" si="217"/>
        <v>3.8919788016464145</v>
      </c>
    </row>
    <row r="120" spans="1:11" ht="14.5" hidden="1" outlineLevel="1">
      <c r="A120">
        <v>2</v>
      </c>
      <c r="B120" s="186">
        <f t="shared" ref="B120:B122" si="218">B113*SQRT((1+0.2*B$7^2)^(-0.467))</f>
        <v>1.0957740556635283</v>
      </c>
      <c r="C120" s="186">
        <f t="shared" ref="C120:I120" si="219">C113*SQRT((1+0.2*C$7^2)^(-0.467))</f>
        <v>0.11030448371361737</v>
      </c>
      <c r="D120" s="186">
        <f t="shared" si="219"/>
        <v>0.329691634605359</v>
      </c>
      <c r="E120" s="186">
        <f t="shared" si="219"/>
        <v>0.54552930125635035</v>
      </c>
      <c r="F120" s="186">
        <f t="shared" si="219"/>
        <v>0.7558109382078273</v>
      </c>
      <c r="G120" s="186">
        <f t="shared" si="219"/>
        <v>1.0575647292146491</v>
      </c>
      <c r="H120" s="186">
        <f t="shared" si="219"/>
        <v>1.517775750195655</v>
      </c>
      <c r="I120" s="186">
        <f t="shared" si="219"/>
        <v>1.9240645807161774</v>
      </c>
      <c r="J120" s="186">
        <f t="shared" ref="J120:K120" si="220">J113*SQRT((1+0.2*J$7^2)^(-0.467))</f>
        <v>2.6031885993349437</v>
      </c>
      <c r="K120" s="186">
        <f t="shared" si="220"/>
        <v>3.6313446242979937</v>
      </c>
    </row>
    <row r="121" spans="1:11" ht="14.5" hidden="1" outlineLevel="1">
      <c r="A121">
        <v>3</v>
      </c>
      <c r="B121" s="186">
        <f t="shared" si="218"/>
        <v>1.0522329265428019</v>
      </c>
      <c r="C121" s="186">
        <f t="shared" ref="C121:I121" si="221">C114*SQRT((1+0.2*C$7^2)^(-0.467))</f>
        <v>0.10592147998840012</v>
      </c>
      <c r="D121" s="186">
        <f t="shared" si="221"/>
        <v>0.31659117291968536</v>
      </c>
      <c r="E121" s="186">
        <f t="shared" si="221"/>
        <v>0.52385242213845684</v>
      </c>
      <c r="F121" s="186">
        <f t="shared" si="221"/>
        <v>0.72577841327143733</v>
      </c>
      <c r="G121" s="186">
        <f t="shared" si="221"/>
        <v>1.015541866754762</v>
      </c>
      <c r="H121" s="186">
        <f t="shared" si="221"/>
        <v>1.4574661730761649</v>
      </c>
      <c r="I121" s="186">
        <f t="shared" si="221"/>
        <v>1.8476109140934081</v>
      </c>
      <c r="J121" s="186">
        <f t="shared" ref="J121:K121" si="222">J114*SQRT((1+0.2*J$7^2)^(-0.467))</f>
        <v>2.4997496008083631</v>
      </c>
      <c r="K121" s="186">
        <f t="shared" si="222"/>
        <v>3.4870513328560171</v>
      </c>
    </row>
    <row r="122" spans="1:11" ht="14.5" hidden="1" outlineLevel="1">
      <c r="A122">
        <v>4</v>
      </c>
      <c r="B122" s="186">
        <f t="shared" si="218"/>
        <v>1.022393345204162</v>
      </c>
      <c r="C122" s="186">
        <f t="shared" ref="C122:I122" si="223">C115*SQRT((1+0.2*C$7^2)^(-0.467))</f>
        <v>0.10291772241923947</v>
      </c>
      <c r="D122" s="186">
        <f t="shared" si="223"/>
        <v>0.30761317212049816</v>
      </c>
      <c r="E122" s="186">
        <f t="shared" si="223"/>
        <v>0.5089968359221968</v>
      </c>
      <c r="F122" s="186">
        <f t="shared" si="223"/>
        <v>0.70519654071229032</v>
      </c>
      <c r="G122" s="186">
        <f t="shared" si="223"/>
        <v>0.98674278304295759</v>
      </c>
      <c r="H122" s="186">
        <f t="shared" si="223"/>
        <v>1.4161348486870742</v>
      </c>
      <c r="I122" s="186">
        <f t="shared" si="223"/>
        <v>1.7952157316556279</v>
      </c>
      <c r="J122" s="186">
        <f t="shared" ref="J122:K122" si="224">J115*SQRT((1+0.2*J$7^2)^(-0.467))</f>
        <v>2.4288608463719941</v>
      </c>
      <c r="K122" s="186">
        <f t="shared" si="224"/>
        <v>3.3881643381098612</v>
      </c>
    </row>
    <row r="123" spans="1:11" ht="14.5" hidden="1" outlineLevel="1">
      <c r="A123">
        <v>5</v>
      </c>
      <c r="B123" s="186">
        <f>B116*SQRT((1+0.2*B$7^2)^(-0.467))</f>
        <v>0.99983195461537211</v>
      </c>
      <c r="C123" s="186">
        <f t="shared" ref="C123:I123" si="225">C116*SQRT((1+0.2*C$7^2)^(-0.467))</f>
        <v>0.10064661321757948</v>
      </c>
      <c r="D123" s="186">
        <f t="shared" si="225"/>
        <v>0.30082500105207111</v>
      </c>
      <c r="E123" s="186">
        <f t="shared" si="225"/>
        <v>0.49776468493298481</v>
      </c>
      <c r="F123" s="186">
        <f t="shared" si="225"/>
        <v>0.68963480542566613</v>
      </c>
      <c r="G123" s="186">
        <f t="shared" si="225"/>
        <v>0.96496810166095393</v>
      </c>
      <c r="H123" s="186">
        <f t="shared" si="225"/>
        <v>1.3848846732066717</v>
      </c>
      <c r="I123" s="186">
        <f t="shared" si="225"/>
        <v>1.7556002905898076</v>
      </c>
      <c r="J123" s="186">
        <f t="shared" ref="J123:K123" si="226">J116*SQRT((1+0.2*J$7^2)^(-0.467))</f>
        <v>2.3752626118980853</v>
      </c>
      <c r="K123" s="186">
        <f t="shared" si="226"/>
        <v>3.3133969314461948</v>
      </c>
    </row>
    <row r="124" spans="1:11" ht="14.5" collapsed="1"/>
    <row r="125" spans="1:11" s="187" customFormat="1" ht="14.5">
      <c r="A125" s="292" t="s">
        <v>529</v>
      </c>
      <c r="B125" s="278"/>
      <c r="C125" s="278"/>
      <c r="D125" s="278"/>
      <c r="E125" s="278"/>
      <c r="F125" s="278"/>
      <c r="G125" s="278"/>
      <c r="H125" s="278"/>
      <c r="I125" s="278"/>
      <c r="J125" s="278"/>
      <c r="K125" s="278"/>
    </row>
    <row r="126" spans="1:11" ht="14.5"/>
    <row r="127" spans="1:11" ht="15" customHeight="1">
      <c r="A127" s="265" t="s">
        <v>518</v>
      </c>
    </row>
    <row r="128" spans="1:11" s="266" customFormat="1" ht="15" customHeight="1">
      <c r="A128" s="270" t="s">
        <v>380</v>
      </c>
      <c r="B128" s="276">
        <f>IF(B6&lt;1,B93*RADIANS(B9),B94*RADIANS(B9))</f>
        <v>0.45710770017690816</v>
      </c>
      <c r="C128" s="276">
        <f t="shared" ref="C128:I128" si="227">IF(C6&lt;1,C93*RADIANS(C9),C94*RADIANS(C9))</f>
        <v>0</v>
      </c>
      <c r="D128" s="276">
        <f t="shared" si="227"/>
        <v>0</v>
      </c>
      <c r="E128" s="276">
        <f t="shared" si="227"/>
        <v>0</v>
      </c>
      <c r="F128" s="276">
        <f t="shared" si="227"/>
        <v>0</v>
      </c>
      <c r="G128" s="276">
        <f t="shared" si="227"/>
        <v>0</v>
      </c>
      <c r="H128" s="276">
        <f t="shared" si="227"/>
        <v>0</v>
      </c>
      <c r="I128" s="276">
        <f t="shared" si="227"/>
        <v>0</v>
      </c>
      <c r="J128" s="276">
        <f t="shared" ref="J128:K128" si="228">IF(J6&lt;1,J93*RADIANS(J9),J94*RADIANS(J9))</f>
        <v>0</v>
      </c>
      <c r="K128" s="276">
        <f t="shared" si="228"/>
        <v>0</v>
      </c>
    </row>
    <row r="129" spans="1:11" ht="15" customHeight="1">
      <c r="A129" t="s">
        <v>381</v>
      </c>
    </row>
    <row r="130" spans="1:11" ht="15" hidden="1" customHeight="1" outlineLevel="1">
      <c r="A130">
        <v>1</v>
      </c>
      <c r="B130" s="191">
        <f>B$29*(B81)*B$128</f>
        <v>0.23116792776896303</v>
      </c>
      <c r="C130" s="191">
        <f t="shared" ref="C130:I130" si="229">C$29*(C81)*C$128</f>
        <v>0</v>
      </c>
      <c r="D130" s="191">
        <f t="shared" si="229"/>
        <v>0</v>
      </c>
      <c r="E130" s="191">
        <f t="shared" si="229"/>
        <v>0</v>
      </c>
      <c r="F130" s="191">
        <f t="shared" si="229"/>
        <v>0</v>
      </c>
      <c r="G130" s="191">
        <f t="shared" si="229"/>
        <v>0</v>
      </c>
      <c r="H130" s="191">
        <f t="shared" si="229"/>
        <v>0</v>
      </c>
      <c r="I130" s="191">
        <f t="shared" si="229"/>
        <v>0</v>
      </c>
      <c r="J130" s="191">
        <f t="shared" ref="J130:K130" si="230">J$29*(J81)*J$128</f>
        <v>0</v>
      </c>
      <c r="K130" s="191">
        <f t="shared" si="230"/>
        <v>0</v>
      </c>
    </row>
    <row r="131" spans="1:11" ht="15" hidden="1" customHeight="1" outlineLevel="1">
      <c r="A131">
        <v>2</v>
      </c>
      <c r="B131" s="191">
        <f t="shared" ref="B131" si="231">B$29*(B82)*B$128</f>
        <v>0.22394393002618301</v>
      </c>
      <c r="C131" s="191">
        <f t="shared" ref="C131:I131" si="232">C$29*(C82)*C$128</f>
        <v>0</v>
      </c>
      <c r="D131" s="191">
        <f t="shared" si="232"/>
        <v>0</v>
      </c>
      <c r="E131" s="191">
        <f t="shared" si="232"/>
        <v>0</v>
      </c>
      <c r="F131" s="191">
        <f t="shared" si="232"/>
        <v>0</v>
      </c>
      <c r="G131" s="191">
        <f t="shared" si="232"/>
        <v>0</v>
      </c>
      <c r="H131" s="191">
        <f t="shared" si="232"/>
        <v>0</v>
      </c>
      <c r="I131" s="191">
        <f t="shared" si="232"/>
        <v>0</v>
      </c>
      <c r="J131" s="191">
        <f t="shared" ref="J131:K131" si="233">J$29*(J82)*J$128</f>
        <v>0</v>
      </c>
      <c r="K131" s="191">
        <f t="shared" si="233"/>
        <v>0</v>
      </c>
    </row>
    <row r="132" spans="1:11" ht="15" hidden="1" customHeight="1" outlineLevel="1">
      <c r="A132">
        <v>3</v>
      </c>
      <c r="B132" s="191">
        <f t="shared" ref="B132" si="234">B$29*(B83)*B$128</f>
        <v>0.21671993228340286</v>
      </c>
      <c r="C132" s="191">
        <f t="shared" ref="C132:I132" si="235">C$29*(C83)*C$128</f>
        <v>0</v>
      </c>
      <c r="D132" s="191">
        <f t="shared" si="235"/>
        <v>0</v>
      </c>
      <c r="E132" s="191">
        <f t="shared" si="235"/>
        <v>0</v>
      </c>
      <c r="F132" s="191">
        <f t="shared" si="235"/>
        <v>0</v>
      </c>
      <c r="G132" s="191">
        <f t="shared" si="235"/>
        <v>0</v>
      </c>
      <c r="H132" s="191">
        <f t="shared" si="235"/>
        <v>0</v>
      </c>
      <c r="I132" s="191">
        <f t="shared" si="235"/>
        <v>0</v>
      </c>
      <c r="J132" s="191">
        <f t="shared" ref="J132:K132" si="236">J$29*(J83)*J$128</f>
        <v>0</v>
      </c>
      <c r="K132" s="191">
        <f t="shared" si="236"/>
        <v>0</v>
      </c>
    </row>
    <row r="133" spans="1:11" ht="15" hidden="1" customHeight="1" outlineLevel="1">
      <c r="A133">
        <v>4</v>
      </c>
      <c r="B133" s="191">
        <f t="shared" ref="B133" si="237">B$29*(B84)*B$128</f>
        <v>0.20949593454062282</v>
      </c>
      <c r="C133" s="191">
        <f t="shared" ref="C133:I133" si="238">C$29*(C84)*C$128</f>
        <v>0</v>
      </c>
      <c r="D133" s="191">
        <f t="shared" si="238"/>
        <v>0</v>
      </c>
      <c r="E133" s="191">
        <f t="shared" si="238"/>
        <v>0</v>
      </c>
      <c r="F133" s="191">
        <f t="shared" si="238"/>
        <v>0</v>
      </c>
      <c r="G133" s="191">
        <f t="shared" si="238"/>
        <v>0</v>
      </c>
      <c r="H133" s="191">
        <f t="shared" si="238"/>
        <v>0</v>
      </c>
      <c r="I133" s="191">
        <f t="shared" si="238"/>
        <v>0</v>
      </c>
      <c r="J133" s="191">
        <f t="shared" ref="J133:K133" si="239">J$29*(J84)*J$128</f>
        <v>0</v>
      </c>
      <c r="K133" s="191">
        <f t="shared" si="239"/>
        <v>0</v>
      </c>
    </row>
    <row r="134" spans="1:11" ht="15" hidden="1" customHeight="1" outlineLevel="1">
      <c r="A134">
        <v>5</v>
      </c>
      <c r="B134" s="191">
        <f t="shared" ref="B134" si="240">B$29*(B85)*B$128</f>
        <v>0.20227193679784269</v>
      </c>
      <c r="C134" s="191">
        <f t="shared" ref="C134:I134" si="241">C$29*(C85)*C$128</f>
        <v>0</v>
      </c>
      <c r="D134" s="191">
        <f t="shared" si="241"/>
        <v>0</v>
      </c>
      <c r="E134" s="191">
        <f t="shared" si="241"/>
        <v>0</v>
      </c>
      <c r="F134" s="191">
        <f t="shared" si="241"/>
        <v>0</v>
      </c>
      <c r="G134" s="191">
        <f t="shared" si="241"/>
        <v>0</v>
      </c>
      <c r="H134" s="191">
        <f t="shared" si="241"/>
        <v>0</v>
      </c>
      <c r="I134" s="191">
        <f t="shared" si="241"/>
        <v>0</v>
      </c>
      <c r="J134" s="191">
        <f t="shared" ref="J134:K134" si="242">J$29*(J85)*J$128</f>
        <v>0</v>
      </c>
      <c r="K134" s="191">
        <f t="shared" si="242"/>
        <v>0</v>
      </c>
    </row>
    <row r="135" spans="1:11" ht="15" hidden="1" customHeight="1" outlineLevel="1">
      <c r="A135">
        <v>6</v>
      </c>
      <c r="B135" s="191">
        <f t="shared" ref="B135" si="243">B$29*(B86)*B$128</f>
        <v>0.1950479390550626</v>
      </c>
      <c r="C135" s="191">
        <f t="shared" ref="C135:I135" si="244">C$29*(C86)*C$128</f>
        <v>0</v>
      </c>
      <c r="D135" s="191">
        <f t="shared" si="244"/>
        <v>0</v>
      </c>
      <c r="E135" s="191">
        <f t="shared" si="244"/>
        <v>0</v>
      </c>
      <c r="F135" s="191">
        <f t="shared" si="244"/>
        <v>0</v>
      </c>
      <c r="G135" s="191">
        <f t="shared" si="244"/>
        <v>0</v>
      </c>
      <c r="H135" s="191">
        <f t="shared" si="244"/>
        <v>0</v>
      </c>
      <c r="I135" s="191">
        <f t="shared" si="244"/>
        <v>0</v>
      </c>
      <c r="J135" s="191">
        <f t="shared" ref="J135:K135" si="245">J$29*(J86)*J$128</f>
        <v>0</v>
      </c>
      <c r="K135" s="191">
        <f t="shared" si="245"/>
        <v>0</v>
      </c>
    </row>
    <row r="136" spans="1:11" ht="15" hidden="1" customHeight="1" outlineLevel="1">
      <c r="A136">
        <v>7</v>
      </c>
      <c r="B136" s="191">
        <f t="shared" ref="B136" si="246">B$29*(B87)*B$128</f>
        <v>0.18782394131228253</v>
      </c>
      <c r="C136" s="191">
        <f t="shared" ref="C136:I136" si="247">C$29*(C87)*C$128</f>
        <v>0</v>
      </c>
      <c r="D136" s="191">
        <f t="shared" si="247"/>
        <v>0</v>
      </c>
      <c r="E136" s="191">
        <f t="shared" si="247"/>
        <v>0</v>
      </c>
      <c r="F136" s="191">
        <f t="shared" si="247"/>
        <v>0</v>
      </c>
      <c r="G136" s="191">
        <f t="shared" si="247"/>
        <v>0</v>
      </c>
      <c r="H136" s="191">
        <f t="shared" si="247"/>
        <v>0</v>
      </c>
      <c r="I136" s="191">
        <f t="shared" si="247"/>
        <v>0</v>
      </c>
      <c r="J136" s="191">
        <f t="shared" ref="J136:K136" si="248">J$29*(J87)*J$128</f>
        <v>0</v>
      </c>
      <c r="K136" s="191">
        <f t="shared" si="248"/>
        <v>0</v>
      </c>
    </row>
    <row r="137" spans="1:11" ht="15" hidden="1" customHeight="1" outlineLevel="1">
      <c r="A137">
        <v>8</v>
      </c>
      <c r="B137" s="191">
        <f t="shared" ref="B137" si="249">B$29*(B88)*B$128</f>
        <v>0.18059994356950237</v>
      </c>
      <c r="C137" s="191">
        <f t="shared" ref="C137:I137" si="250">C$29*(C88)*C$128</f>
        <v>0</v>
      </c>
      <c r="D137" s="191">
        <f t="shared" si="250"/>
        <v>0</v>
      </c>
      <c r="E137" s="191">
        <f t="shared" si="250"/>
        <v>0</v>
      </c>
      <c r="F137" s="191">
        <f t="shared" si="250"/>
        <v>0</v>
      </c>
      <c r="G137" s="191">
        <f t="shared" si="250"/>
        <v>0</v>
      </c>
      <c r="H137" s="191">
        <f t="shared" si="250"/>
        <v>0</v>
      </c>
      <c r="I137" s="191">
        <f t="shared" si="250"/>
        <v>0</v>
      </c>
      <c r="J137" s="191">
        <f t="shared" ref="J137:K137" si="251">J$29*(J88)*J$128</f>
        <v>0</v>
      </c>
      <c r="K137" s="191">
        <f t="shared" si="251"/>
        <v>0</v>
      </c>
    </row>
    <row r="138" spans="1:11" ht="15" hidden="1" customHeight="1" outlineLevel="1">
      <c r="A138">
        <v>9</v>
      </c>
      <c r="B138" s="191">
        <f t="shared" ref="B138" si="252">B$29*(B89)*B$128</f>
        <v>0.17337594582672231</v>
      </c>
      <c r="C138" s="191">
        <f t="shared" ref="C138:I138" si="253">C$29*(C89)*C$128</f>
        <v>0</v>
      </c>
      <c r="D138" s="191">
        <f t="shared" si="253"/>
        <v>0</v>
      </c>
      <c r="E138" s="191">
        <f t="shared" si="253"/>
        <v>0</v>
      </c>
      <c r="F138" s="191">
        <f t="shared" si="253"/>
        <v>0</v>
      </c>
      <c r="G138" s="191">
        <f t="shared" si="253"/>
        <v>0</v>
      </c>
      <c r="H138" s="191">
        <f t="shared" si="253"/>
        <v>0</v>
      </c>
      <c r="I138" s="191">
        <f t="shared" si="253"/>
        <v>0</v>
      </c>
      <c r="J138" s="191">
        <f t="shared" ref="J138:K138" si="254">J$29*(J89)*J$128</f>
        <v>0</v>
      </c>
      <c r="K138" s="191">
        <f t="shared" si="254"/>
        <v>0</v>
      </c>
    </row>
    <row r="139" spans="1:11" ht="15" hidden="1" customHeight="1" outlineLevel="1">
      <c r="A139">
        <v>10</v>
      </c>
      <c r="B139" s="191">
        <f t="shared" ref="B139" si="255">B$29*(B90)*B$128</f>
        <v>0.16615194808394221</v>
      </c>
      <c r="C139" s="191">
        <f t="shared" ref="C139:I139" si="256">C$29*(C90)*C$128</f>
        <v>0</v>
      </c>
      <c r="D139" s="191">
        <f t="shared" si="256"/>
        <v>0</v>
      </c>
      <c r="E139" s="191">
        <f t="shared" si="256"/>
        <v>0</v>
      </c>
      <c r="F139" s="191">
        <f t="shared" si="256"/>
        <v>0</v>
      </c>
      <c r="G139" s="191">
        <f t="shared" si="256"/>
        <v>0</v>
      </c>
      <c r="H139" s="191">
        <f t="shared" si="256"/>
        <v>0</v>
      </c>
      <c r="I139" s="191">
        <f t="shared" si="256"/>
        <v>0</v>
      </c>
      <c r="J139" s="191">
        <f t="shared" ref="J139:K139" si="257">J$29*(J90)*J$128</f>
        <v>0</v>
      </c>
      <c r="K139" s="191">
        <f t="shared" si="257"/>
        <v>0</v>
      </c>
    </row>
    <row r="140" spans="1:11" ht="15" customHeight="1" collapsed="1">
      <c r="A140" t="s">
        <v>497</v>
      </c>
    </row>
    <row r="141" spans="1:11" ht="15" hidden="1" customHeight="1" outlineLevel="1">
      <c r="A141">
        <v>1</v>
      </c>
      <c r="B141" s="191">
        <f>B130*$A141*(B$48/11)</f>
        <v>3.1522899241222231E-3</v>
      </c>
      <c r="C141" s="191">
        <f t="shared" ref="C141:I141" si="258">C130*$A141*(C$48/11)</f>
        <v>0</v>
      </c>
      <c r="D141" s="191">
        <f t="shared" si="258"/>
        <v>0</v>
      </c>
      <c r="E141" s="191">
        <f t="shared" si="258"/>
        <v>0</v>
      </c>
      <c r="F141" s="191">
        <f t="shared" si="258"/>
        <v>0</v>
      </c>
      <c r="G141" s="191">
        <f t="shared" si="258"/>
        <v>0</v>
      </c>
      <c r="H141" s="191">
        <f t="shared" si="258"/>
        <v>0</v>
      </c>
      <c r="I141" s="191">
        <f t="shared" si="258"/>
        <v>0</v>
      </c>
      <c r="J141" s="191">
        <f t="shared" ref="J141:K141" si="259">J130*$A141*(J$48/11)</f>
        <v>0</v>
      </c>
      <c r="K141" s="191">
        <f t="shared" si="259"/>
        <v>0</v>
      </c>
    </row>
    <row r="142" spans="1:11" ht="15" hidden="1" customHeight="1" outlineLevel="1">
      <c r="A142">
        <v>2</v>
      </c>
      <c r="B142" s="191">
        <f t="shared" ref="B142:B150" si="260">B131*$A142*(B$48/11)</f>
        <v>6.1075617279868089E-3</v>
      </c>
      <c r="C142" s="191">
        <f t="shared" ref="C142:I142" si="261">C131*$A142*(C$48/11)</f>
        <v>0</v>
      </c>
      <c r="D142" s="191">
        <f t="shared" si="261"/>
        <v>0</v>
      </c>
      <c r="E142" s="191">
        <f t="shared" si="261"/>
        <v>0</v>
      </c>
      <c r="F142" s="191">
        <f t="shared" si="261"/>
        <v>0</v>
      </c>
      <c r="G142" s="191">
        <f t="shared" si="261"/>
        <v>0</v>
      </c>
      <c r="H142" s="191">
        <f t="shared" si="261"/>
        <v>0</v>
      </c>
      <c r="I142" s="191">
        <f t="shared" si="261"/>
        <v>0</v>
      </c>
      <c r="J142" s="191">
        <f t="shared" ref="J142:K142" si="262">J131*$A142*(J$48/11)</f>
        <v>0</v>
      </c>
      <c r="K142" s="191">
        <f t="shared" si="262"/>
        <v>0</v>
      </c>
    </row>
    <row r="143" spans="1:11" ht="15" hidden="1" customHeight="1" outlineLevel="1">
      <c r="A143">
        <v>3</v>
      </c>
      <c r="B143" s="191">
        <f t="shared" si="260"/>
        <v>8.865815411593753E-3</v>
      </c>
      <c r="C143" s="191">
        <f t="shared" ref="C143:I143" si="263">C132*$A143*(C$48/11)</f>
        <v>0</v>
      </c>
      <c r="D143" s="191">
        <f t="shared" si="263"/>
        <v>0</v>
      </c>
      <c r="E143" s="191">
        <f t="shared" si="263"/>
        <v>0</v>
      </c>
      <c r="F143" s="191">
        <f t="shared" si="263"/>
        <v>0</v>
      </c>
      <c r="G143" s="191">
        <f t="shared" si="263"/>
        <v>0</v>
      </c>
      <c r="H143" s="191">
        <f t="shared" si="263"/>
        <v>0</v>
      </c>
      <c r="I143" s="191">
        <f t="shared" si="263"/>
        <v>0</v>
      </c>
      <c r="J143" s="191">
        <f t="shared" ref="J143:K143" si="264">J132*$A143*(J$48/11)</f>
        <v>0</v>
      </c>
      <c r="K143" s="191">
        <f t="shared" si="264"/>
        <v>0</v>
      </c>
    </row>
    <row r="144" spans="1:11" ht="15" hidden="1" customHeight="1" outlineLevel="1">
      <c r="A144">
        <v>4</v>
      </c>
      <c r="B144" s="191">
        <f t="shared" si="260"/>
        <v>1.1427050974943063E-2</v>
      </c>
      <c r="C144" s="191">
        <f t="shared" ref="C144:I144" si="265">C133*$A144*(C$48/11)</f>
        <v>0</v>
      </c>
      <c r="D144" s="191">
        <f t="shared" si="265"/>
        <v>0</v>
      </c>
      <c r="E144" s="191">
        <f t="shared" si="265"/>
        <v>0</v>
      </c>
      <c r="F144" s="191">
        <f t="shared" si="265"/>
        <v>0</v>
      </c>
      <c r="G144" s="191">
        <f t="shared" si="265"/>
        <v>0</v>
      </c>
      <c r="H144" s="191">
        <f t="shared" si="265"/>
        <v>0</v>
      </c>
      <c r="I144" s="191">
        <f t="shared" si="265"/>
        <v>0</v>
      </c>
      <c r="J144" s="191">
        <f t="shared" ref="J144:K144" si="266">J133*$A144*(J$48/11)</f>
        <v>0</v>
      </c>
      <c r="K144" s="191">
        <f t="shared" si="266"/>
        <v>0</v>
      </c>
    </row>
    <row r="145" spans="1:11" ht="15" hidden="1" customHeight="1" outlineLevel="1">
      <c r="A145">
        <v>5</v>
      </c>
      <c r="B145" s="191">
        <f t="shared" si="260"/>
        <v>1.3791268418034727E-2</v>
      </c>
      <c r="C145" s="191">
        <f t="shared" ref="C145:I145" si="267">C134*$A145*(C$48/11)</f>
        <v>0</v>
      </c>
      <c r="D145" s="191">
        <f t="shared" si="267"/>
        <v>0</v>
      </c>
      <c r="E145" s="191">
        <f t="shared" si="267"/>
        <v>0</v>
      </c>
      <c r="F145" s="191">
        <f t="shared" si="267"/>
        <v>0</v>
      </c>
      <c r="G145" s="191">
        <f t="shared" si="267"/>
        <v>0</v>
      </c>
      <c r="H145" s="191">
        <f t="shared" si="267"/>
        <v>0</v>
      </c>
      <c r="I145" s="191">
        <f t="shared" si="267"/>
        <v>0</v>
      </c>
      <c r="J145" s="191">
        <f t="shared" ref="J145:K145" si="268">J134*$A145*(J$48/11)</f>
        <v>0</v>
      </c>
      <c r="K145" s="191">
        <f t="shared" si="268"/>
        <v>0</v>
      </c>
    </row>
    <row r="146" spans="1:11" ht="15" hidden="1" customHeight="1" outlineLevel="1">
      <c r="A146">
        <v>6</v>
      </c>
      <c r="B146" s="191">
        <f t="shared" si="260"/>
        <v>1.5958467740868759E-2</v>
      </c>
      <c r="C146" s="191">
        <f t="shared" ref="C146:I146" si="269">C135*$A146*(C$48/11)</f>
        <v>0</v>
      </c>
      <c r="D146" s="191">
        <f t="shared" si="269"/>
        <v>0</v>
      </c>
      <c r="E146" s="191">
        <f t="shared" si="269"/>
        <v>0</v>
      </c>
      <c r="F146" s="191">
        <f t="shared" si="269"/>
        <v>0</v>
      </c>
      <c r="G146" s="191">
        <f t="shared" si="269"/>
        <v>0</v>
      </c>
      <c r="H146" s="191">
        <f t="shared" si="269"/>
        <v>0</v>
      </c>
      <c r="I146" s="191">
        <f t="shared" si="269"/>
        <v>0</v>
      </c>
      <c r="J146" s="191">
        <f t="shared" ref="J146:K146" si="270">J135*$A146*(J$48/11)</f>
        <v>0</v>
      </c>
      <c r="K146" s="191">
        <f t="shared" si="270"/>
        <v>0</v>
      </c>
    </row>
    <row r="147" spans="1:11" ht="15" hidden="1" customHeight="1" outlineLevel="1">
      <c r="A147">
        <v>7</v>
      </c>
      <c r="B147" s="191">
        <f t="shared" si="260"/>
        <v>1.7928648943445147E-2</v>
      </c>
      <c r="C147" s="191">
        <f t="shared" ref="C147:I147" si="271">C136*$A147*(C$48/11)</f>
        <v>0</v>
      </c>
      <c r="D147" s="191">
        <f t="shared" si="271"/>
        <v>0</v>
      </c>
      <c r="E147" s="191">
        <f t="shared" si="271"/>
        <v>0</v>
      </c>
      <c r="F147" s="191">
        <f t="shared" si="271"/>
        <v>0</v>
      </c>
      <c r="G147" s="191">
        <f t="shared" si="271"/>
        <v>0</v>
      </c>
      <c r="H147" s="191">
        <f t="shared" si="271"/>
        <v>0</v>
      </c>
      <c r="I147" s="191">
        <f t="shared" si="271"/>
        <v>0</v>
      </c>
      <c r="J147" s="191">
        <f t="shared" ref="J147:K147" si="272">J136*$A147*(J$48/11)</f>
        <v>0</v>
      </c>
      <c r="K147" s="191">
        <f t="shared" si="272"/>
        <v>0</v>
      </c>
    </row>
    <row r="148" spans="1:11" ht="15" hidden="1" customHeight="1" outlineLevel="1">
      <c r="A148">
        <v>8</v>
      </c>
      <c r="B148" s="191">
        <f t="shared" si="260"/>
        <v>1.9701812025763894E-2</v>
      </c>
      <c r="C148" s="191">
        <f t="shared" ref="C148:I148" si="273">C137*$A148*(C$48/11)</f>
        <v>0</v>
      </c>
      <c r="D148" s="191">
        <f t="shared" si="273"/>
        <v>0</v>
      </c>
      <c r="E148" s="191">
        <f t="shared" si="273"/>
        <v>0</v>
      </c>
      <c r="F148" s="191">
        <f t="shared" si="273"/>
        <v>0</v>
      </c>
      <c r="G148" s="191">
        <f t="shared" si="273"/>
        <v>0</v>
      </c>
      <c r="H148" s="191">
        <f t="shared" si="273"/>
        <v>0</v>
      </c>
      <c r="I148" s="191">
        <f t="shared" si="273"/>
        <v>0</v>
      </c>
      <c r="J148" s="191">
        <f t="shared" ref="J148:K148" si="274">J137*$A148*(J$48/11)</f>
        <v>0</v>
      </c>
      <c r="K148" s="191">
        <f t="shared" si="274"/>
        <v>0</v>
      </c>
    </row>
    <row r="149" spans="1:11" ht="15" hidden="1" customHeight="1" outlineLevel="1">
      <c r="A149">
        <v>9</v>
      </c>
      <c r="B149" s="191">
        <f t="shared" si="260"/>
        <v>2.127795698782501E-2</v>
      </c>
      <c r="C149" s="191">
        <f t="shared" ref="C149:I149" si="275">C138*$A149*(C$48/11)</f>
        <v>0</v>
      </c>
      <c r="D149" s="191">
        <f t="shared" si="275"/>
        <v>0</v>
      </c>
      <c r="E149" s="191">
        <f t="shared" si="275"/>
        <v>0</v>
      </c>
      <c r="F149" s="191">
        <f t="shared" si="275"/>
        <v>0</v>
      </c>
      <c r="G149" s="191">
        <f t="shared" si="275"/>
        <v>0</v>
      </c>
      <c r="H149" s="191">
        <f t="shared" si="275"/>
        <v>0</v>
      </c>
      <c r="I149" s="191">
        <f t="shared" si="275"/>
        <v>0</v>
      </c>
      <c r="J149" s="191">
        <f t="shared" ref="J149:K149" si="276">J138*$A149*(J$48/11)</f>
        <v>0</v>
      </c>
      <c r="K149" s="191">
        <f t="shared" si="276"/>
        <v>0</v>
      </c>
    </row>
    <row r="150" spans="1:11" ht="15" hidden="1" customHeight="1" outlineLevel="1">
      <c r="A150">
        <v>10</v>
      </c>
      <c r="B150" s="191">
        <f t="shared" si="260"/>
        <v>2.2657083829628482E-2</v>
      </c>
      <c r="C150" s="191">
        <f t="shared" ref="C150:I150" si="277">C139*$A150*(C$48/11)</f>
        <v>0</v>
      </c>
      <c r="D150" s="191">
        <f t="shared" si="277"/>
        <v>0</v>
      </c>
      <c r="E150" s="191">
        <f t="shared" si="277"/>
        <v>0</v>
      </c>
      <c r="F150" s="191">
        <f t="shared" si="277"/>
        <v>0</v>
      </c>
      <c r="G150" s="191">
        <f t="shared" si="277"/>
        <v>0</v>
      </c>
      <c r="H150" s="191">
        <f t="shared" si="277"/>
        <v>0</v>
      </c>
      <c r="I150" s="191">
        <f t="shared" si="277"/>
        <v>0</v>
      </c>
      <c r="J150" s="191">
        <f t="shared" ref="J150:K150" si="278">J139*$A150*(J$48/11)</f>
        <v>0</v>
      </c>
      <c r="K150" s="191">
        <f t="shared" si="278"/>
        <v>0</v>
      </c>
    </row>
    <row r="151" spans="1:11" ht="15" customHeight="1" collapsed="1">
      <c r="A151" t="s">
        <v>499</v>
      </c>
      <c r="B151" s="191">
        <f>SUM(B130:B139)</f>
        <v>1.9865993792645265</v>
      </c>
      <c r="C151" s="191">
        <f t="shared" ref="C151:I151" si="279">SUM(C130:C139)</f>
        <v>0</v>
      </c>
      <c r="D151" s="191">
        <f t="shared" si="279"/>
        <v>0</v>
      </c>
      <c r="E151" s="191">
        <f t="shared" si="279"/>
        <v>0</v>
      </c>
      <c r="F151" s="191">
        <f t="shared" si="279"/>
        <v>0</v>
      </c>
      <c r="G151" s="191">
        <f t="shared" si="279"/>
        <v>0</v>
      </c>
      <c r="H151" s="191">
        <f t="shared" si="279"/>
        <v>0</v>
      </c>
      <c r="I151" s="191">
        <f t="shared" si="279"/>
        <v>0</v>
      </c>
      <c r="J151" s="191">
        <f t="shared" ref="J151:K151" si="280">SUM(J130:J139)</f>
        <v>0</v>
      </c>
      <c r="K151" s="191">
        <f t="shared" si="280"/>
        <v>0</v>
      </c>
    </row>
    <row r="152" spans="1:11" ht="15" customHeight="1">
      <c r="A152" t="s">
        <v>498</v>
      </c>
      <c r="B152" s="191">
        <f>SUM(B141:B150)</f>
        <v>0.14086795598421187</v>
      </c>
      <c r="C152" s="191">
        <f t="shared" ref="C152:I152" si="281">SUM(C141:C150)</f>
        <v>0</v>
      </c>
      <c r="D152" s="191">
        <f t="shared" si="281"/>
        <v>0</v>
      </c>
      <c r="E152" s="191">
        <f t="shared" si="281"/>
        <v>0</v>
      </c>
      <c r="F152" s="191">
        <f t="shared" si="281"/>
        <v>0</v>
      </c>
      <c r="G152" s="191">
        <f t="shared" si="281"/>
        <v>0</v>
      </c>
      <c r="H152" s="191">
        <f t="shared" si="281"/>
        <v>0</v>
      </c>
      <c r="I152" s="191">
        <f t="shared" si="281"/>
        <v>0</v>
      </c>
      <c r="J152" s="191">
        <f t="shared" ref="J152:K152" si="282">SUM(J141:J150)</f>
        <v>0</v>
      </c>
      <c r="K152" s="191">
        <f t="shared" si="282"/>
        <v>0</v>
      </c>
    </row>
    <row r="153" spans="1:11" ht="15" customHeight="1">
      <c r="A153" s="275" t="s">
        <v>382</v>
      </c>
      <c r="B153" s="191">
        <f t="shared" ref="B153" si="283">(2*B151)/(B29*B91)</f>
        <v>0.91421540035381643</v>
      </c>
      <c r="C153" s="191">
        <f t="shared" ref="C153:I153" si="284">(2*C151)/(C29*C91)</f>
        <v>0</v>
      </c>
      <c r="D153" s="191">
        <f t="shared" si="284"/>
        <v>0</v>
      </c>
      <c r="E153" s="191">
        <f t="shared" si="284"/>
        <v>0</v>
      </c>
      <c r="F153" s="191">
        <f t="shared" si="284"/>
        <v>0</v>
      </c>
      <c r="G153" s="191">
        <f t="shared" si="284"/>
        <v>0</v>
      </c>
      <c r="H153" s="191">
        <f t="shared" si="284"/>
        <v>0</v>
      </c>
      <c r="I153" s="191">
        <f t="shared" si="284"/>
        <v>0</v>
      </c>
      <c r="J153" s="191">
        <f t="shared" ref="J153:K153" si="285">(2*J151)/(J29*J91)</f>
        <v>0</v>
      </c>
      <c r="K153" s="191">
        <f t="shared" si="285"/>
        <v>0</v>
      </c>
    </row>
    <row r="154" spans="1:11" ht="15" customHeight="1">
      <c r="A154" s="275" t="s">
        <v>500</v>
      </c>
      <c r="B154" s="191">
        <f>(B152/B151)*100</f>
        <v>7.0909090909090908</v>
      </c>
      <c r="C154" s="191" t="e">
        <f t="shared" ref="C154:I154" si="286">(C152/C151)*100</f>
        <v>#DIV/0!</v>
      </c>
      <c r="D154" s="191" t="e">
        <f t="shared" si="286"/>
        <v>#DIV/0!</v>
      </c>
      <c r="E154" s="191" t="e">
        <f t="shared" si="286"/>
        <v>#DIV/0!</v>
      </c>
      <c r="F154" s="191" t="e">
        <f t="shared" si="286"/>
        <v>#DIV/0!</v>
      </c>
      <c r="G154" s="191" t="e">
        <f t="shared" si="286"/>
        <v>#DIV/0!</v>
      </c>
      <c r="H154" s="191" t="e">
        <f t="shared" si="286"/>
        <v>#DIV/0!</v>
      </c>
      <c r="I154" s="191" t="e">
        <f t="shared" si="286"/>
        <v>#DIV/0!</v>
      </c>
      <c r="J154" s="191" t="e">
        <f t="shared" ref="J154:K154" si="287">(J152/J151)*100</f>
        <v>#DIV/0!</v>
      </c>
      <c r="K154" s="191" t="e">
        <f t="shared" si="287"/>
        <v>#DIV/0!</v>
      </c>
    </row>
    <row r="155" spans="1:11" ht="15" customHeight="1">
      <c r="A155" t="s">
        <v>383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7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4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4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4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6" t="s">
        <v>487</v>
      </c>
      <c r="B163" s="263">
        <f>AVERAGE(B164:B168)</f>
        <v>7.1191308614214271E-2</v>
      </c>
      <c r="C163" s="263">
        <f t="shared" ref="C163:I163" si="288">AVERAGE(C164:C168)</f>
        <v>7.1191308614214271E-2</v>
      </c>
      <c r="D163" s="263">
        <f t="shared" si="288"/>
        <v>7.1191308614214271E-2</v>
      </c>
      <c r="E163" s="263">
        <f t="shared" si="288"/>
        <v>7.1191308614214271E-2</v>
      </c>
      <c r="F163" s="263">
        <f t="shared" si="288"/>
        <v>7.1191308614214271E-2</v>
      </c>
      <c r="G163" s="263">
        <f t="shared" si="288"/>
        <v>7.1191308614214271E-2</v>
      </c>
      <c r="H163" s="263">
        <f t="shared" si="288"/>
        <v>7.1191308614214271E-2</v>
      </c>
      <c r="I163" s="263">
        <f t="shared" si="288"/>
        <v>7.1191308614214271E-2</v>
      </c>
      <c r="J163" s="263">
        <f t="shared" ref="J163" si="289">AVERAGE(J164:J168)</f>
        <v>7.1191308614214271E-2</v>
      </c>
      <c r="K163" s="263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3">
        <f t="shared" ref="B164:B168" si="291">(B157-B156)/($A157-$A156)</f>
        <v>7.1191308614214202E-2</v>
      </c>
      <c r="C164" s="263">
        <f t="shared" ref="C164:I164" si="292">(C157-C156)/($A157-$A156)</f>
        <v>7.1191308614214202E-2</v>
      </c>
      <c r="D164" s="263">
        <f t="shared" si="292"/>
        <v>7.1191308614214202E-2</v>
      </c>
      <c r="E164" s="263">
        <f t="shared" si="292"/>
        <v>7.1191308614214202E-2</v>
      </c>
      <c r="F164" s="263">
        <f t="shared" si="292"/>
        <v>7.1191308614214202E-2</v>
      </c>
      <c r="G164" s="263">
        <f t="shared" si="292"/>
        <v>7.1191308614214202E-2</v>
      </c>
      <c r="H164" s="263">
        <f t="shared" si="292"/>
        <v>7.1191308614214202E-2</v>
      </c>
      <c r="I164" s="263">
        <f t="shared" si="292"/>
        <v>7.1191308614214202E-2</v>
      </c>
      <c r="J164" s="263">
        <f t="shared" ref="J164:K164" si="293">(J157-J156)/($A157-$A156)</f>
        <v>7.1191308614214202E-2</v>
      </c>
      <c r="K164" s="263">
        <f t="shared" si="293"/>
        <v>7.1191308614214202E-2</v>
      </c>
    </row>
    <row r="165" spans="1:11" ht="15" hidden="1" customHeight="1" outlineLevel="1">
      <c r="A165">
        <v>5</v>
      </c>
      <c r="B165" s="263">
        <f t="shared" si="291"/>
        <v>7.1191308614214355E-2</v>
      </c>
      <c r="C165" s="263">
        <f t="shared" ref="C165:I165" si="294">(C158-C157)/($A158-$A157)</f>
        <v>7.1191308614214355E-2</v>
      </c>
      <c r="D165" s="263">
        <f t="shared" si="294"/>
        <v>7.1191308614214355E-2</v>
      </c>
      <c r="E165" s="263">
        <f t="shared" si="294"/>
        <v>7.1191308614214355E-2</v>
      </c>
      <c r="F165" s="263">
        <f t="shared" si="294"/>
        <v>7.1191308614214355E-2</v>
      </c>
      <c r="G165" s="263">
        <f t="shared" si="294"/>
        <v>7.1191308614214355E-2</v>
      </c>
      <c r="H165" s="263">
        <f t="shared" si="294"/>
        <v>7.1191308614214355E-2</v>
      </c>
      <c r="I165" s="263">
        <f t="shared" si="294"/>
        <v>7.1191308614214355E-2</v>
      </c>
      <c r="J165" s="263">
        <f t="shared" ref="J165:K165" si="295">(J158-J157)/($A158-$A157)</f>
        <v>7.1191308614214355E-2</v>
      </c>
      <c r="K165" s="263">
        <f t="shared" si="295"/>
        <v>7.1191308614214355E-2</v>
      </c>
    </row>
    <row r="166" spans="1:11" ht="15" hidden="1" customHeight="1" outlineLevel="1">
      <c r="A166">
        <v>10</v>
      </c>
      <c r="B166" s="263">
        <f t="shared" si="291"/>
        <v>7.1191308614214271E-2</v>
      </c>
      <c r="C166" s="263">
        <f t="shared" ref="C166:I166" si="296">(C159-C158)/($A159-$A158)</f>
        <v>7.1191308614214271E-2</v>
      </c>
      <c r="D166" s="263">
        <f t="shared" si="296"/>
        <v>7.1191308614214271E-2</v>
      </c>
      <c r="E166" s="263">
        <f t="shared" si="296"/>
        <v>7.1191308614214271E-2</v>
      </c>
      <c r="F166" s="263">
        <f t="shared" si="296"/>
        <v>7.1191308614214271E-2</v>
      </c>
      <c r="G166" s="263">
        <f t="shared" si="296"/>
        <v>7.1191308614214271E-2</v>
      </c>
      <c r="H166" s="263">
        <f t="shared" si="296"/>
        <v>7.1191308614214271E-2</v>
      </c>
      <c r="I166" s="263">
        <f t="shared" si="296"/>
        <v>7.1191308614214271E-2</v>
      </c>
      <c r="J166" s="263">
        <f t="shared" ref="J166:K166" si="297">(J159-J158)/($A159-$A158)</f>
        <v>7.1191308614214271E-2</v>
      </c>
      <c r="K166" s="263">
        <f t="shared" si="297"/>
        <v>7.1191308614214271E-2</v>
      </c>
    </row>
    <row r="167" spans="1:11" ht="15" hidden="1" customHeight="1" outlineLevel="1">
      <c r="A167">
        <v>15</v>
      </c>
      <c r="B167" s="263">
        <f t="shared" si="291"/>
        <v>7.1191308614214271E-2</v>
      </c>
      <c r="C167" s="263">
        <f t="shared" ref="C167:I167" si="298">(C160-C159)/($A160-$A159)</f>
        <v>7.1191308614214271E-2</v>
      </c>
      <c r="D167" s="263">
        <f t="shared" si="298"/>
        <v>7.1191308614214271E-2</v>
      </c>
      <c r="E167" s="263">
        <f t="shared" si="298"/>
        <v>7.1191308614214271E-2</v>
      </c>
      <c r="F167" s="263">
        <f t="shared" si="298"/>
        <v>7.1191308614214271E-2</v>
      </c>
      <c r="G167" s="263">
        <f t="shared" si="298"/>
        <v>7.1191308614214271E-2</v>
      </c>
      <c r="H167" s="263">
        <f t="shared" si="298"/>
        <v>7.1191308614214271E-2</v>
      </c>
      <c r="I167" s="263">
        <f t="shared" si="298"/>
        <v>7.1191308614214271E-2</v>
      </c>
      <c r="J167" s="263">
        <f t="shared" ref="J167:K167" si="299">(J160-J159)/($A160-$A159)</f>
        <v>7.1191308614214271E-2</v>
      </c>
      <c r="K167" s="263">
        <f t="shared" si="299"/>
        <v>7.1191308614214271E-2</v>
      </c>
    </row>
    <row r="168" spans="1:11" ht="15" hidden="1" customHeight="1" outlineLevel="1">
      <c r="A168">
        <v>20</v>
      </c>
      <c r="B168" s="263">
        <f t="shared" si="291"/>
        <v>7.1191308614214271E-2</v>
      </c>
      <c r="C168" s="263">
        <f t="shared" ref="C168:I168" si="300">(C161-C160)/($A161-$A160)</f>
        <v>7.1191308614214271E-2</v>
      </c>
      <c r="D168" s="263">
        <f t="shared" si="300"/>
        <v>7.1191308614214271E-2</v>
      </c>
      <c r="E168" s="263">
        <f t="shared" si="300"/>
        <v>7.1191308614214271E-2</v>
      </c>
      <c r="F168" s="263">
        <f t="shared" si="300"/>
        <v>7.1191308614214271E-2</v>
      </c>
      <c r="G168" s="263">
        <f t="shared" si="300"/>
        <v>7.1191308614214271E-2</v>
      </c>
      <c r="H168" s="263">
        <f t="shared" si="300"/>
        <v>7.1191308614214271E-2</v>
      </c>
      <c r="I168" s="263">
        <f t="shared" si="300"/>
        <v>7.1191308614214271E-2</v>
      </c>
      <c r="J168" s="263">
        <f t="shared" ref="J168:K168" si="301">(J161-J160)/($A161-$A160)</f>
        <v>7.1191308614214271E-2</v>
      </c>
      <c r="K168" s="263">
        <f t="shared" si="301"/>
        <v>7.1191308614214271E-2</v>
      </c>
    </row>
    <row r="169" spans="1:11" ht="15" customHeight="1" collapsed="1">
      <c r="A169" s="191"/>
    </row>
    <row r="170" spans="1:11" ht="15" customHeight="1">
      <c r="A170" s="273" t="s">
        <v>493</v>
      </c>
    </row>
    <row r="171" spans="1:11" ht="15" customHeight="1">
      <c r="A171" t="s">
        <v>523</v>
      </c>
    </row>
    <row r="172" spans="1:11" ht="15" customHeight="1" outlineLevel="1">
      <c r="A172">
        <v>0.06</v>
      </c>
      <c r="B172" s="263">
        <v>1.7811871342984904</v>
      </c>
      <c r="C172" s="263"/>
      <c r="D172" s="263"/>
      <c r="E172" s="263"/>
      <c r="F172" s="263"/>
      <c r="G172" s="263"/>
      <c r="H172" s="263"/>
      <c r="I172" s="263"/>
      <c r="J172" s="263"/>
      <c r="K172" s="263"/>
    </row>
    <row r="173" spans="1:11" ht="15" customHeight="1" outlineLevel="1">
      <c r="A173">
        <v>0.1</v>
      </c>
      <c r="B173" s="263">
        <v>1.7868999999999999</v>
      </c>
      <c r="C173" s="263"/>
      <c r="D173" s="263"/>
      <c r="E173" s="263"/>
      <c r="F173" s="263"/>
      <c r="G173" s="263"/>
      <c r="H173" s="263"/>
      <c r="I173" s="263"/>
      <c r="J173" s="263"/>
      <c r="K173" s="263"/>
    </row>
    <row r="174" spans="1:11" ht="15" customHeight="1" outlineLevel="1">
      <c r="A174">
        <v>0.3</v>
      </c>
      <c r="B174" s="263">
        <v>1.8637999999999999</v>
      </c>
      <c r="C174" s="263"/>
      <c r="D174" s="263"/>
      <c r="E174" s="263"/>
      <c r="F174" s="263"/>
      <c r="G174" s="263"/>
      <c r="H174" s="263"/>
      <c r="I174" s="263"/>
      <c r="J174" s="263"/>
      <c r="K174" s="263"/>
    </row>
    <row r="175" spans="1:11" ht="15" customHeight="1" outlineLevel="1">
      <c r="A175">
        <v>0.5</v>
      </c>
      <c r="B175" s="263">
        <v>2.0529999999999999</v>
      </c>
      <c r="C175" s="263"/>
      <c r="D175" s="263"/>
      <c r="E175" s="263"/>
      <c r="F175" s="263"/>
      <c r="G175" s="263"/>
      <c r="H175" s="263"/>
      <c r="I175" s="263"/>
      <c r="J175" s="263"/>
      <c r="K175" s="263"/>
    </row>
    <row r="176" spans="1:11" ht="15" customHeight="1" outlineLevel="1">
      <c r="A176">
        <v>0.7</v>
      </c>
      <c r="B176" s="263">
        <v>2.4897</v>
      </c>
      <c r="C176" s="263"/>
      <c r="D176" s="263"/>
      <c r="E176" s="263"/>
      <c r="F176" s="263"/>
      <c r="G176" s="263"/>
      <c r="H176" s="263"/>
      <c r="I176" s="263"/>
      <c r="J176" s="263"/>
      <c r="K176" s="263"/>
    </row>
    <row r="177" spans="1:11" ht="15" customHeight="1" outlineLevel="1">
      <c r="A177">
        <v>1</v>
      </c>
      <c r="B177" s="263">
        <v>28.213824634343929</v>
      </c>
      <c r="C177" s="263"/>
      <c r="D177" s="263"/>
      <c r="E177" s="263"/>
      <c r="F177" s="263"/>
      <c r="G177" s="263"/>
      <c r="H177" s="263"/>
      <c r="I177" s="263"/>
      <c r="J177" s="263"/>
      <c r="K177" s="263"/>
    </row>
    <row r="178" spans="1:11" ht="15" customHeight="1" outlineLevel="1">
      <c r="A178">
        <v>1.5</v>
      </c>
      <c r="B178" s="263">
        <v>3.5777000000000001</v>
      </c>
      <c r="C178" s="263"/>
      <c r="D178" s="263"/>
      <c r="E178" s="263"/>
      <c r="F178" s="263"/>
      <c r="G178" s="263"/>
      <c r="H178" s="263"/>
      <c r="I178" s="263"/>
      <c r="J178" s="263"/>
      <c r="K178" s="263"/>
    </row>
    <row r="179" spans="1:11" ht="15" customHeight="1" outlineLevel="1">
      <c r="A179">
        <v>2</v>
      </c>
      <c r="B179" s="263">
        <v>2.3094000000000001</v>
      </c>
      <c r="C179" s="263"/>
      <c r="D179" s="263"/>
      <c r="E179" s="263"/>
      <c r="F179" s="263"/>
      <c r="G179" s="263"/>
      <c r="H179" s="263"/>
      <c r="I179" s="263"/>
      <c r="J179" s="263"/>
      <c r="K179" s="263"/>
    </row>
    <row r="180" spans="1:11" ht="15" customHeight="1" outlineLevel="1">
      <c r="A180">
        <v>3</v>
      </c>
      <c r="B180" s="263">
        <v>1.4141999999999999</v>
      </c>
      <c r="C180" s="263"/>
      <c r="D180" s="263"/>
      <c r="E180" s="263"/>
      <c r="F180" s="263"/>
      <c r="G180" s="263"/>
      <c r="H180" s="263"/>
      <c r="I180" s="263"/>
      <c r="J180" s="263"/>
      <c r="K180" s="263"/>
    </row>
    <row r="181" spans="1:11" ht="15" customHeight="1" outlineLevel="1">
      <c r="A181">
        <v>5</v>
      </c>
      <c r="B181" s="263">
        <v>0.8165</v>
      </c>
      <c r="C181" s="263"/>
      <c r="D181" s="263"/>
      <c r="E181" s="263"/>
      <c r="F181" s="263"/>
      <c r="G181" s="263"/>
      <c r="H181" s="263"/>
      <c r="I181" s="263"/>
      <c r="J181" s="263"/>
      <c r="K181" s="263"/>
    </row>
    <row r="183" spans="1:11" ht="15" customHeight="1">
      <c r="A183" s="283" t="s">
        <v>507</v>
      </c>
    </row>
    <row r="184" spans="1:11" ht="15" customHeight="1">
      <c r="A184" s="290" t="s">
        <v>508</v>
      </c>
    </row>
    <row r="185" spans="1:11" ht="15" customHeight="1">
      <c r="A185" t="s">
        <v>513</v>
      </c>
      <c r="B185" s="191">
        <f>IF(B6&lt;1,B93,B94)</f>
        <v>1.7460228002045515</v>
      </c>
      <c r="C185" s="191">
        <f t="shared" ref="C185:I185" si="302">IF(C6&lt;1,C93,C94)</f>
        <v>1.7516574184821574</v>
      </c>
      <c r="D185" s="191">
        <f t="shared" si="302"/>
        <v>1.8270316629357042</v>
      </c>
      <c r="E185" s="191">
        <f t="shared" si="302"/>
        <v>2.0125011551487666</v>
      </c>
      <c r="F185" s="191">
        <f t="shared" si="302"/>
        <v>2.4405161277517413</v>
      </c>
      <c r="G185" s="191">
        <f t="shared" si="302"/>
        <v>28.213824634343929</v>
      </c>
      <c r="H185" s="191">
        <f t="shared" si="302"/>
        <v>3.5777087639996634</v>
      </c>
      <c r="I185" s="191">
        <f t="shared" si="302"/>
        <v>2.3094010767585034</v>
      </c>
      <c r="J185" s="191">
        <f t="shared" ref="J185:K185" si="303">IF(J6&lt;1,J93,J94)</f>
        <v>1.4142135623730949</v>
      </c>
      <c r="K185" s="191">
        <f t="shared" si="303"/>
        <v>0.81649658092772615</v>
      </c>
    </row>
    <row r="186" spans="1:11" ht="15" customHeight="1">
      <c r="A186" t="s">
        <v>509</v>
      </c>
      <c r="B186" s="191">
        <v>1.5</v>
      </c>
      <c r="C186" s="191">
        <v>1.5</v>
      </c>
      <c r="D186" s="191">
        <v>1.5</v>
      </c>
      <c r="E186" s="191">
        <v>1.5</v>
      </c>
      <c r="F186" s="191">
        <v>1.5</v>
      </c>
      <c r="G186" s="191">
        <v>1.5</v>
      </c>
      <c r="H186" s="191">
        <v>1.5</v>
      </c>
      <c r="I186" s="191">
        <v>1.5</v>
      </c>
      <c r="J186" s="191">
        <v>1.5</v>
      </c>
      <c r="K186" s="191">
        <v>1.5</v>
      </c>
    </row>
    <row r="187" spans="1:11" ht="15" customHeight="1">
      <c r="A187" t="s">
        <v>510</v>
      </c>
      <c r="B187" s="191">
        <f>B34*B186</f>
        <v>0.12</v>
      </c>
      <c r="C187" s="191">
        <f t="shared" ref="C187:I187" si="304">C34*C186</f>
        <v>0.12</v>
      </c>
      <c r="D187" s="191">
        <f t="shared" si="304"/>
        <v>0.12</v>
      </c>
      <c r="E187" s="191">
        <f t="shared" si="304"/>
        <v>0.12</v>
      </c>
      <c r="F187" s="191">
        <f t="shared" si="304"/>
        <v>0.12</v>
      </c>
      <c r="G187" s="191">
        <f t="shared" si="304"/>
        <v>0.12</v>
      </c>
      <c r="H187" s="191">
        <f t="shared" si="304"/>
        <v>0.12</v>
      </c>
      <c r="I187" s="191">
        <f t="shared" si="304"/>
        <v>0.12</v>
      </c>
      <c r="J187" s="191">
        <f t="shared" ref="J187" si="305">J34*J186</f>
        <v>0.12</v>
      </c>
      <c r="K187" s="191">
        <f t="shared" ref="K187" si="306">K34*K186</f>
        <v>0.12</v>
      </c>
    </row>
    <row r="188" spans="1:11" ht="15" customHeight="1">
      <c r="A188" t="s">
        <v>514</v>
      </c>
      <c r="B188" s="287">
        <v>2</v>
      </c>
      <c r="C188" s="287">
        <v>2</v>
      </c>
      <c r="D188" s="287">
        <v>2</v>
      </c>
      <c r="E188" s="287">
        <v>2</v>
      </c>
      <c r="F188" s="287">
        <v>2</v>
      </c>
      <c r="G188" s="287">
        <v>2</v>
      </c>
      <c r="H188" s="287">
        <v>2</v>
      </c>
      <c r="I188" s="287">
        <v>2</v>
      </c>
      <c r="J188" s="287">
        <v>2</v>
      </c>
      <c r="K188" s="287">
        <v>2</v>
      </c>
    </row>
    <row r="189" spans="1:11" ht="15" hidden="1" customHeight="1" outlineLevel="1">
      <c r="A189">
        <v>0.1</v>
      </c>
      <c r="B189" s="191">
        <f t="shared" ref="B189:B197" si="307">ATAN((-B$187*$A189)/B$3)</f>
        <v>-6.0867428441365628E-4</v>
      </c>
      <c r="C189" s="191">
        <f t="shared" ref="C189:K189" si="308">ATAN((-C$187*$A189)/C$3)</f>
        <v>-3.5264425116361204E-4</v>
      </c>
      <c r="D189" s="191">
        <f t="shared" si="308"/>
        <v>-1.1754808805247553E-4</v>
      </c>
      <c r="E189" s="191">
        <f t="shared" si="308"/>
        <v>-7.0528853039386374E-5</v>
      </c>
      <c r="F189" s="191">
        <f t="shared" si="308"/>
        <v>-5.0377752211903743E-5</v>
      </c>
      <c r="G189" s="191">
        <f t="shared" si="308"/>
        <v>-3.5264426563547315E-5</v>
      </c>
      <c r="H189" s="191">
        <f t="shared" si="308"/>
        <v>-2.3509617714445632E-5</v>
      </c>
      <c r="I189" s="191">
        <f t="shared" si="308"/>
        <v>-1.7632213287255421E-5</v>
      </c>
      <c r="J189" s="191">
        <f t="shared" si="308"/>
        <v>-1.1754808858847044E-5</v>
      </c>
      <c r="K189" s="191">
        <f t="shared" si="308"/>
        <v>-7.052885315516126E-6</v>
      </c>
    </row>
    <row r="190" spans="1:11" ht="15" hidden="1" customHeight="1" outlineLevel="1">
      <c r="A190">
        <v>0.5</v>
      </c>
      <c r="B190" s="191">
        <f t="shared" si="307"/>
        <v>-3.0433624019443671E-3</v>
      </c>
      <c r="C190" s="191">
        <f t="shared" ref="C190:K197" si="309">ATAN((-C$187*$A190)/C$3)</f>
        <v>-1.7632195016563466E-3</v>
      </c>
      <c r="D190" s="191">
        <f t="shared" si="309"/>
        <v>-5.8774037529331325E-4</v>
      </c>
      <c r="E190" s="191">
        <f t="shared" si="309"/>
        <v>-3.5264425116361198E-4</v>
      </c>
      <c r="F190" s="191">
        <f t="shared" si="309"/>
        <v>-2.5188875594533489E-4</v>
      </c>
      <c r="G190" s="191">
        <f t="shared" si="309"/>
        <v>-1.7632213106357145E-4</v>
      </c>
      <c r="H190" s="191">
        <f t="shared" si="309"/>
        <v>-1.1754808805247553E-4</v>
      </c>
      <c r="I190" s="191">
        <f t="shared" si="309"/>
        <v>-8.8161066217006459E-5</v>
      </c>
      <c r="J190" s="191">
        <f t="shared" si="309"/>
        <v>-5.8774044229266134E-5</v>
      </c>
      <c r="K190" s="191">
        <f t="shared" si="309"/>
        <v>-3.5264426563547315E-5</v>
      </c>
    </row>
    <row r="191" spans="1:11" ht="15" hidden="1" customHeight="1" outlineLevel="1">
      <c r="A191">
        <v>0.8</v>
      </c>
      <c r="B191" s="191">
        <f t="shared" si="307"/>
        <v>-4.8693563911172367E-3</v>
      </c>
      <c r="C191" s="191">
        <f t="shared" si="309"/>
        <v>-2.8211466418511387E-3</v>
      </c>
      <c r="D191" s="191">
        <f t="shared" si="309"/>
        <v>-9.4038443154982208E-4</v>
      </c>
      <c r="E191" s="191">
        <f t="shared" si="309"/>
        <v>-5.6423076537515451E-4</v>
      </c>
      <c r="F191" s="191">
        <f t="shared" si="309"/>
        <v>-4.0302199621565922E-4</v>
      </c>
      <c r="G191" s="191">
        <f t="shared" si="309"/>
        <v>-2.8211540514088535E-4</v>
      </c>
      <c r="H191" s="191">
        <f t="shared" si="309"/>
        <v>-1.8807693953260408E-4</v>
      </c>
      <c r="I191" s="191">
        <f t="shared" si="309"/>
        <v>-1.410577053771067E-4</v>
      </c>
      <c r="J191" s="191">
        <f t="shared" si="309"/>
        <v>-9.4038470597906221E-5</v>
      </c>
      <c r="K191" s="191">
        <f t="shared" si="309"/>
        <v>-5.6423082465189061E-5</v>
      </c>
    </row>
    <row r="192" spans="1:11" ht="15" hidden="1" customHeight="1" outlineLevel="1">
      <c r="A192">
        <v>1</v>
      </c>
      <c r="B192" s="191">
        <f t="shared" si="307"/>
        <v>-6.0866684293548823E-3</v>
      </c>
      <c r="C192" s="191">
        <f t="shared" si="309"/>
        <v>-3.5264280398829692E-3</v>
      </c>
      <c r="D192" s="191">
        <f t="shared" si="309"/>
        <v>-1.1754803445303073E-3</v>
      </c>
      <c r="E192" s="191">
        <f t="shared" si="309"/>
        <v>-7.0528841461900079E-4</v>
      </c>
      <c r="F192" s="191">
        <f t="shared" si="309"/>
        <v>-5.0377747992702581E-4</v>
      </c>
      <c r="G192" s="191">
        <f t="shared" si="309"/>
        <v>-3.5264425116361198E-4</v>
      </c>
      <c r="H192" s="191">
        <f t="shared" si="309"/>
        <v>-2.3509617285649728E-4</v>
      </c>
      <c r="I192" s="191">
        <f t="shared" si="309"/>
        <v>-1.7632213106357145E-4</v>
      </c>
      <c r="J192" s="191">
        <f t="shared" si="309"/>
        <v>-1.1754808805247553E-4</v>
      </c>
      <c r="K192" s="191">
        <f t="shared" si="309"/>
        <v>-7.0528853039386374E-5</v>
      </c>
    </row>
    <row r="193" spans="1:11" ht="15" hidden="1" customHeight="1" outlineLevel="1">
      <c r="A193">
        <v>5</v>
      </c>
      <c r="B193" s="191">
        <f t="shared" si="307"/>
        <v>-3.0424327180538641E-2</v>
      </c>
      <c r="C193" s="191">
        <f t="shared" si="309"/>
        <v>-1.7630386374527986E-2</v>
      </c>
      <c r="D193" s="191">
        <f t="shared" si="309"/>
        <v>-5.8773367549735467E-3</v>
      </c>
      <c r="E193" s="191">
        <f t="shared" si="309"/>
        <v>-3.5264280398829692E-3</v>
      </c>
      <c r="F193" s="191">
        <f t="shared" si="309"/>
        <v>-2.5188822854713636E-3</v>
      </c>
      <c r="G193" s="191">
        <f t="shared" si="309"/>
        <v>-1.7632195016563466E-3</v>
      </c>
      <c r="H193" s="191">
        <f t="shared" si="309"/>
        <v>-1.1754803445303075E-3</v>
      </c>
      <c r="I193" s="191">
        <f t="shared" si="309"/>
        <v>-8.8161043604732413E-4</v>
      </c>
      <c r="J193" s="191">
        <f t="shared" si="309"/>
        <v>-5.8774037529331336E-4</v>
      </c>
      <c r="K193" s="191">
        <f t="shared" si="309"/>
        <v>-3.5264425116361198E-4</v>
      </c>
    </row>
    <row r="194" spans="1:11" ht="15" hidden="1" customHeight="1" outlineLevel="1">
      <c r="A194">
        <v>10</v>
      </c>
      <c r="B194" s="191">
        <f t="shared" si="307"/>
        <v>-6.0792434475305641E-2</v>
      </c>
      <c r="C194" s="191">
        <f t="shared" si="309"/>
        <v>-3.5249819433070033E-2</v>
      </c>
      <c r="D194" s="191">
        <f t="shared" si="309"/>
        <v>-1.1754267495283133E-2</v>
      </c>
      <c r="E194" s="191">
        <f t="shared" si="309"/>
        <v>-7.0527683747821576E-3</v>
      </c>
      <c r="F194" s="191">
        <f t="shared" si="309"/>
        <v>-5.0377326079010416E-3</v>
      </c>
      <c r="G194" s="191">
        <f t="shared" si="309"/>
        <v>-3.5264280398829692E-3</v>
      </c>
      <c r="H194" s="191">
        <f t="shared" si="309"/>
        <v>-2.3509574406201613E-3</v>
      </c>
      <c r="I194" s="191">
        <f t="shared" si="309"/>
        <v>-1.7632195016563466E-3</v>
      </c>
      <c r="J194" s="191">
        <f t="shared" si="309"/>
        <v>-1.1754803445303075E-3</v>
      </c>
      <c r="K194" s="191">
        <f t="shared" si="309"/>
        <v>-7.0528841461900079E-4</v>
      </c>
    </row>
    <row r="195" spans="1:11" ht="15" hidden="1" customHeight="1" outlineLevel="1">
      <c r="A195">
        <v>20</v>
      </c>
      <c r="B195" s="191">
        <f t="shared" si="307"/>
        <v>-0.12113881782866458</v>
      </c>
      <c r="C195" s="191">
        <f t="shared" si="309"/>
        <v>-7.0412256610955959E-2</v>
      </c>
      <c r="D195" s="191">
        <f t="shared" si="309"/>
        <v>-2.3505287882659417E-2</v>
      </c>
      <c r="E195" s="191">
        <f t="shared" si="309"/>
        <v>-1.4104835188211418E-2</v>
      </c>
      <c r="F195" s="191">
        <f t="shared" si="309"/>
        <v>-1.0075209526069015E-2</v>
      </c>
      <c r="G195" s="191">
        <f t="shared" si="309"/>
        <v>-7.0527683747821576E-3</v>
      </c>
      <c r="H195" s="191">
        <f t="shared" si="309"/>
        <v>-4.7018888940398625E-3</v>
      </c>
      <c r="I195" s="191">
        <f t="shared" si="309"/>
        <v>-3.5264280398829692E-3</v>
      </c>
      <c r="J195" s="191">
        <f t="shared" si="309"/>
        <v>-2.3509574406201613E-3</v>
      </c>
      <c r="K195" s="191">
        <f t="shared" si="309"/>
        <v>-1.4105761275730023E-3</v>
      </c>
    </row>
    <row r="196" spans="1:11" ht="15" hidden="1" customHeight="1" outlineLevel="1">
      <c r="A196">
        <v>50</v>
      </c>
      <c r="B196" s="191">
        <f t="shared" si="307"/>
        <v>-0.29543109335942563</v>
      </c>
      <c r="C196" s="191">
        <f t="shared" si="309"/>
        <v>-0.17452822355748537</v>
      </c>
      <c r="D196" s="191">
        <f t="shared" si="309"/>
        <v>-5.8706508096212806E-2</v>
      </c>
      <c r="E196" s="191">
        <f t="shared" si="309"/>
        <v>-3.5249819433070033E-2</v>
      </c>
      <c r="F196" s="191">
        <f t="shared" si="309"/>
        <v>-2.5183550879356673E-2</v>
      </c>
      <c r="G196" s="191">
        <f t="shared" si="309"/>
        <v>-1.7630386374527986E-2</v>
      </c>
      <c r="H196" s="191">
        <f t="shared" si="309"/>
        <v>-1.1754267495283134E-2</v>
      </c>
      <c r="I196" s="191">
        <f t="shared" si="309"/>
        <v>-8.8158782482761211E-3</v>
      </c>
      <c r="J196" s="191">
        <f t="shared" si="309"/>
        <v>-5.8773367549735476E-3</v>
      </c>
      <c r="K196" s="191">
        <f t="shared" si="309"/>
        <v>-3.5264280398829692E-3</v>
      </c>
    </row>
    <row r="197" spans="1:11" ht="15" hidden="1" customHeight="1" outlineLevel="1">
      <c r="A197">
        <v>100</v>
      </c>
      <c r="B197" s="191">
        <f t="shared" si="307"/>
        <v>-0.54677330449233441</v>
      </c>
      <c r="C197" s="191">
        <f t="shared" si="309"/>
        <v>-0.33902856773486362</v>
      </c>
      <c r="D197" s="191">
        <f t="shared" si="309"/>
        <v>-0.11701112434581525</v>
      </c>
      <c r="E197" s="191">
        <f t="shared" si="309"/>
        <v>-7.0412256610955959E-2</v>
      </c>
      <c r="F197" s="191">
        <f t="shared" si="309"/>
        <v>-5.0335198833895742E-2</v>
      </c>
      <c r="G197" s="191">
        <f t="shared" si="309"/>
        <v>-3.5249819433070033E-2</v>
      </c>
      <c r="H197" s="191">
        <f t="shared" si="309"/>
        <v>-2.3505287882659421E-2</v>
      </c>
      <c r="I197" s="191">
        <f t="shared" si="309"/>
        <v>-1.7630386374527986E-2</v>
      </c>
      <c r="J197" s="191">
        <f t="shared" si="309"/>
        <v>-1.1754267495283134E-2</v>
      </c>
      <c r="K197" s="191">
        <f t="shared" si="309"/>
        <v>-7.0527683747821576E-3</v>
      </c>
    </row>
    <row r="198" spans="1:11" ht="15" customHeight="1" collapsed="1">
      <c r="A198" t="s">
        <v>515</v>
      </c>
    </row>
    <row r="199" spans="1:11" ht="15" hidden="1" customHeight="1" outlineLevel="1">
      <c r="A199">
        <v>0.1</v>
      </c>
      <c r="B199" s="191">
        <f>DEGREES(B189)</f>
        <v>-3.487446759504801E-2</v>
      </c>
      <c r="C199" s="191">
        <f t="shared" ref="C199:I199" si="310">DEGREES(C189)</f>
        <v>-2.020502726122634E-2</v>
      </c>
      <c r="D199" s="191">
        <f t="shared" si="310"/>
        <v>-6.7350093352390242E-3</v>
      </c>
      <c r="E199" s="191">
        <f t="shared" si="310"/>
        <v>-4.0410056130552674E-3</v>
      </c>
      <c r="F199" s="191">
        <f t="shared" si="310"/>
        <v>-2.8864325830979323E-3</v>
      </c>
      <c r="G199" s="191">
        <f t="shared" si="310"/>
        <v>-2.0205028090402905E-3</v>
      </c>
      <c r="H199" s="191">
        <f t="shared" si="310"/>
        <v>-1.3470018730037314E-3</v>
      </c>
      <c r="I199" s="191">
        <f t="shared" si="310"/>
        <v>-1.0102514048342271E-3</v>
      </c>
      <c r="J199" s="191">
        <f t="shared" ref="J199:K199" si="311">DEGREES(J189)</f>
        <v>-6.735009365949271E-4</v>
      </c>
      <c r="K199" s="191">
        <f t="shared" si="311"/>
        <v>-4.0410056196886799E-4</v>
      </c>
    </row>
    <row r="200" spans="1:11" ht="15" hidden="1" customHeight="1" outlineLevel="1">
      <c r="A200">
        <v>0.5</v>
      </c>
      <c r="B200" s="191">
        <f t="shared" ref="B200" si="312">DEGREES(B190)</f>
        <v>-0.17437182116020908</v>
      </c>
      <c r="C200" s="191">
        <f t="shared" ref="C200:I200" si="313">DEGREES(C190)</f>
        <v>-0.10102503580006893</v>
      </c>
      <c r="D200" s="191">
        <f t="shared" si="313"/>
        <v>-3.3675042953741935E-2</v>
      </c>
      <c r="E200" s="191">
        <f t="shared" si="313"/>
        <v>-2.0205027261226336E-2</v>
      </c>
      <c r="F200" s="191">
        <f t="shared" si="313"/>
        <v>-1.4432162622468513E-2</v>
      </c>
      <c r="G200" s="191">
        <f t="shared" si="313"/>
        <v>-1.0102513944695194E-2</v>
      </c>
      <c r="H200" s="191">
        <f t="shared" si="313"/>
        <v>-6.7350093352390242E-3</v>
      </c>
      <c r="I200" s="191">
        <f t="shared" si="313"/>
        <v>-5.0512570116078527E-3</v>
      </c>
      <c r="J200" s="191">
        <f t="shared" ref="J200:K200" si="314">DEGREES(J190)</f>
        <v>-3.3675046792521809E-3</v>
      </c>
      <c r="K200" s="191">
        <f t="shared" si="314"/>
        <v>-2.0205028090402905E-3</v>
      </c>
    </row>
    <row r="201" spans="1:11" ht="15" hidden="1" customHeight="1" outlineLevel="1">
      <c r="A201">
        <v>0.8</v>
      </c>
      <c r="B201" s="191">
        <f t="shared" ref="B201" si="315">DEGREES(B191)</f>
        <v>-0.27899357015607146</v>
      </c>
      <c r="C201" s="191">
        <f t="shared" ref="C201:I201" si="316">DEGREES(C191)</f>
        <v>-0.16163979596557546</v>
      </c>
      <c r="D201" s="191">
        <f t="shared" si="316"/>
        <v>-5.3880059047613865E-2</v>
      </c>
      <c r="E201" s="191">
        <f t="shared" si="316"/>
        <v>-3.2328041527432537E-2</v>
      </c>
      <c r="F201" s="191">
        <f t="shared" si="316"/>
        <v>-2.309145943409471E-2</v>
      </c>
      <c r="G201" s="191">
        <f t="shared" si="316"/>
        <v>-1.6164022050196059E-2</v>
      </c>
      <c r="H201" s="191">
        <f t="shared" si="316"/>
        <v>-1.07760148589554E-2</v>
      </c>
      <c r="I201" s="191">
        <f t="shared" si="316"/>
        <v>-8.0820111859080321E-3</v>
      </c>
      <c r="J201" s="191">
        <f t="shared" ref="J201:K201" si="317">DEGREES(J191)</f>
        <v>-5.3880074771251096E-3</v>
      </c>
      <c r="K201" s="191">
        <f t="shared" si="317"/>
        <v>-3.2328044923739339E-3</v>
      </c>
    </row>
    <row r="202" spans="1:11" ht="15" hidden="1" customHeight="1" outlineLevel="1">
      <c r="A202">
        <v>1</v>
      </c>
      <c r="B202" s="191">
        <f t="shared" ref="B202" si="318">DEGREES(B192)</f>
        <v>-0.34874041229755642</v>
      </c>
      <c r="C202" s="191">
        <f t="shared" ref="C202:I202" si="319">DEGREES(C192)</f>
        <v>-0.20204944344188569</v>
      </c>
      <c r="D202" s="191">
        <f t="shared" si="319"/>
        <v>-6.7350062642170527E-2</v>
      </c>
      <c r="E202" s="191">
        <f t="shared" si="319"/>
        <v>-4.0410049497141658E-2</v>
      </c>
      <c r="F202" s="191">
        <f t="shared" si="319"/>
        <v>-2.8864323413555128E-2</v>
      </c>
      <c r="G202" s="191">
        <f t="shared" si="319"/>
        <v>-2.0205027261226336E-2</v>
      </c>
      <c r="H202" s="191">
        <f t="shared" si="319"/>
        <v>-1.3470018484355356E-2</v>
      </c>
      <c r="I202" s="191">
        <f t="shared" si="319"/>
        <v>-1.0102513944695194E-2</v>
      </c>
      <c r="J202" s="191">
        <f t="shared" ref="J202:K202" si="320">DEGREES(J192)</f>
        <v>-6.7350093352390242E-3</v>
      </c>
      <c r="K202" s="191">
        <f t="shared" si="320"/>
        <v>-4.0410056130552674E-3</v>
      </c>
    </row>
    <row r="203" spans="1:11" ht="15" hidden="1" customHeight="1" outlineLevel="1">
      <c r="A203">
        <v>5</v>
      </c>
      <c r="B203" s="191">
        <f t="shared" ref="B203" si="321">DEGREES(B193)</f>
        <v>-1.7431855419700195</v>
      </c>
      <c r="C203" s="191">
        <f t="shared" ref="C203:I203" si="322">DEGREES(C193)</f>
        <v>-1.0101467304454064</v>
      </c>
      <c r="D203" s="191">
        <f t="shared" si="322"/>
        <v>-0.33674659083709907</v>
      </c>
      <c r="E203" s="191">
        <f t="shared" si="322"/>
        <v>-0.20204944344188569</v>
      </c>
      <c r="F203" s="191">
        <f t="shared" si="322"/>
        <v>-0.14432132404777614</v>
      </c>
      <c r="G203" s="191">
        <f t="shared" si="322"/>
        <v>-0.10102503580006893</v>
      </c>
      <c r="H203" s="191">
        <f t="shared" si="322"/>
        <v>-6.7350062642170541E-2</v>
      </c>
      <c r="I203" s="191">
        <f t="shared" si="322"/>
        <v>-5.0512557160199846E-2</v>
      </c>
      <c r="J203" s="191">
        <f t="shared" ref="J203:K203" si="323">DEGREES(J193)</f>
        <v>-3.3675042953741942E-2</v>
      </c>
      <c r="K203" s="191">
        <f t="shared" si="323"/>
        <v>-2.0205027261226336E-2</v>
      </c>
    </row>
    <row r="204" spans="1:11" ht="15" hidden="1" customHeight="1" outlineLevel="1">
      <c r="A204">
        <v>10</v>
      </c>
      <c r="B204" s="191">
        <f t="shared" ref="B204" si="324">DEGREES(B194)</f>
        <v>-3.4831499217606163</v>
      </c>
      <c r="C204" s="191">
        <f t="shared" ref="C204:I204" si="325">DEGREES(C194)</f>
        <v>-2.019665882113145</v>
      </c>
      <c r="D204" s="191">
        <f t="shared" si="325"/>
        <v>-0.67346991874753281</v>
      </c>
      <c r="E204" s="191">
        <f t="shared" si="325"/>
        <v>-0.40409386175835843</v>
      </c>
      <c r="F204" s="191">
        <f t="shared" si="325"/>
        <v>-0.28864081674816328</v>
      </c>
      <c r="G204" s="191">
        <f t="shared" si="325"/>
        <v>-0.20204944344188569</v>
      </c>
      <c r="H204" s="191">
        <f t="shared" si="325"/>
        <v>-0.1346999391624131</v>
      </c>
      <c r="I204" s="191">
        <f t="shared" si="325"/>
        <v>-0.10102503580006893</v>
      </c>
      <c r="J204" s="191">
        <f t="shared" ref="J204:K204" si="326">DEGREES(J194)</f>
        <v>-6.7350062642170541E-2</v>
      </c>
      <c r="K204" s="191">
        <f t="shared" si="326"/>
        <v>-4.0410049497141658E-2</v>
      </c>
    </row>
    <row r="205" spans="1:11" ht="15" hidden="1" customHeight="1" outlineLevel="1">
      <c r="A205">
        <v>20</v>
      </c>
      <c r="B205" s="191">
        <f t="shared" ref="B205" si="327">DEGREES(B195)</f>
        <v>-6.9407429967866117</v>
      </c>
      <c r="C205" s="191">
        <f t="shared" ref="C205:I205" si="328">DEGREES(C195)</f>
        <v>-4.0343251297999059</v>
      </c>
      <c r="D205" s="191">
        <f t="shared" si="328"/>
        <v>-1.3467537919163797</v>
      </c>
      <c r="E205" s="191">
        <f t="shared" si="328"/>
        <v>-0.80814752701212644</v>
      </c>
      <c r="F205" s="191">
        <f t="shared" si="328"/>
        <v>-0.57726698355375694</v>
      </c>
      <c r="G205" s="191">
        <f t="shared" si="328"/>
        <v>-0.40409386175835843</v>
      </c>
      <c r="H205" s="191">
        <f t="shared" si="328"/>
        <v>-0.26939838936791843</v>
      </c>
      <c r="I205" s="191">
        <f t="shared" si="328"/>
        <v>-0.20204944344188569</v>
      </c>
      <c r="J205" s="191">
        <f t="shared" ref="J205:K205" si="329">DEGREES(J195)</f>
        <v>-0.1346999391624131</v>
      </c>
      <c r="K205" s="191">
        <f t="shared" si="329"/>
        <v>-8.0820058791840219E-2</v>
      </c>
    </row>
    <row r="206" spans="1:11" ht="15" hidden="1" customHeight="1" outlineLevel="1">
      <c r="A206">
        <v>50</v>
      </c>
      <c r="B206" s="191">
        <f t="shared" ref="B206" si="330">DEGREES(B196)</f>
        <v>-16.926954786430489</v>
      </c>
      <c r="C206" s="191">
        <f t="shared" ref="C206:I206" si="331">DEGREES(C196)</f>
        <v>-9.9997306157596224</v>
      </c>
      <c r="D206" s="191">
        <f t="shared" si="331"/>
        <v>-3.3636351438635912</v>
      </c>
      <c r="E206" s="191">
        <f t="shared" si="331"/>
        <v>-2.019665882113145</v>
      </c>
      <c r="F206" s="191">
        <f t="shared" si="331"/>
        <v>-1.4429111785401103</v>
      </c>
      <c r="G206" s="191">
        <f t="shared" si="331"/>
        <v>-1.0101467304454064</v>
      </c>
      <c r="H206" s="191">
        <f t="shared" si="331"/>
        <v>-0.67346991874753293</v>
      </c>
      <c r="I206" s="191">
        <f t="shared" si="331"/>
        <v>-0.505112616327407</v>
      </c>
      <c r="J206" s="191">
        <f t="shared" ref="J206:K206" si="332">DEGREES(J196)</f>
        <v>-0.33674659083709912</v>
      </c>
      <c r="K206" s="191">
        <f t="shared" si="332"/>
        <v>-0.20204944344188569</v>
      </c>
    </row>
    <row r="207" spans="1:11" ht="15" hidden="1" customHeight="1" outlineLevel="1">
      <c r="A207">
        <v>100</v>
      </c>
      <c r="B207" s="191">
        <f t="shared" ref="B207" si="333">DEGREES(B197)</f>
        <v>-31.327802697832215</v>
      </c>
      <c r="C207" s="191">
        <f t="shared" ref="C207:I207" si="334">DEGREES(C197)</f>
        <v>-19.424906065572841</v>
      </c>
      <c r="D207" s="191">
        <f t="shared" si="334"/>
        <v>-6.7042435810956897</v>
      </c>
      <c r="E207" s="191">
        <f t="shared" si="334"/>
        <v>-4.0343251297999059</v>
      </c>
      <c r="F207" s="191">
        <f t="shared" si="334"/>
        <v>-2.883994454134049</v>
      </c>
      <c r="G207" s="191">
        <f t="shared" si="334"/>
        <v>-2.019665882113145</v>
      </c>
      <c r="H207" s="191">
        <f t="shared" si="334"/>
        <v>-1.3467537919163799</v>
      </c>
      <c r="I207" s="191">
        <f t="shared" si="334"/>
        <v>-1.0101467304454064</v>
      </c>
      <c r="J207" s="191">
        <f t="shared" ref="J207:K207" si="335">DEGREES(J197)</f>
        <v>-0.67346991874753293</v>
      </c>
      <c r="K207" s="191">
        <f t="shared" si="335"/>
        <v>-0.40409386175835843</v>
      </c>
    </row>
    <row r="208" spans="1:11" ht="15" customHeight="1" collapsed="1"/>
    <row r="209" spans="1:11" ht="15" customHeight="1">
      <c r="A209" t="s">
        <v>512</v>
      </c>
      <c r="B209" s="191">
        <v>20</v>
      </c>
      <c r="C209" s="191">
        <v>20</v>
      </c>
      <c r="D209" s="191">
        <v>20</v>
      </c>
      <c r="E209" s="191">
        <v>20</v>
      </c>
      <c r="F209" s="191">
        <v>20</v>
      </c>
      <c r="G209" s="191">
        <v>20</v>
      </c>
      <c r="H209" s="191">
        <v>20</v>
      </c>
      <c r="I209" s="191">
        <v>20</v>
      </c>
      <c r="J209" s="191">
        <v>20</v>
      </c>
      <c r="K209" s="191">
        <v>20</v>
      </c>
    </row>
    <row r="210" spans="1:11" ht="15" customHeight="1">
      <c r="A210" t="s">
        <v>521</v>
      </c>
      <c r="B210" s="191">
        <f>B$185*VLOOKUP(B$209,$A$189:B$197,B$188,FALSE)</f>
        <v>-0.21151113791867396</v>
      </c>
      <c r="C210" s="191">
        <f>C$185*VLOOKUP(C$209,$A$189:C$197,C$188,FALSE)</f>
        <v>-0.21219370891573894</v>
      </c>
      <c r="D210" s="191">
        <f>D$185*VLOOKUP(D$209,$A$189:D$197,D$188,FALSE)</f>
        <v>-0.22132445578357038</v>
      </c>
      <c r="E210" s="191">
        <f>E$185*VLOOKUP(E$209,$A$189:E$197,E$188,FALSE)</f>
        <v>-0.24379201081354346</v>
      </c>
      <c r="F210" s="191">
        <f>F$185*VLOOKUP(F$209,$A$189:F$197,F$188,FALSE)</f>
        <v>-0.29564123860763608</v>
      </c>
      <c r="G210" s="191">
        <f>G$185*VLOOKUP(G$209,$A$189:G$197,G$188,FALSE)</f>
        <v>-3.4177893626296783</v>
      </c>
      <c r="H210" s="191">
        <f>H$185*VLOOKUP(H$209,$A$189:H$197,H$188,FALSE)</f>
        <v>-0.43339941020617195</v>
      </c>
      <c r="I210" s="191">
        <f>I$185*VLOOKUP(I$209,$A$189:I$197,I$188,FALSE)</f>
        <v>-0.27975811633077013</v>
      </c>
      <c r="J210" s="191">
        <f>J$185*VLOOKUP(J$209,$A$189:J$197,J$188,FALSE)</f>
        <v>-0.1713161591031411</v>
      </c>
      <c r="K210" s="191">
        <f>K$185*VLOOKUP(K$209,$A$189:K$197,K$188,FALSE)</f>
        <v>-9.8909430574731297E-2</v>
      </c>
    </row>
    <row r="211" spans="1:11" ht="15" customHeight="1">
      <c r="A211" t="s">
        <v>381</v>
      </c>
    </row>
    <row r="212" spans="1:11" ht="15" hidden="1" customHeight="1" outlineLevel="1">
      <c r="A212">
        <v>1</v>
      </c>
      <c r="B212" s="191">
        <f t="shared" ref="B212:B221" si="336">B$29*(B81)*B$210</f>
        <v>-0.1069651450496069</v>
      </c>
      <c r="C212" s="191">
        <f t="shared" ref="C212:I212" si="337">C$29*(C81)*C$210</f>
        <v>-0.29911932036933803</v>
      </c>
      <c r="D212" s="191">
        <f t="shared" si="337"/>
        <v>-2.8079144768257689</v>
      </c>
      <c r="E212" s="191">
        <f t="shared" si="337"/>
        <v>-8.5915483732577052</v>
      </c>
      <c r="F212" s="191">
        <f t="shared" si="337"/>
        <v>-20.420814236431884</v>
      </c>
      <c r="G212" s="191">
        <f t="shared" si="337"/>
        <v>-481.78941616092078</v>
      </c>
      <c r="H212" s="191">
        <f t="shared" si="337"/>
        <v>-137.46204343496663</v>
      </c>
      <c r="I212" s="191">
        <f t="shared" si="337"/>
        <v>-157.74465332126411</v>
      </c>
      <c r="J212" s="191">
        <f t="shared" ref="J212:K212" si="338">J$29*(J81)*J$210</f>
        <v>-217.34657453774517</v>
      </c>
      <c r="K212" s="191">
        <f t="shared" si="338"/>
        <v>-348.56973143558412</v>
      </c>
    </row>
    <row r="213" spans="1:11" ht="15" hidden="1" customHeight="1" outlineLevel="1">
      <c r="A213">
        <v>2</v>
      </c>
      <c r="B213" s="191">
        <f t="shared" si="336"/>
        <v>-0.1036224842668067</v>
      </c>
      <c r="C213" s="191">
        <f t="shared" ref="C213:I213" si="339">C$29*(C82)*C$210</f>
        <v>-0.28977184160779629</v>
      </c>
      <c r="D213" s="191">
        <f t="shared" si="339"/>
        <v>-2.7201671494249644</v>
      </c>
      <c r="E213" s="191">
        <f t="shared" si="339"/>
        <v>-8.3230624865934022</v>
      </c>
      <c r="F213" s="191">
        <f t="shared" si="339"/>
        <v>-19.782663791543388</v>
      </c>
      <c r="G213" s="191">
        <f t="shared" si="339"/>
        <v>-466.73349690589214</v>
      </c>
      <c r="H213" s="191">
        <f t="shared" si="339"/>
        <v>-133.16635457762396</v>
      </c>
      <c r="I213" s="191">
        <f t="shared" si="339"/>
        <v>-152.81513290497463</v>
      </c>
      <c r="J213" s="191">
        <f t="shared" ref="J213:K213" si="340">J$29*(J82)*J$210</f>
        <v>-210.55449408344069</v>
      </c>
      <c r="K213" s="191">
        <f t="shared" si="340"/>
        <v>-337.67692732822218</v>
      </c>
    </row>
    <row r="214" spans="1:11" ht="15" hidden="1" customHeight="1" outlineLevel="1">
      <c r="A214">
        <v>3</v>
      </c>
      <c r="B214" s="191">
        <f t="shared" si="336"/>
        <v>-0.10027982348400648</v>
      </c>
      <c r="C214" s="191">
        <f t="shared" ref="C214:I214" si="341">C$29*(C83)*C$210</f>
        <v>-0.28042436284625444</v>
      </c>
      <c r="D214" s="191">
        <f t="shared" si="341"/>
        <v>-2.6324198220241586</v>
      </c>
      <c r="E214" s="191">
        <f t="shared" si="341"/>
        <v>-8.0545765999290992</v>
      </c>
      <c r="F214" s="191">
        <f t="shared" si="341"/>
        <v>-19.14451334665489</v>
      </c>
      <c r="G214" s="191">
        <f t="shared" si="341"/>
        <v>-451.67757765086333</v>
      </c>
      <c r="H214" s="191">
        <f t="shared" si="341"/>
        <v>-128.87066572028121</v>
      </c>
      <c r="I214" s="191">
        <f t="shared" si="341"/>
        <v>-147.88561248868513</v>
      </c>
      <c r="J214" s="191">
        <f t="shared" ref="J214:K214" si="342">J$29*(J83)*J$210</f>
        <v>-203.76241362913609</v>
      </c>
      <c r="K214" s="191">
        <f t="shared" si="342"/>
        <v>-326.78412322086012</v>
      </c>
    </row>
    <row r="215" spans="1:11" ht="15" hidden="1" customHeight="1" outlineLevel="1">
      <c r="A215">
        <v>4</v>
      </c>
      <c r="B215" s="191">
        <f t="shared" si="336"/>
        <v>-9.6937162701206281E-2</v>
      </c>
      <c r="C215" s="191">
        <f t="shared" ref="C215:I215" si="343">C$29*(C84)*C$210</f>
        <v>-0.2710768840847127</v>
      </c>
      <c r="D215" s="191">
        <f t="shared" si="343"/>
        <v>-2.5446724946233537</v>
      </c>
      <c r="E215" s="191">
        <f t="shared" si="343"/>
        <v>-7.7860907132647963</v>
      </c>
      <c r="F215" s="191">
        <f t="shared" si="343"/>
        <v>-18.506362901766398</v>
      </c>
      <c r="G215" s="191">
        <f t="shared" si="343"/>
        <v>-436.62165839583457</v>
      </c>
      <c r="H215" s="191">
        <f t="shared" si="343"/>
        <v>-124.57497686293853</v>
      </c>
      <c r="I215" s="191">
        <f t="shared" si="343"/>
        <v>-142.95609207239565</v>
      </c>
      <c r="J215" s="191">
        <f t="shared" ref="J215:K215" si="344">J$29*(J84)*J$210</f>
        <v>-196.97033317483158</v>
      </c>
      <c r="K215" s="191">
        <f t="shared" si="344"/>
        <v>-315.89131911349818</v>
      </c>
    </row>
    <row r="216" spans="1:11" ht="15" hidden="1" customHeight="1" outlineLevel="1">
      <c r="A216">
        <v>5</v>
      </c>
      <c r="B216" s="191">
        <f t="shared" si="336"/>
        <v>-9.3594501918406042E-2</v>
      </c>
      <c r="C216" s="191">
        <f t="shared" ref="C216:I216" si="345">C$29*(C85)*C$210</f>
        <v>-0.26172940532317079</v>
      </c>
      <c r="D216" s="191">
        <f t="shared" si="345"/>
        <v>-2.4569251672225483</v>
      </c>
      <c r="E216" s="191">
        <f t="shared" si="345"/>
        <v>-7.5176048266004916</v>
      </c>
      <c r="F216" s="191">
        <f t="shared" si="345"/>
        <v>-17.868212456877899</v>
      </c>
      <c r="G216" s="191">
        <f t="shared" si="345"/>
        <v>-421.5657391408057</v>
      </c>
      <c r="H216" s="191">
        <f t="shared" si="345"/>
        <v>-120.27928800559579</v>
      </c>
      <c r="I216" s="191">
        <f t="shared" si="345"/>
        <v>-138.02657165610609</v>
      </c>
      <c r="J216" s="191">
        <f t="shared" ref="J216:K216" si="346">J$29*(J85)*J$210</f>
        <v>-190.17825272052701</v>
      </c>
      <c r="K216" s="191">
        <f t="shared" si="346"/>
        <v>-304.99851500613607</v>
      </c>
    </row>
    <row r="217" spans="1:11" ht="15" hidden="1" customHeight="1" outlineLevel="1">
      <c r="A217">
        <v>6</v>
      </c>
      <c r="B217" s="191">
        <f t="shared" si="336"/>
        <v>-9.0251841135605831E-2</v>
      </c>
      <c r="C217" s="191">
        <f t="shared" ref="C217:I217" si="347">C$29*(C86)*C$210</f>
        <v>-0.252381926561629</v>
      </c>
      <c r="D217" s="191">
        <f t="shared" si="347"/>
        <v>-2.3691778398217429</v>
      </c>
      <c r="E217" s="191">
        <f t="shared" si="347"/>
        <v>-7.2491189399361886</v>
      </c>
      <c r="F217" s="191">
        <f t="shared" si="347"/>
        <v>-17.2300620119894</v>
      </c>
      <c r="G217" s="191">
        <f t="shared" si="347"/>
        <v>-406.50981988577695</v>
      </c>
      <c r="H217" s="191">
        <f t="shared" si="347"/>
        <v>-115.98359914825311</v>
      </c>
      <c r="I217" s="191">
        <f t="shared" si="347"/>
        <v>-133.09705123981661</v>
      </c>
      <c r="J217" s="191">
        <f t="shared" ref="J217:K217" si="348">J$29*(J86)*J$210</f>
        <v>-183.3861722662225</v>
      </c>
      <c r="K217" s="191">
        <f t="shared" si="348"/>
        <v>-294.10571089877408</v>
      </c>
    </row>
    <row r="218" spans="1:11" ht="15" hidden="1" customHeight="1" outlineLevel="1">
      <c r="A218">
        <v>7</v>
      </c>
      <c r="B218" s="191">
        <f t="shared" si="336"/>
        <v>-8.6909180352805621E-2</v>
      </c>
      <c r="C218" s="191">
        <f t="shared" ref="C218:I218" si="349">C$29*(C87)*C$210</f>
        <v>-0.24303444780008718</v>
      </c>
      <c r="D218" s="191">
        <f t="shared" si="349"/>
        <v>-2.281430512420938</v>
      </c>
      <c r="E218" s="191">
        <f t="shared" si="349"/>
        <v>-6.9806330532718857</v>
      </c>
      <c r="F218" s="191">
        <f t="shared" si="349"/>
        <v>-16.591911567100908</v>
      </c>
      <c r="G218" s="191">
        <f t="shared" si="349"/>
        <v>-391.45390063074819</v>
      </c>
      <c r="H218" s="191">
        <f t="shared" si="349"/>
        <v>-111.68791029091038</v>
      </c>
      <c r="I218" s="191">
        <f t="shared" si="349"/>
        <v>-128.1675308235271</v>
      </c>
      <c r="J218" s="191">
        <f t="shared" ref="J218:K218" si="350">J$29*(J87)*J$210</f>
        <v>-176.59409181191793</v>
      </c>
      <c r="K218" s="191">
        <f t="shared" si="350"/>
        <v>-283.21290679141208</v>
      </c>
    </row>
    <row r="219" spans="1:11" ht="15" hidden="1" customHeight="1" outlineLevel="1">
      <c r="A219">
        <v>8</v>
      </c>
      <c r="B219" s="191">
        <f t="shared" si="336"/>
        <v>-8.3566519570005396E-2</v>
      </c>
      <c r="C219" s="191">
        <f t="shared" ref="C219:I219" si="351">C$29*(C88)*C$210</f>
        <v>-0.23368696903854533</v>
      </c>
      <c r="D219" s="191">
        <f t="shared" si="351"/>
        <v>-2.1936831850201322</v>
      </c>
      <c r="E219" s="191">
        <f t="shared" si="351"/>
        <v>-6.7121471666075818</v>
      </c>
      <c r="F219" s="191">
        <f t="shared" si="351"/>
        <v>-15.953761122212409</v>
      </c>
      <c r="G219" s="191">
        <f t="shared" si="351"/>
        <v>-376.39798137571944</v>
      </c>
      <c r="H219" s="191">
        <f t="shared" si="351"/>
        <v>-107.39222143356768</v>
      </c>
      <c r="I219" s="191">
        <f t="shared" si="351"/>
        <v>-123.2380104072376</v>
      </c>
      <c r="J219" s="191">
        <f t="shared" ref="J219:K219" si="352">J$29*(J88)*J$210</f>
        <v>-169.80201135761342</v>
      </c>
      <c r="K219" s="191">
        <f t="shared" si="352"/>
        <v>-272.32010268405008</v>
      </c>
    </row>
    <row r="220" spans="1:11" ht="15" hidden="1" customHeight="1" outlineLevel="1">
      <c r="A220">
        <v>9</v>
      </c>
      <c r="B220" s="191">
        <f t="shared" si="336"/>
        <v>-8.0223858787205185E-2</v>
      </c>
      <c r="C220" s="191">
        <f t="shared" ref="C220:I220" si="353">C$29*(C89)*C$210</f>
        <v>-0.22433949027700356</v>
      </c>
      <c r="D220" s="191">
        <f t="shared" si="353"/>
        <v>-2.1059358576193272</v>
      </c>
      <c r="E220" s="191">
        <f t="shared" si="353"/>
        <v>-6.4436612799432789</v>
      </c>
      <c r="F220" s="191">
        <f t="shared" si="353"/>
        <v>-15.315610677323914</v>
      </c>
      <c r="G220" s="191">
        <f t="shared" si="353"/>
        <v>-361.34206212069063</v>
      </c>
      <c r="H220" s="191">
        <f t="shared" si="353"/>
        <v>-103.09653257622499</v>
      </c>
      <c r="I220" s="191">
        <f t="shared" si="353"/>
        <v>-118.30848999094809</v>
      </c>
      <c r="J220" s="191">
        <f t="shared" ref="J220:K220" si="354">J$29*(J89)*J$210</f>
        <v>-163.00993090330888</v>
      </c>
      <c r="K220" s="191">
        <f t="shared" si="354"/>
        <v>-261.42729857668814</v>
      </c>
    </row>
    <row r="221" spans="1:11" ht="15" hidden="1" customHeight="1" outlineLevel="1">
      <c r="A221">
        <v>10</v>
      </c>
      <c r="B221" s="191">
        <f t="shared" si="336"/>
        <v>-7.688119800440496E-2</v>
      </c>
      <c r="C221" s="191">
        <f t="shared" ref="C221:I221" si="355">C$29*(C90)*C$210</f>
        <v>-0.21499201151546171</v>
      </c>
      <c r="D221" s="191">
        <f t="shared" si="355"/>
        <v>-2.0181885302185214</v>
      </c>
      <c r="E221" s="191">
        <f t="shared" si="355"/>
        <v>-6.175175393278975</v>
      </c>
      <c r="F221" s="191">
        <f t="shared" si="355"/>
        <v>-14.677460232435417</v>
      </c>
      <c r="G221" s="191">
        <f t="shared" si="355"/>
        <v>-346.28614286566182</v>
      </c>
      <c r="H221" s="191">
        <f t="shared" si="355"/>
        <v>-98.800843718882263</v>
      </c>
      <c r="I221" s="191">
        <f t="shared" si="355"/>
        <v>-113.37896957465858</v>
      </c>
      <c r="J221" s="191">
        <f t="shared" ref="J221:K221" si="356">J$29*(J90)*J$210</f>
        <v>-156.21785044900435</v>
      </c>
      <c r="K221" s="191">
        <f t="shared" si="356"/>
        <v>-250.53449446932609</v>
      </c>
    </row>
    <row r="222" spans="1:11" ht="15" customHeight="1" collapsed="1">
      <c r="A222" t="s">
        <v>516</v>
      </c>
      <c r="B222" s="191">
        <f>SUM(B212:B221)</f>
        <v>-0.91923171527005931</v>
      </c>
      <c r="C222" s="191">
        <f t="shared" ref="C222:I222" si="357">SUM(C212:C221)</f>
        <v>-2.5705566594239988</v>
      </c>
      <c r="D222" s="191">
        <f t="shared" si="357"/>
        <v>-24.130515035221453</v>
      </c>
      <c r="E222" s="191">
        <f t="shared" si="357"/>
        <v>-73.833618832683413</v>
      </c>
      <c r="F222" s="191">
        <f t="shared" si="357"/>
        <v>-175.4913723443365</v>
      </c>
      <c r="G222" s="191">
        <f t="shared" si="357"/>
        <v>-4140.377795132913</v>
      </c>
      <c r="H222" s="191">
        <f t="shared" si="357"/>
        <v>-1181.3144357692447</v>
      </c>
      <c r="I222" s="191">
        <f t="shared" si="357"/>
        <v>-1355.6181144796137</v>
      </c>
      <c r="J222" s="191">
        <f t="shared" ref="J222" si="358">SUM(J212:J221)</f>
        <v>-1867.8221249337475</v>
      </c>
      <c r="K222" s="191">
        <f t="shared" ref="K222" si="359">SUM(K212:K221)</f>
        <v>-2995.5211295245517</v>
      </c>
    </row>
    <row r="223" spans="1:11" ht="15" customHeight="1">
      <c r="A223" t="s">
        <v>517</v>
      </c>
      <c r="B223" s="191">
        <f>B222*B187</f>
        <v>-0.11030780583240711</v>
      </c>
      <c r="C223" s="191">
        <f t="shared" ref="C223:I223" si="360">C222*C187</f>
        <v>-0.30846679913087982</v>
      </c>
      <c r="D223" s="191">
        <f t="shared" si="360"/>
        <v>-2.8956618042265743</v>
      </c>
      <c r="E223" s="191">
        <f t="shared" si="360"/>
        <v>-8.8600342599220099</v>
      </c>
      <c r="F223" s="191">
        <f t="shared" si="360"/>
        <v>-21.058964681320379</v>
      </c>
      <c r="G223" s="191">
        <f t="shared" si="360"/>
        <v>-496.84533541594953</v>
      </c>
      <c r="H223" s="191">
        <f t="shared" si="360"/>
        <v>-141.75773229230936</v>
      </c>
      <c r="I223" s="191">
        <f t="shared" si="360"/>
        <v>-162.67417373755364</v>
      </c>
      <c r="J223" s="191">
        <f t="shared" ref="J223" si="361">J222*J187</f>
        <v>-224.13865499204971</v>
      </c>
      <c r="K223" s="191">
        <f t="shared" ref="K223" si="362">K222*K187</f>
        <v>-359.46253554294617</v>
      </c>
    </row>
    <row r="224" spans="1:11" ht="15" customHeight="1">
      <c r="A224" t="s">
        <v>520</v>
      </c>
      <c r="B224" s="191">
        <f>B38*(2/3)*((1+B44+B44^2)/(1+B44))</f>
        <v>0.12666666666666665</v>
      </c>
      <c r="C224" s="191">
        <f t="shared" ref="C224:I224" si="363">C38*(2/3)*((1+C44+C44^2)/(1+C44))</f>
        <v>0.12666666666666665</v>
      </c>
      <c r="D224" s="191">
        <f t="shared" si="363"/>
        <v>0.12666666666666665</v>
      </c>
      <c r="E224" s="191">
        <f t="shared" si="363"/>
        <v>0.12666666666666665</v>
      </c>
      <c r="F224" s="191">
        <f t="shared" si="363"/>
        <v>0.12666666666666665</v>
      </c>
      <c r="G224" s="191">
        <f t="shared" si="363"/>
        <v>0.12666666666666665</v>
      </c>
      <c r="H224" s="191">
        <f t="shared" si="363"/>
        <v>0.12666666666666665</v>
      </c>
      <c r="I224" s="191">
        <f t="shared" si="363"/>
        <v>0.12666666666666665</v>
      </c>
      <c r="J224" s="191">
        <f t="shared" ref="J224:K224" si="364">J38*(2/3)*((1+J44+J44^2)/(1+J44))</f>
        <v>0.12666666666666665</v>
      </c>
      <c r="K224" s="191">
        <f t="shared" si="364"/>
        <v>0.12666666666666665</v>
      </c>
    </row>
    <row r="225" spans="1:11" ht="15" customHeight="1">
      <c r="A225" t="s">
        <v>522</v>
      </c>
      <c r="B225" s="191">
        <v>0.8</v>
      </c>
      <c r="C225" s="191">
        <v>0.8</v>
      </c>
      <c r="D225" s="191">
        <v>0.8</v>
      </c>
      <c r="E225" s="191">
        <v>0.8</v>
      </c>
      <c r="F225" s="191">
        <v>0.8</v>
      </c>
      <c r="G225" s="191">
        <v>0.8</v>
      </c>
      <c r="H225" s="191">
        <v>0.8</v>
      </c>
      <c r="I225" s="191">
        <v>0.8</v>
      </c>
      <c r="J225" s="191">
        <v>0.8</v>
      </c>
      <c r="K225" s="191">
        <v>0.8</v>
      </c>
    </row>
    <row r="226" spans="1:11" ht="15" customHeight="1">
      <c r="A226" t="s">
        <v>519</v>
      </c>
      <c r="B226" s="191">
        <f>B223/(B29*B91*B224)</f>
        <v>-0.20037897276505956</v>
      </c>
      <c r="C226" s="191">
        <f t="shared" ref="C226:I226" si="365">C223/(C29*C91*C224)</f>
        <v>-0.20102561897280527</v>
      </c>
      <c r="D226" s="191">
        <f t="shared" si="365"/>
        <v>-0.20967580021601404</v>
      </c>
      <c r="E226" s="191">
        <f t="shared" si="365"/>
        <v>-0.23096085234967281</v>
      </c>
      <c r="F226" s="191">
        <f t="shared" si="365"/>
        <v>-0.28008117341776056</v>
      </c>
      <c r="G226" s="191">
        <f t="shared" si="365"/>
        <v>-3.2379057119649581</v>
      </c>
      <c r="H226" s="191">
        <f t="shared" si="365"/>
        <v>-0.41058891493216298</v>
      </c>
      <c r="I226" s="191">
        <f t="shared" si="365"/>
        <v>-0.26503400494494017</v>
      </c>
      <c r="J226" s="191">
        <f t="shared" ref="J226:K226" si="366">J223/(J29*J91*J224)</f>
        <v>-0.16229951915034421</v>
      </c>
      <c r="K226" s="191">
        <f t="shared" si="366"/>
        <v>-9.3703671070798106E-2</v>
      </c>
    </row>
    <row r="227" spans="1:11" ht="15" customHeight="1">
      <c r="A227" s="291" t="s">
        <v>524</v>
      </c>
      <c r="B227" s="289">
        <f>(-B185*B187^2)/(B225*B3)</f>
        <v>-1.5941389645945199E-3</v>
      </c>
      <c r="C227" s="289">
        <f t="shared" ref="C227:I227" si="367">(-C185*C187^2)/(C225*C3)</f>
        <v>-9.2656791636244057E-4</v>
      </c>
      <c r="D227" s="289">
        <f t="shared" si="367"/>
        <v>-3.2214611966789743E-4</v>
      </c>
      <c r="E227" s="289">
        <f t="shared" si="367"/>
        <v>-2.1290909767264995E-4</v>
      </c>
      <c r="F227" s="289">
        <f t="shared" si="367"/>
        <v>-1.8442157528556364E-4</v>
      </c>
      <c r="G227" s="289">
        <f t="shared" si="367"/>
        <v>-1.4924165209605816E-3</v>
      </c>
      <c r="H227" s="289">
        <f t="shared" si="367"/>
        <v>-1.2616584802612485E-4</v>
      </c>
      <c r="I227" s="289">
        <f t="shared" si="367"/>
        <v>-6.1079778533164696E-5</v>
      </c>
      <c r="J227" s="289">
        <f t="shared" ref="J227:K227" si="368">(-J185*J187^2)/(J225*J3)</f>
        <v>-2.4935715168075836E-5</v>
      </c>
      <c r="K227" s="289">
        <f t="shared" si="368"/>
        <v>-8.6379851188346516E-6</v>
      </c>
    </row>
    <row r="228" spans="1:11" ht="15" customHeight="1" outlineLevel="1">
      <c r="A228">
        <v>0.06</v>
      </c>
      <c r="B228" s="289">
        <v>-3.957435565420617E-3</v>
      </c>
      <c r="C228" s="289"/>
      <c r="D228" s="289"/>
      <c r="E228" s="289"/>
      <c r="F228" s="289"/>
      <c r="G228" s="289"/>
      <c r="H228" s="289"/>
      <c r="I228" s="289"/>
      <c r="J228" s="289"/>
      <c r="K228" s="289"/>
    </row>
    <row r="229" spans="1:11" ht="15" customHeight="1" outlineLevel="1">
      <c r="A229">
        <v>0.1</v>
      </c>
      <c r="B229" s="289">
        <v>-1.0587217785124063E-3</v>
      </c>
      <c r="C229" s="289"/>
      <c r="D229" s="289"/>
      <c r="E229" s="289"/>
      <c r="F229" s="289"/>
      <c r="G229" s="289"/>
      <c r="H229" s="289"/>
      <c r="I229" s="289"/>
      <c r="J229" s="289"/>
      <c r="K229" s="289"/>
    </row>
    <row r="230" spans="1:11" ht="15" customHeight="1" outlineLevel="1">
      <c r="A230">
        <v>0.3</v>
      </c>
      <c r="B230" s="289">
        <v>-2.3663117870606997E-4</v>
      </c>
      <c r="C230" s="289"/>
      <c r="D230" s="289"/>
      <c r="E230" s="289"/>
      <c r="F230" s="289"/>
      <c r="G230" s="289"/>
      <c r="H230" s="289"/>
      <c r="I230" s="289"/>
      <c r="J230" s="289"/>
      <c r="K230" s="289"/>
    </row>
    <row r="231" spans="1:11" ht="15" customHeight="1" outlineLevel="1">
      <c r="A231">
        <v>0.5</v>
      </c>
      <c r="B231" s="289">
        <v>-1.1523587839424864E-4</v>
      </c>
      <c r="C231" s="289"/>
      <c r="D231" s="289"/>
      <c r="E231" s="289"/>
      <c r="F231" s="289"/>
      <c r="G231" s="289"/>
      <c r="H231" s="289"/>
      <c r="I231" s="289"/>
      <c r="J231" s="289"/>
      <c r="K231" s="289"/>
    </row>
    <row r="232" spans="1:11" ht="15" customHeight="1" outlineLevel="1">
      <c r="A232">
        <v>0.7</v>
      </c>
      <c r="B232" s="289">
        <v>-7.9021921140809409E-5</v>
      </c>
      <c r="C232" s="289"/>
      <c r="D232" s="289"/>
      <c r="E232" s="289"/>
      <c r="F232" s="289"/>
      <c r="G232" s="289"/>
      <c r="H232" s="289"/>
      <c r="I232" s="289"/>
      <c r="J232" s="289"/>
      <c r="K232" s="289"/>
    </row>
    <row r="233" spans="1:11" ht="15" customHeight="1" outlineLevel="1">
      <c r="A233">
        <v>1</v>
      </c>
      <c r="B233" s="289">
        <v>-5.1877556177959536E-4</v>
      </c>
      <c r="C233" s="289"/>
      <c r="D233" s="289"/>
      <c r="E233" s="289"/>
      <c r="F233" s="289"/>
      <c r="G233" s="289"/>
      <c r="H233" s="289"/>
      <c r="I233" s="289"/>
      <c r="J233" s="289"/>
      <c r="K233" s="289"/>
    </row>
    <row r="234" spans="1:11" ht="15" customHeight="1" outlineLevel="1">
      <c r="A234">
        <v>1.5</v>
      </c>
      <c r="B234" s="289">
        <v>-3.1795765043958875E-4</v>
      </c>
      <c r="C234" s="289"/>
      <c r="D234" s="289"/>
      <c r="E234" s="289"/>
      <c r="F234" s="289"/>
      <c r="G234" s="289"/>
      <c r="H234" s="289"/>
      <c r="I234" s="289"/>
      <c r="J234" s="289"/>
      <c r="K234" s="289"/>
    </row>
    <row r="235" spans="1:11" ht="15" customHeight="1" outlineLevel="1">
      <c r="A235">
        <v>2</v>
      </c>
      <c r="B235" s="289">
        <v>-6.841359360843149E-5</v>
      </c>
      <c r="C235" s="289"/>
      <c r="D235" s="289"/>
      <c r="E235" s="289"/>
      <c r="F235" s="289"/>
      <c r="G235" s="289"/>
      <c r="H235" s="289"/>
      <c r="I235" s="289"/>
      <c r="J235" s="289"/>
      <c r="K235" s="289"/>
    </row>
    <row r="236" spans="1:11" ht="15" customHeight="1" outlineLevel="1">
      <c r="A236">
        <v>3</v>
      </c>
      <c r="B236" s="289">
        <v>-1.795482812258461E-5</v>
      </c>
      <c r="C236" s="289"/>
      <c r="D236" s="289"/>
      <c r="E236" s="289"/>
      <c r="F236" s="289"/>
      <c r="G236" s="289"/>
      <c r="H236" s="289"/>
      <c r="I236" s="289"/>
      <c r="J236" s="289"/>
      <c r="K236" s="289"/>
    </row>
    <row r="237" spans="1:11" ht="15" customHeight="1" outlineLevel="1">
      <c r="A237">
        <v>5</v>
      </c>
      <c r="B237" s="289">
        <v>-4.5829625651869788E-6</v>
      </c>
      <c r="C237" s="289"/>
      <c r="D237" s="289"/>
      <c r="E237" s="289"/>
      <c r="F237" s="289"/>
      <c r="G237" s="289"/>
      <c r="H237" s="289"/>
      <c r="I237" s="289"/>
      <c r="J237" s="289"/>
      <c r="K237" s="289"/>
    </row>
    <row r="239" spans="1:11" ht="15" customHeight="1">
      <c r="A239" s="291" t="s">
        <v>525</v>
      </c>
      <c r="B239" s="191">
        <f>(B185*B187)/B225</f>
        <v>0.26190342003068268</v>
      </c>
      <c r="C239" s="191">
        <f t="shared" ref="C239:I239" si="369">(C185*C187)/C225</f>
        <v>0.26274861277232359</v>
      </c>
      <c r="D239" s="191">
        <f t="shared" si="369"/>
        <v>0.27405474944035557</v>
      </c>
      <c r="E239" s="191">
        <f t="shared" si="369"/>
        <v>0.301875173272315</v>
      </c>
      <c r="F239" s="191">
        <f t="shared" si="369"/>
        <v>0.36607741916276115</v>
      </c>
      <c r="G239" s="191">
        <f t="shared" si="369"/>
        <v>4.2320736951515885</v>
      </c>
      <c r="H239" s="191">
        <f t="shared" si="369"/>
        <v>0.53665631459994945</v>
      </c>
      <c r="I239" s="191">
        <f t="shared" si="369"/>
        <v>0.34641016151377546</v>
      </c>
      <c r="J239" s="191">
        <f t="shared" ref="J239:K239" si="370">(J185*J187)/J225</f>
        <v>0.21213203435596423</v>
      </c>
      <c r="K239" s="191">
        <f t="shared" si="370"/>
        <v>0.1224744871391589</v>
      </c>
    </row>
    <row r="240" spans="1:11" ht="15" customHeight="1" outlineLevel="1">
      <c r="A240">
        <v>0.06</v>
      </c>
      <c r="B240" s="191">
        <v>0.42414518635482801</v>
      </c>
    </row>
    <row r="241" spans="1:2" ht="15" customHeight="1" outlineLevel="1">
      <c r="A241">
        <v>0.1</v>
      </c>
      <c r="B241" s="191">
        <v>0.42551395211156007</v>
      </c>
    </row>
    <row r="242" spans="1:2" ht="15" customHeight="1" outlineLevel="1">
      <c r="A242">
        <v>0.3</v>
      </c>
      <c r="B242" s="191">
        <v>0.4438239208910964</v>
      </c>
    </row>
    <row r="243" spans="1:2" ht="15" customHeight="1" outlineLevel="1">
      <c r="A243">
        <v>0.5</v>
      </c>
      <c r="B243" s="191">
        <v>0.48887831097616802</v>
      </c>
    </row>
    <row r="244" spans="1:2" ht="15" customHeight="1" outlineLevel="1">
      <c r="A244">
        <v>0.7</v>
      </c>
      <c r="B244" s="191">
        <v>0.59285203359655836</v>
      </c>
    </row>
    <row r="245" spans="1:2" ht="15" customHeight="1" outlineLevel="1">
      <c r="A245">
        <v>1</v>
      </c>
      <c r="B245" s="191">
        <v>6.7184169910531475</v>
      </c>
    </row>
    <row r="246" spans="1:2" ht="15" customHeight="1" outlineLevel="1">
      <c r="A246">
        <v>1.5</v>
      </c>
      <c r="B246" s="191">
        <v>0.85194189942741982</v>
      </c>
    </row>
    <row r="247" spans="1:2" ht="15" customHeight="1" outlineLevel="1">
      <c r="A247">
        <v>2</v>
      </c>
      <c r="B247" s="191">
        <v>0.54992613140311863</v>
      </c>
    </row>
    <row r="248" spans="1:2" ht="15" customHeight="1" outlineLevel="1">
      <c r="A248">
        <v>3</v>
      </c>
      <c r="B248" s="191">
        <v>0.33675960454009318</v>
      </c>
    </row>
    <row r="249" spans="1:2" ht="15" customHeight="1" outlineLevel="1">
      <c r="A249">
        <v>5</v>
      </c>
      <c r="B249" s="191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591"/>
  <sheetViews>
    <sheetView zoomScale="85" zoomScaleNormal="85" workbookViewId="0">
      <pane ySplit="14" topLeftCell="A300" activePane="bottomLeft" state="frozen"/>
      <selection pane="bottomLeft" activeCell="C13" sqref="C13"/>
    </sheetView>
  </sheetViews>
  <sheetFormatPr defaultColWidth="9.08984375" defaultRowHeight="15" customHeight="1" outlineLevelRow="2"/>
  <cols>
    <col min="1" max="1" width="43.26953125" customWidth="1"/>
    <col min="2" max="2" width="12.7265625" style="191" customWidth="1"/>
    <col min="3" max="3" width="12.90625" style="319" customWidth="1"/>
    <col min="4" max="11" width="12.90625" style="191" customWidth="1"/>
    <col min="12" max="12" width="12.90625" customWidth="1"/>
    <col min="13" max="13" width="4.453125" style="331" customWidth="1"/>
    <col min="14" max="31" width="4.453125" customWidth="1"/>
  </cols>
  <sheetData>
    <row r="1" spans="1:13" ht="30.75" customHeight="1" thickBot="1">
      <c r="A1" s="269" t="s">
        <v>625</v>
      </c>
      <c r="B1" s="191">
        <v>1</v>
      </c>
      <c r="C1" s="319">
        <v>1</v>
      </c>
      <c r="D1" s="191">
        <v>1</v>
      </c>
      <c r="F1" s="191">
        <v>1</v>
      </c>
      <c r="G1" s="191">
        <v>1</v>
      </c>
      <c r="H1" s="191">
        <v>1</v>
      </c>
      <c r="I1" s="191">
        <v>1</v>
      </c>
      <c r="J1" s="191">
        <v>1</v>
      </c>
      <c r="K1" s="191">
        <v>1</v>
      </c>
    </row>
    <row r="2" spans="1:13" ht="14.5">
      <c r="A2" t="s">
        <v>327</v>
      </c>
      <c r="B2" s="191">
        <f>B10*B12</f>
        <v>170.08703654305933</v>
      </c>
      <c r="C2" s="319">
        <f t="shared" ref="C2:K2" si="0">C10*C12</f>
        <v>34.028626478304993</v>
      </c>
      <c r="D2" s="191">
        <f t="shared" si="0"/>
        <v>102.08587943491499</v>
      </c>
      <c r="F2" s="191">
        <f t="shared" si="0"/>
        <v>238.20038534813494</v>
      </c>
      <c r="G2" s="191">
        <f t="shared" si="0"/>
        <v>340.28626478304994</v>
      </c>
      <c r="H2" s="191">
        <f t="shared" si="0"/>
        <v>510.42939717457489</v>
      </c>
      <c r="I2" s="191">
        <f t="shared" si="0"/>
        <v>680.57252956609989</v>
      </c>
      <c r="J2" s="191">
        <f t="shared" si="0"/>
        <v>1020.8587943491498</v>
      </c>
      <c r="K2" s="191">
        <f t="shared" si="0"/>
        <v>1701.4313239152498</v>
      </c>
    </row>
    <row r="3" spans="1:13" ht="14.5" outlineLevel="1">
      <c r="A3" t="s">
        <v>328</v>
      </c>
      <c r="B3" s="191">
        <f>B2*COS(RADIANS(B13))*COS(RADIANS(B14))</f>
        <v>169.43980401833267</v>
      </c>
      <c r="C3" s="319">
        <f t="shared" ref="C3:K3" si="1">C2*COS(RADIANS(C13))*COS(RADIANS(C14))</f>
        <v>34.028626478304993</v>
      </c>
      <c r="D3" s="191">
        <f t="shared" si="1"/>
        <v>102.08587943491499</v>
      </c>
      <c r="F3" s="191">
        <f t="shared" si="1"/>
        <v>238.20038534813494</v>
      </c>
      <c r="G3" s="191">
        <f t="shared" si="1"/>
        <v>340.28626478304994</v>
      </c>
      <c r="H3" s="191">
        <f t="shared" si="1"/>
        <v>510.42939717457489</v>
      </c>
      <c r="I3" s="191">
        <f t="shared" si="1"/>
        <v>680.57252956609989</v>
      </c>
      <c r="J3" s="191">
        <f t="shared" si="1"/>
        <v>1020.8587943491498</v>
      </c>
      <c r="K3" s="191">
        <f t="shared" si="1"/>
        <v>1701.4313239152498</v>
      </c>
    </row>
    <row r="4" spans="1:13" ht="14.5" outlineLevel="1">
      <c r="A4" t="s">
        <v>329</v>
      </c>
      <c r="B4" s="191">
        <f t="shared" ref="B4:K4" si="2">B2*SIN(RADIANS(B14))</f>
        <v>0</v>
      </c>
      <c r="C4" s="319">
        <f t="shared" si="2"/>
        <v>0</v>
      </c>
      <c r="D4" s="191">
        <f t="shared" si="2"/>
        <v>0</v>
      </c>
      <c r="F4" s="191">
        <f t="shared" si="2"/>
        <v>0</v>
      </c>
      <c r="G4" s="191">
        <f t="shared" si="2"/>
        <v>0</v>
      </c>
      <c r="H4" s="191">
        <f t="shared" si="2"/>
        <v>0</v>
      </c>
      <c r="I4" s="191">
        <f t="shared" si="2"/>
        <v>0</v>
      </c>
      <c r="J4" s="191">
        <f t="shared" si="2"/>
        <v>0</v>
      </c>
      <c r="K4" s="191">
        <f t="shared" si="2"/>
        <v>0</v>
      </c>
    </row>
    <row r="5" spans="1:13" ht="14.5" outlineLevel="1">
      <c r="A5" t="s">
        <v>330</v>
      </c>
      <c r="B5" s="191">
        <f t="shared" ref="B5:K5" si="3">B2*SIN(RADIANS(B13))*COS(RADIANS(B14))</f>
        <v>14.824062001658412</v>
      </c>
      <c r="C5" s="319">
        <f t="shared" si="3"/>
        <v>0</v>
      </c>
      <c r="D5" s="191">
        <f t="shared" si="3"/>
        <v>0</v>
      </c>
      <c r="F5" s="191">
        <f t="shared" si="3"/>
        <v>0</v>
      </c>
      <c r="G5" s="191">
        <f t="shared" si="3"/>
        <v>0</v>
      </c>
      <c r="H5" s="191">
        <f t="shared" si="3"/>
        <v>0</v>
      </c>
      <c r="I5" s="191">
        <f t="shared" si="3"/>
        <v>0</v>
      </c>
      <c r="J5" s="191">
        <f t="shared" si="3"/>
        <v>0</v>
      </c>
      <c r="K5" s="191">
        <f t="shared" si="3"/>
        <v>0</v>
      </c>
    </row>
    <row r="6" spans="1:13" ht="14.5" outlineLevel="1">
      <c r="A6" t="s">
        <v>336</v>
      </c>
      <c r="B6" s="191">
        <v>0</v>
      </c>
    </row>
    <row r="7" spans="1:13" ht="14.5" outlineLevel="1">
      <c r="A7" t="s">
        <v>347</v>
      </c>
      <c r="B7" s="191">
        <f>B34</f>
        <v>5.0265482457436689E-3</v>
      </c>
    </row>
    <row r="8" spans="1:13" ht="14.5" outlineLevel="1">
      <c r="A8" t="s">
        <v>614</v>
      </c>
      <c r="B8" s="191">
        <f>B33</f>
        <v>17706.008941658431</v>
      </c>
    </row>
    <row r="9" spans="1:13" ht="14.5" outlineLevel="1">
      <c r="A9" t="s">
        <v>615</v>
      </c>
      <c r="B9" s="191">
        <f>B545</f>
        <v>1.35</v>
      </c>
    </row>
    <row r="10" spans="1:13" s="284" customFormat="1" ht="14.5">
      <c r="A10" s="284" t="s">
        <v>613</v>
      </c>
      <c r="B10" s="285">
        <v>0.5</v>
      </c>
      <c r="C10" s="320">
        <v>0.1</v>
      </c>
      <c r="D10" s="285">
        <v>0.3</v>
      </c>
      <c r="E10" s="285"/>
      <c r="F10" s="285">
        <v>0.7</v>
      </c>
      <c r="G10" s="285">
        <v>1</v>
      </c>
      <c r="H10" s="285">
        <v>1.5</v>
      </c>
      <c r="I10" s="285">
        <v>2</v>
      </c>
      <c r="J10" s="285">
        <v>3</v>
      </c>
      <c r="K10" s="285">
        <v>5</v>
      </c>
      <c r="M10" s="335"/>
    </row>
    <row r="11" spans="1:13" ht="14.5">
      <c r="A11" t="s">
        <v>331</v>
      </c>
      <c r="B11" s="282">
        <f>B2/B12</f>
        <v>0.5</v>
      </c>
      <c r="C11" s="321">
        <f>C2/C12</f>
        <v>9.9999999999999992E-2</v>
      </c>
      <c r="D11" s="282">
        <f t="shared" ref="D11:K11" si="4">D2/D12</f>
        <v>0.3</v>
      </c>
      <c r="E11" s="282"/>
      <c r="F11" s="282">
        <f t="shared" si="4"/>
        <v>0.7</v>
      </c>
      <c r="G11" s="282">
        <f t="shared" si="4"/>
        <v>1</v>
      </c>
      <c r="H11" s="282">
        <f t="shared" si="4"/>
        <v>1.5</v>
      </c>
      <c r="I11" s="282">
        <f t="shared" si="4"/>
        <v>2</v>
      </c>
      <c r="J11" s="282">
        <f t="shared" si="4"/>
        <v>3</v>
      </c>
      <c r="K11" s="282">
        <f t="shared" si="4"/>
        <v>5</v>
      </c>
    </row>
    <row r="12" spans="1:13" ht="14.5">
      <c r="A12" t="s">
        <v>485</v>
      </c>
      <c r="B12" s="191">
        <f>(SQRT(1.4*B21*287))</f>
        <v>340.17407308611865</v>
      </c>
      <c r="C12" s="319">
        <f t="shared" ref="C12:K12" si="5">(SQRT(1.4*C21*287))</f>
        <v>340.28626478304994</v>
      </c>
      <c r="D12" s="191">
        <f t="shared" si="5"/>
        <v>340.28626478304994</v>
      </c>
      <c r="F12" s="191">
        <f t="shared" si="5"/>
        <v>340.28626478304994</v>
      </c>
      <c r="G12" s="191">
        <f t="shared" si="5"/>
        <v>340.28626478304994</v>
      </c>
      <c r="H12" s="191">
        <f t="shared" si="5"/>
        <v>340.28626478304994</v>
      </c>
      <c r="I12" s="191">
        <f t="shared" si="5"/>
        <v>340.28626478304994</v>
      </c>
      <c r="J12" s="191">
        <f t="shared" si="5"/>
        <v>340.28626478304994</v>
      </c>
      <c r="K12" s="191">
        <f t="shared" si="5"/>
        <v>340.28626478304994</v>
      </c>
    </row>
    <row r="13" spans="1:13" s="284" customFormat="1" ht="14.5">
      <c r="A13" s="284" t="s">
        <v>332</v>
      </c>
      <c r="B13" s="286">
        <v>5</v>
      </c>
      <c r="C13" s="322">
        <v>0</v>
      </c>
      <c r="D13" s="286">
        <v>0</v>
      </c>
      <c r="E13" s="286"/>
      <c r="F13" s="286">
        <v>0</v>
      </c>
      <c r="G13" s="286">
        <v>0</v>
      </c>
      <c r="H13" s="286">
        <v>0</v>
      </c>
      <c r="I13" s="286">
        <v>0</v>
      </c>
      <c r="J13" s="286">
        <v>0</v>
      </c>
      <c r="K13" s="286">
        <v>0</v>
      </c>
      <c r="M13" s="335"/>
    </row>
    <row r="14" spans="1:13" ht="14.5">
      <c r="A14" s="267" t="s">
        <v>333</v>
      </c>
      <c r="B14" s="191">
        <v>0</v>
      </c>
      <c r="C14" s="319">
        <v>0</v>
      </c>
      <c r="D14" s="191">
        <v>0</v>
      </c>
      <c r="F14" s="191">
        <v>0</v>
      </c>
      <c r="G14" s="191">
        <v>0</v>
      </c>
      <c r="H14" s="191">
        <v>0</v>
      </c>
      <c r="I14" s="191">
        <v>0</v>
      </c>
      <c r="J14" s="191">
        <v>0</v>
      </c>
      <c r="K14" s="191">
        <v>0</v>
      </c>
    </row>
    <row r="15" spans="1:13" ht="14.5">
      <c r="A15" t="s">
        <v>334</v>
      </c>
      <c r="B15" s="191">
        <f t="shared" ref="B15:K15" si="6">RADIANS(AoAfins)</f>
        <v>8.7266462599716474E-2</v>
      </c>
      <c r="C15" s="319">
        <f t="shared" si="6"/>
        <v>8.7266462599716474E-2</v>
      </c>
      <c r="D15" s="191">
        <f t="shared" si="6"/>
        <v>8.7266462599716474E-2</v>
      </c>
      <c r="F15" s="191">
        <f t="shared" si="6"/>
        <v>8.7266462599716474E-2</v>
      </c>
      <c r="G15" s="191">
        <f t="shared" si="6"/>
        <v>8.7266462599716474E-2</v>
      </c>
      <c r="H15" s="191">
        <f t="shared" si="6"/>
        <v>8.7266462599716474E-2</v>
      </c>
      <c r="I15" s="191">
        <f t="shared" si="6"/>
        <v>8.7266462599716474E-2</v>
      </c>
      <c r="J15" s="191">
        <f t="shared" si="6"/>
        <v>8.7266462599716474E-2</v>
      </c>
      <c r="K15" s="191">
        <f t="shared" si="6"/>
        <v>8.7266462599716474E-2</v>
      </c>
    </row>
    <row r="16" spans="1:13" ht="14.5">
      <c r="A16" t="s">
        <v>335</v>
      </c>
      <c r="B16" s="191">
        <f t="shared" ref="B16:K16" si="7">RADIANS(AoSfins)</f>
        <v>0</v>
      </c>
      <c r="C16" s="319">
        <f t="shared" si="7"/>
        <v>0</v>
      </c>
      <c r="D16" s="191">
        <f t="shared" si="7"/>
        <v>0</v>
      </c>
      <c r="F16" s="191">
        <f t="shared" si="7"/>
        <v>0</v>
      </c>
      <c r="G16" s="191">
        <f t="shared" si="7"/>
        <v>0</v>
      </c>
      <c r="H16" s="191">
        <f t="shared" si="7"/>
        <v>0</v>
      </c>
      <c r="I16" s="191">
        <f t="shared" si="7"/>
        <v>0</v>
      </c>
      <c r="J16" s="191">
        <f t="shared" si="7"/>
        <v>0</v>
      </c>
      <c r="K16" s="191">
        <f t="shared" si="7"/>
        <v>0</v>
      </c>
    </row>
    <row r="17" spans="1:11" thickBot="1">
      <c r="A17" t="s">
        <v>336</v>
      </c>
      <c r="B17" s="191">
        <f>B6</f>
        <v>0</v>
      </c>
      <c r="C17" s="319">
        <v>0</v>
      </c>
      <c r="D17" s="191">
        <v>0</v>
      </c>
      <c r="F17" s="191">
        <v>0</v>
      </c>
      <c r="G17" s="191">
        <v>0</v>
      </c>
      <c r="H17" s="191">
        <v>0</v>
      </c>
      <c r="I17" s="191">
        <v>0</v>
      </c>
      <c r="J17" s="191">
        <v>0</v>
      </c>
      <c r="K17" s="191">
        <v>0</v>
      </c>
    </row>
    <row r="18" spans="1:11" thickBot="1">
      <c r="A18" s="268" t="s">
        <v>486</v>
      </c>
    </row>
    <row r="19" spans="1:11" ht="14.5" hidden="1" outlineLevel="1">
      <c r="A19" t="s">
        <v>348</v>
      </c>
      <c r="B19" s="191">
        <f>101325*(B21/288.08)^5.256</f>
        <v>101177.1939523339</v>
      </c>
      <c r="C19" s="319">
        <f t="shared" ref="C19:K19" si="8">101325*(C21/288.08)^5.256</f>
        <v>101528.51875418922</v>
      </c>
      <c r="D19" s="191">
        <f t="shared" si="8"/>
        <v>101528.51875418922</v>
      </c>
      <c r="F19" s="191">
        <f t="shared" si="8"/>
        <v>101528.51875418922</v>
      </c>
      <c r="G19" s="191">
        <f t="shared" si="8"/>
        <v>101528.51875418922</v>
      </c>
      <c r="H19" s="191">
        <f t="shared" si="8"/>
        <v>101528.51875418922</v>
      </c>
      <c r="I19" s="191">
        <f t="shared" si="8"/>
        <v>101528.51875418922</v>
      </c>
      <c r="J19" s="191">
        <f t="shared" si="8"/>
        <v>101528.51875418922</v>
      </c>
      <c r="K19" s="191">
        <f t="shared" si="8"/>
        <v>101528.51875418922</v>
      </c>
    </row>
    <row r="20" spans="1:11" ht="14.5" hidden="1" outlineLevel="1">
      <c r="A20" t="s">
        <v>337</v>
      </c>
      <c r="B20" s="191">
        <f t="shared" ref="B20:K20" si="9">B19/(287*B21)</f>
        <v>1.2240756140187512</v>
      </c>
      <c r="C20" s="319">
        <f t="shared" si="9"/>
        <v>1.2275162395185863</v>
      </c>
      <c r="D20" s="191">
        <f t="shared" si="9"/>
        <v>1.2275162395185863</v>
      </c>
      <c r="F20" s="191">
        <f t="shared" si="9"/>
        <v>1.2275162395185863</v>
      </c>
      <c r="G20" s="191">
        <f t="shared" si="9"/>
        <v>1.2275162395185863</v>
      </c>
      <c r="H20" s="191">
        <f t="shared" si="9"/>
        <v>1.2275162395185863</v>
      </c>
      <c r="I20" s="191">
        <f t="shared" si="9"/>
        <v>1.2275162395185863</v>
      </c>
      <c r="J20" s="191">
        <f t="shared" si="9"/>
        <v>1.2275162395185863</v>
      </c>
      <c r="K20" s="191">
        <f t="shared" si="9"/>
        <v>1.2275162395185863</v>
      </c>
    </row>
    <row r="21" spans="1:11" ht="14.5" hidden="1" outlineLevel="1">
      <c r="A21" t="s">
        <v>338</v>
      </c>
      <c r="B21" s="191">
        <f>(15-0.0065*B17)+273</f>
        <v>288</v>
      </c>
      <c r="C21" s="319">
        <f t="shared" ref="C21:K21" si="10">(15.04-0.0065*C17)+273.15</f>
        <v>288.19</v>
      </c>
      <c r="D21" s="191">
        <f t="shared" si="10"/>
        <v>288.19</v>
      </c>
      <c r="F21" s="191">
        <f t="shared" si="10"/>
        <v>288.19</v>
      </c>
      <c r="G21" s="191">
        <f t="shared" si="10"/>
        <v>288.19</v>
      </c>
      <c r="H21" s="191">
        <f t="shared" si="10"/>
        <v>288.19</v>
      </c>
      <c r="I21" s="191">
        <f t="shared" si="10"/>
        <v>288.19</v>
      </c>
      <c r="J21" s="191">
        <f t="shared" si="10"/>
        <v>288.19</v>
      </c>
      <c r="K21" s="191">
        <f t="shared" si="10"/>
        <v>288.19</v>
      </c>
    </row>
    <row r="22" spans="1:11" ht="14.5" hidden="1" outlineLevel="1">
      <c r="A22" t="s">
        <v>483</v>
      </c>
      <c r="B22" s="191">
        <f>B21-273</f>
        <v>15</v>
      </c>
      <c r="C22" s="319">
        <f t="shared" ref="C22:K22" si="11">C21-273</f>
        <v>15.189999999999998</v>
      </c>
      <c r="D22" s="191">
        <f t="shared" si="11"/>
        <v>15.189999999999998</v>
      </c>
      <c r="F22" s="191">
        <f t="shared" si="11"/>
        <v>15.189999999999998</v>
      </c>
      <c r="G22" s="191">
        <f t="shared" si="11"/>
        <v>15.189999999999998</v>
      </c>
      <c r="H22" s="191">
        <f t="shared" si="11"/>
        <v>15.189999999999998</v>
      </c>
      <c r="I22" s="191">
        <f t="shared" si="11"/>
        <v>15.189999999999998</v>
      </c>
      <c r="J22" s="191">
        <f t="shared" si="11"/>
        <v>15.189999999999998</v>
      </c>
      <c r="K22" s="191">
        <f t="shared" si="11"/>
        <v>15.189999999999998</v>
      </c>
    </row>
    <row r="23" spans="1:11" ht="14.5" hidden="1" outlineLevel="1">
      <c r="A23" t="s">
        <v>339</v>
      </c>
      <c r="B23" s="186">
        <f>(1.76*10^-5)*((B21/273)^(3/2))*((273+110)/(B21+110))</f>
        <v>1.8351566035015911E-5</v>
      </c>
      <c r="C23" s="323">
        <f t="shared" ref="C23:K23" si="12">(1.76*10^-5)*((C21/273)^(3/2))*((273+110)/(C21+110))</f>
        <v>1.8360964149388051E-5</v>
      </c>
      <c r="D23" s="186">
        <f t="shared" si="12"/>
        <v>1.8360964149388051E-5</v>
      </c>
      <c r="E23" s="186"/>
      <c r="F23" s="186">
        <f t="shared" si="12"/>
        <v>1.8360964149388051E-5</v>
      </c>
      <c r="G23" s="186">
        <f t="shared" si="12"/>
        <v>1.8360964149388051E-5</v>
      </c>
      <c r="H23" s="186">
        <f t="shared" si="12"/>
        <v>1.8360964149388051E-5</v>
      </c>
      <c r="I23" s="186">
        <f t="shared" si="12"/>
        <v>1.8360964149388051E-5</v>
      </c>
      <c r="J23" s="186">
        <f t="shared" si="12"/>
        <v>1.8360964149388051E-5</v>
      </c>
      <c r="K23" s="186">
        <f t="shared" si="12"/>
        <v>1.8360964149388051E-5</v>
      </c>
    </row>
    <row r="24" spans="1:11" ht="14.5" hidden="1" outlineLevel="1">
      <c r="A24" t="s">
        <v>340</v>
      </c>
      <c r="B24" s="186">
        <f t="shared" ref="B24:K24" si="13">B23/B20</f>
        <v>1.4992183346228143E-5</v>
      </c>
      <c r="C24" s="323">
        <f t="shared" si="13"/>
        <v>1.4957817712121631E-5</v>
      </c>
      <c r="D24" s="186">
        <f t="shared" si="13"/>
        <v>1.4957817712121631E-5</v>
      </c>
      <c r="E24" s="186"/>
      <c r="F24" s="186">
        <f t="shared" si="13"/>
        <v>1.4957817712121631E-5</v>
      </c>
      <c r="G24" s="186">
        <f t="shared" si="13"/>
        <v>1.4957817712121631E-5</v>
      </c>
      <c r="H24" s="186">
        <f t="shared" si="13"/>
        <v>1.4957817712121631E-5</v>
      </c>
      <c r="I24" s="186">
        <f t="shared" si="13"/>
        <v>1.4957817712121631E-5</v>
      </c>
      <c r="J24" s="186">
        <f t="shared" si="13"/>
        <v>1.4957817712121631E-5</v>
      </c>
      <c r="K24" s="186">
        <f t="shared" si="13"/>
        <v>1.4957817712121631E-5</v>
      </c>
    </row>
    <row r="25" spans="1:11" ht="14.5" hidden="1" outlineLevel="1">
      <c r="A25" t="s">
        <v>341</v>
      </c>
      <c r="B25" s="191">
        <v>9</v>
      </c>
      <c r="C25" s="319">
        <v>9</v>
      </c>
      <c r="D25" s="191">
        <v>9</v>
      </c>
      <c r="F25" s="191">
        <v>9</v>
      </c>
      <c r="G25" s="191">
        <v>9</v>
      </c>
      <c r="H25" s="191">
        <v>9</v>
      </c>
      <c r="I25" s="191">
        <v>9</v>
      </c>
      <c r="J25" s="191">
        <v>9</v>
      </c>
      <c r="K25" s="191">
        <v>9</v>
      </c>
    </row>
    <row r="26" spans="1:11" ht="14.5" hidden="1" outlineLevel="1">
      <c r="A26" t="s">
        <v>349</v>
      </c>
    </row>
    <row r="27" spans="1:11" ht="14.5" hidden="1" outlineLevel="1">
      <c r="A27" t="s">
        <v>350</v>
      </c>
    </row>
    <row r="28" spans="1:11" ht="14.5" hidden="1" outlineLevel="1">
      <c r="A28" t="s">
        <v>351</v>
      </c>
    </row>
    <row r="29" spans="1:11" ht="14.5" hidden="1" outlineLevel="1">
      <c r="A29" t="s">
        <v>342</v>
      </c>
      <c r="B29" s="191">
        <f t="shared" ref="B29:K29" si="14">DEGREES(ATAN((B5+B25)/B3))</f>
        <v>8.0035979836499376</v>
      </c>
      <c r="C29" s="319">
        <f t="shared" si="14"/>
        <v>14.814555975479079</v>
      </c>
      <c r="D29" s="191">
        <f t="shared" si="14"/>
        <v>5.0382309646817349</v>
      </c>
      <c r="F29" s="191">
        <f t="shared" si="14"/>
        <v>2.1637951681161911</v>
      </c>
      <c r="G29" s="191">
        <f t="shared" si="14"/>
        <v>1.5150239133225982</v>
      </c>
      <c r="H29" s="191">
        <f t="shared" si="14"/>
        <v>1.0101467304454064</v>
      </c>
      <c r="I29" s="191">
        <f t="shared" si="14"/>
        <v>0.75764439054895982</v>
      </c>
      <c r="J29" s="191">
        <f t="shared" si="14"/>
        <v>0.505112616327407</v>
      </c>
      <c r="K29" s="191">
        <f t="shared" si="14"/>
        <v>0.30307259479063259</v>
      </c>
    </row>
    <row r="30" spans="1:11" ht="14.5" hidden="1" outlineLevel="1">
      <c r="A30" t="s">
        <v>343</v>
      </c>
      <c r="B30" s="191">
        <f t="shared" ref="B30:K30" si="15">DEGREES(ATAN((B4+B25)/B3))</f>
        <v>3.0404773346578309</v>
      </c>
      <c r="C30" s="319">
        <f t="shared" si="15"/>
        <v>14.814555975479079</v>
      </c>
      <c r="D30" s="191">
        <f t="shared" si="15"/>
        <v>5.0382309646817349</v>
      </c>
      <c r="F30" s="191">
        <f t="shared" si="15"/>
        <v>2.1637951681161911</v>
      </c>
      <c r="G30" s="191">
        <f t="shared" si="15"/>
        <v>1.5150239133225982</v>
      </c>
      <c r="H30" s="191">
        <f t="shared" si="15"/>
        <v>1.0101467304454064</v>
      </c>
      <c r="I30" s="191">
        <f t="shared" si="15"/>
        <v>0.75764439054895982</v>
      </c>
      <c r="J30" s="191">
        <f t="shared" si="15"/>
        <v>0.505112616327407</v>
      </c>
      <c r="K30" s="191">
        <f t="shared" si="15"/>
        <v>0.30307259479063259</v>
      </c>
    </row>
    <row r="31" spans="1:11" ht="14.5" hidden="1" outlineLevel="1">
      <c r="A31" t="s">
        <v>344</v>
      </c>
      <c r="B31" s="191">
        <f t="shared" ref="B31:K32" si="16">RADIANS(B29)</f>
        <v>0.13968913682067069</v>
      </c>
      <c r="C31" s="319">
        <f t="shared" si="16"/>
        <v>0.25856277899311025</v>
      </c>
      <c r="D31" s="191">
        <f t="shared" si="16"/>
        <v>8.7933718809626416E-2</v>
      </c>
      <c r="F31" s="191">
        <f t="shared" si="16"/>
        <v>3.776535002237176E-2</v>
      </c>
      <c r="G31" s="191">
        <f t="shared" si="16"/>
        <v>2.6442155533928525E-2</v>
      </c>
      <c r="H31" s="191">
        <f t="shared" si="16"/>
        <v>1.7630386374527986E-2</v>
      </c>
      <c r="I31" s="191">
        <f t="shared" si="16"/>
        <v>1.3223389174345157E-2</v>
      </c>
      <c r="J31" s="191">
        <f t="shared" si="16"/>
        <v>8.8158782482761211E-3</v>
      </c>
      <c r="K31" s="191">
        <f t="shared" si="16"/>
        <v>5.2896146516591535E-3</v>
      </c>
    </row>
    <row r="32" spans="1:11" ht="14.5" hidden="1" outlineLevel="1">
      <c r="A32" t="s">
        <v>345</v>
      </c>
      <c r="B32" s="191">
        <f t="shared" si="16"/>
        <v>5.3066340322040648E-2</v>
      </c>
      <c r="C32" s="319">
        <f t="shared" si="16"/>
        <v>0.25856277899311025</v>
      </c>
      <c r="D32" s="191">
        <f t="shared" si="16"/>
        <v>8.7933718809626416E-2</v>
      </c>
      <c r="F32" s="191">
        <f t="shared" si="16"/>
        <v>3.776535002237176E-2</v>
      </c>
      <c r="G32" s="191">
        <f t="shared" si="16"/>
        <v>2.6442155533928525E-2</v>
      </c>
      <c r="H32" s="191">
        <f t="shared" si="16"/>
        <v>1.7630386374527986E-2</v>
      </c>
      <c r="I32" s="191">
        <f t="shared" si="16"/>
        <v>1.3223389174345157E-2</v>
      </c>
      <c r="J32" s="191">
        <f t="shared" si="16"/>
        <v>8.8158782482761211E-3</v>
      </c>
      <c r="K32" s="191">
        <f t="shared" si="16"/>
        <v>5.2896146516591535E-3</v>
      </c>
    </row>
    <row r="33" spans="1:13" ht="14.5" hidden="1" outlineLevel="1">
      <c r="A33" t="s">
        <v>346</v>
      </c>
      <c r="B33" s="191">
        <f t="shared" ref="B33:K33" si="17">0.5*B20*B2^2</f>
        <v>17706.008941658431</v>
      </c>
      <c r="C33" s="319">
        <f t="shared" si="17"/>
        <v>710.69963127932442</v>
      </c>
      <c r="D33" s="191">
        <f t="shared" si="17"/>
        <v>6396.2966815139198</v>
      </c>
      <c r="F33" s="191">
        <f t="shared" si="17"/>
        <v>34824.281932686892</v>
      </c>
      <c r="G33" s="191">
        <f t="shared" si="17"/>
        <v>71069.963127932439</v>
      </c>
      <c r="H33" s="191">
        <f t="shared" si="17"/>
        <v>159907.41703784798</v>
      </c>
      <c r="I33" s="191">
        <f t="shared" si="17"/>
        <v>284279.85251172975</v>
      </c>
      <c r="J33" s="191">
        <f t="shared" si="17"/>
        <v>639629.6681513919</v>
      </c>
      <c r="K33" s="191">
        <f t="shared" si="17"/>
        <v>1776749.0781983112</v>
      </c>
    </row>
    <row r="34" spans="1:13" ht="14.5" hidden="1" outlineLevel="1">
      <c r="A34" t="s">
        <v>347</v>
      </c>
      <c r="B34" s="191">
        <f t="shared" ref="B34:K34" si="18">CrossSecAreaRocket</f>
        <v>5.0265482457436689E-3</v>
      </c>
      <c r="C34" s="319">
        <f t="shared" si="18"/>
        <v>5.0265482457436689E-3</v>
      </c>
      <c r="D34" s="191">
        <f t="shared" si="18"/>
        <v>5.0265482457436689E-3</v>
      </c>
      <c r="F34" s="191">
        <f t="shared" si="18"/>
        <v>5.0265482457436689E-3</v>
      </c>
      <c r="G34" s="191">
        <f t="shared" si="18"/>
        <v>5.0265482457436689E-3</v>
      </c>
      <c r="H34" s="191">
        <f t="shared" si="18"/>
        <v>5.0265482457436689E-3</v>
      </c>
      <c r="I34" s="191">
        <f t="shared" si="18"/>
        <v>5.0265482457436689E-3</v>
      </c>
      <c r="J34" s="191">
        <f t="shared" si="18"/>
        <v>5.0265482457436689E-3</v>
      </c>
      <c r="K34" s="191">
        <f t="shared" si="18"/>
        <v>5.0265482457436689E-3</v>
      </c>
    </row>
    <row r="35" spans="1:13" ht="15" customHeight="1" collapsed="1"/>
    <row r="36" spans="1:13" s="97" customFormat="1" ht="15" customHeight="1">
      <c r="A36" s="318" t="s">
        <v>612</v>
      </c>
      <c r="B36" s="317"/>
      <c r="C36" s="324"/>
      <c r="D36" s="317"/>
      <c r="E36" s="317"/>
      <c r="F36" s="317"/>
      <c r="G36" s="317"/>
      <c r="H36" s="317"/>
      <c r="I36" s="317"/>
      <c r="J36" s="317"/>
      <c r="K36" s="317"/>
      <c r="M36" s="336"/>
    </row>
    <row r="38" spans="1:13" hidden="1" outlineLevel="1" thickBot="1">
      <c r="A38" s="268" t="s">
        <v>352</v>
      </c>
    </row>
    <row r="39" spans="1:13" ht="14.5" hidden="1" outlineLevel="2">
      <c r="A39" t="s">
        <v>353</v>
      </c>
      <c r="B39" s="191">
        <f t="shared" ref="B39:K39" si="19">DiameterRocket</f>
        <v>8</v>
      </c>
      <c r="C39" s="319">
        <f t="shared" si="19"/>
        <v>8</v>
      </c>
      <c r="D39" s="191">
        <f t="shared" si="19"/>
        <v>8</v>
      </c>
      <c r="F39" s="191">
        <f t="shared" si="19"/>
        <v>8</v>
      </c>
      <c r="G39" s="191">
        <f t="shared" si="19"/>
        <v>8</v>
      </c>
      <c r="H39" s="191">
        <f t="shared" si="19"/>
        <v>8</v>
      </c>
      <c r="I39" s="191">
        <f t="shared" si="19"/>
        <v>8</v>
      </c>
      <c r="J39" s="191">
        <f t="shared" si="19"/>
        <v>8</v>
      </c>
      <c r="K39" s="191">
        <f t="shared" si="19"/>
        <v>8</v>
      </c>
    </row>
    <row r="40" spans="1:13" ht="14.5" hidden="1" outlineLevel="2">
      <c r="A40" t="s">
        <v>354</v>
      </c>
      <c r="B40" s="191">
        <f t="shared" ref="B40:K40" si="20">B39/100</f>
        <v>0.08</v>
      </c>
      <c r="C40" s="319">
        <f t="shared" si="20"/>
        <v>0.08</v>
      </c>
      <c r="D40" s="191">
        <f t="shared" si="20"/>
        <v>0.08</v>
      </c>
      <c r="F40" s="191">
        <f t="shared" si="20"/>
        <v>0.08</v>
      </c>
      <c r="G40" s="191">
        <f t="shared" si="20"/>
        <v>0.08</v>
      </c>
      <c r="H40" s="191">
        <f t="shared" si="20"/>
        <v>0.08</v>
      </c>
      <c r="I40" s="191">
        <f t="shared" si="20"/>
        <v>0.08</v>
      </c>
      <c r="J40" s="191">
        <f t="shared" si="20"/>
        <v>0.08</v>
      </c>
      <c r="K40" s="191">
        <f t="shared" si="20"/>
        <v>0.08</v>
      </c>
    </row>
    <row r="41" spans="1:13" ht="14.5" hidden="1" outlineLevel="2">
      <c r="A41" t="s">
        <v>355</v>
      </c>
      <c r="B41" s="261">
        <f t="shared" ref="B41:K41" si="21">((B45-B43)/(-B53))*(B53+B39/2)+B45</f>
        <v>16.333333333333332</v>
      </c>
      <c r="C41" s="325">
        <f t="shared" si="21"/>
        <v>16.333333333333332</v>
      </c>
      <c r="D41" s="261">
        <f t="shared" si="21"/>
        <v>16.333333333333332</v>
      </c>
      <c r="E41" s="261"/>
      <c r="F41" s="261">
        <f t="shared" si="21"/>
        <v>16.333333333333332</v>
      </c>
      <c r="G41" s="261">
        <f t="shared" si="21"/>
        <v>16.333333333333332</v>
      </c>
      <c r="H41" s="261">
        <f t="shared" si="21"/>
        <v>16.333333333333332</v>
      </c>
      <c r="I41" s="261">
        <f t="shared" si="21"/>
        <v>16.333333333333332</v>
      </c>
      <c r="J41" s="261">
        <f t="shared" si="21"/>
        <v>16.333333333333332</v>
      </c>
      <c r="K41" s="261">
        <f t="shared" si="21"/>
        <v>16.333333333333332</v>
      </c>
    </row>
    <row r="42" spans="1:13" ht="14.5" hidden="1" outlineLevel="2">
      <c r="A42" t="s">
        <v>356</v>
      </c>
      <c r="B42" s="191">
        <f t="shared" ref="B42:K42" si="22">B41/100</f>
        <v>0.16333333333333333</v>
      </c>
      <c r="C42" s="319">
        <f t="shared" si="22"/>
        <v>0.16333333333333333</v>
      </c>
      <c r="D42" s="191">
        <f t="shared" si="22"/>
        <v>0.16333333333333333</v>
      </c>
      <c r="F42" s="191">
        <f t="shared" si="22"/>
        <v>0.16333333333333333</v>
      </c>
      <c r="G42" s="191">
        <f t="shared" si="22"/>
        <v>0.16333333333333333</v>
      </c>
      <c r="H42" s="191">
        <f t="shared" si="22"/>
        <v>0.16333333333333333</v>
      </c>
      <c r="I42" s="191">
        <f t="shared" si="22"/>
        <v>0.16333333333333333</v>
      </c>
      <c r="J42" s="191">
        <f t="shared" si="22"/>
        <v>0.16333333333333333</v>
      </c>
      <c r="K42" s="191">
        <f t="shared" si="22"/>
        <v>0.16333333333333333</v>
      </c>
    </row>
    <row r="43" spans="1:13" ht="14.5" hidden="1" outlineLevel="2">
      <c r="A43" s="266" t="s">
        <v>357</v>
      </c>
      <c r="B43" s="191">
        <v>15</v>
      </c>
      <c r="C43" s="319">
        <v>15</v>
      </c>
      <c r="D43" s="191">
        <v>15</v>
      </c>
      <c r="F43" s="191">
        <v>15</v>
      </c>
      <c r="G43" s="191">
        <v>15</v>
      </c>
      <c r="H43" s="191">
        <v>15</v>
      </c>
      <c r="I43" s="191">
        <v>15</v>
      </c>
      <c r="J43" s="191">
        <v>15</v>
      </c>
      <c r="K43" s="191">
        <v>15</v>
      </c>
    </row>
    <row r="44" spans="1:13" ht="14.5" hidden="1" outlineLevel="2">
      <c r="A44" t="s">
        <v>354</v>
      </c>
      <c r="B44" s="191">
        <f t="shared" ref="B44:K44" si="23">B43/100</f>
        <v>0.15</v>
      </c>
      <c r="C44" s="319">
        <f t="shared" si="23"/>
        <v>0.15</v>
      </c>
      <c r="D44" s="191">
        <f t="shared" si="23"/>
        <v>0.15</v>
      </c>
      <c r="F44" s="191">
        <f t="shared" si="23"/>
        <v>0.15</v>
      </c>
      <c r="G44" s="191">
        <f t="shared" si="23"/>
        <v>0.15</v>
      </c>
      <c r="H44" s="191">
        <f t="shared" si="23"/>
        <v>0.15</v>
      </c>
      <c r="I44" s="191">
        <f t="shared" si="23"/>
        <v>0.15</v>
      </c>
      <c r="J44" s="191">
        <f t="shared" si="23"/>
        <v>0.15</v>
      </c>
      <c r="K44" s="191">
        <f t="shared" si="23"/>
        <v>0.15</v>
      </c>
    </row>
    <row r="45" spans="1:13" ht="14.5" hidden="1" outlineLevel="2">
      <c r="A45" s="266" t="s">
        <v>358</v>
      </c>
      <c r="B45" s="191">
        <v>10</v>
      </c>
      <c r="C45" s="319">
        <v>10</v>
      </c>
      <c r="D45" s="191">
        <v>10</v>
      </c>
      <c r="F45" s="191">
        <v>10</v>
      </c>
      <c r="G45" s="191">
        <v>10</v>
      </c>
      <c r="H45" s="191">
        <v>10</v>
      </c>
      <c r="I45" s="191">
        <v>10</v>
      </c>
      <c r="J45" s="191">
        <v>10</v>
      </c>
      <c r="K45" s="191">
        <v>10</v>
      </c>
    </row>
    <row r="46" spans="1:13" ht="14.5" hidden="1" outlineLevel="2">
      <c r="A46" t="s">
        <v>354</v>
      </c>
      <c r="B46" s="191">
        <f t="shared" ref="B46:K46" si="24">B45/100</f>
        <v>0.1</v>
      </c>
      <c r="C46" s="319">
        <f t="shared" si="24"/>
        <v>0.1</v>
      </c>
      <c r="D46" s="191">
        <f t="shared" si="24"/>
        <v>0.1</v>
      </c>
      <c r="F46" s="191">
        <f t="shared" si="24"/>
        <v>0.1</v>
      </c>
      <c r="G46" s="191">
        <f t="shared" si="24"/>
        <v>0.1</v>
      </c>
      <c r="H46" s="191">
        <f t="shared" si="24"/>
        <v>0.1</v>
      </c>
      <c r="I46" s="191">
        <f t="shared" si="24"/>
        <v>0.1</v>
      </c>
      <c r="J46" s="191">
        <f t="shared" si="24"/>
        <v>0.1</v>
      </c>
      <c r="K46" s="191">
        <f t="shared" si="24"/>
        <v>0.1</v>
      </c>
    </row>
    <row r="47" spans="1:13" ht="14.5" hidden="1" outlineLevel="2">
      <c r="A47" s="266" t="s">
        <v>359</v>
      </c>
      <c r="B47" s="191">
        <v>2</v>
      </c>
      <c r="C47" s="319">
        <v>2</v>
      </c>
      <c r="D47" s="191">
        <v>2</v>
      </c>
      <c r="F47" s="191">
        <v>2</v>
      </c>
      <c r="G47" s="191">
        <v>2</v>
      </c>
      <c r="H47" s="191">
        <v>2</v>
      </c>
      <c r="I47" s="191">
        <v>2</v>
      </c>
      <c r="J47" s="191">
        <v>2</v>
      </c>
      <c r="K47" s="191">
        <v>2</v>
      </c>
    </row>
    <row r="48" spans="1:13" ht="14.5" hidden="1" outlineLevel="2">
      <c r="A48" t="s">
        <v>354</v>
      </c>
      <c r="B48" s="191">
        <f t="shared" ref="B48:K48" si="25">B47/100</f>
        <v>0.02</v>
      </c>
      <c r="C48" s="319">
        <f t="shared" si="25"/>
        <v>0.02</v>
      </c>
      <c r="D48" s="191">
        <f t="shared" si="25"/>
        <v>0.02</v>
      </c>
      <c r="F48" s="191">
        <f t="shared" si="25"/>
        <v>0.02</v>
      </c>
      <c r="G48" s="191">
        <f t="shared" si="25"/>
        <v>0.02</v>
      </c>
      <c r="H48" s="191">
        <f t="shared" si="25"/>
        <v>0.02</v>
      </c>
      <c r="I48" s="191">
        <f t="shared" si="25"/>
        <v>0.02</v>
      </c>
      <c r="J48" s="191">
        <f t="shared" si="25"/>
        <v>0.02</v>
      </c>
      <c r="K48" s="191">
        <f t="shared" si="25"/>
        <v>0.02</v>
      </c>
    </row>
    <row r="49" spans="1:11" ht="14.5" hidden="1" outlineLevel="2">
      <c r="A49" s="266" t="s">
        <v>360</v>
      </c>
      <c r="B49" s="191">
        <v>45</v>
      </c>
      <c r="C49" s="319">
        <v>45</v>
      </c>
      <c r="D49" s="191">
        <v>45</v>
      </c>
      <c r="F49" s="191">
        <v>45</v>
      </c>
      <c r="G49" s="191">
        <v>45</v>
      </c>
      <c r="H49" s="191">
        <v>45</v>
      </c>
      <c r="I49" s="191">
        <v>45</v>
      </c>
      <c r="J49" s="191">
        <v>45</v>
      </c>
      <c r="K49" s="191">
        <v>45</v>
      </c>
    </row>
    <row r="50" spans="1:11" ht="14.5" hidden="1" outlineLevel="2">
      <c r="A50" t="s">
        <v>361</v>
      </c>
      <c r="B50" s="191">
        <f t="shared" ref="B50:K50" si="26">B45/B43</f>
        <v>0.66666666666666663</v>
      </c>
      <c r="C50" s="319">
        <f t="shared" si="26"/>
        <v>0.66666666666666663</v>
      </c>
      <c r="D50" s="191">
        <f t="shared" si="26"/>
        <v>0.66666666666666663</v>
      </c>
      <c r="F50" s="191">
        <f t="shared" si="26"/>
        <v>0.66666666666666663</v>
      </c>
      <c r="G50" s="191">
        <f t="shared" si="26"/>
        <v>0.66666666666666663</v>
      </c>
      <c r="H50" s="191">
        <f t="shared" si="26"/>
        <v>0.66666666666666663</v>
      </c>
      <c r="I50" s="191">
        <f t="shared" si="26"/>
        <v>0.66666666666666663</v>
      </c>
      <c r="J50" s="191">
        <f t="shared" si="26"/>
        <v>0.66666666666666663</v>
      </c>
      <c r="K50" s="191">
        <f t="shared" si="26"/>
        <v>0.66666666666666663</v>
      </c>
    </row>
    <row r="51" spans="1:11" ht="14.5" hidden="1" outlineLevel="2">
      <c r="A51" t="s">
        <v>362</v>
      </c>
      <c r="B51" s="191">
        <f t="shared" ref="B51:K51" si="27">B53+B39/2</f>
        <v>19</v>
      </c>
      <c r="C51" s="319">
        <f t="shared" si="27"/>
        <v>19</v>
      </c>
      <c r="D51" s="191">
        <f t="shared" si="27"/>
        <v>19</v>
      </c>
      <c r="F51" s="191">
        <f t="shared" si="27"/>
        <v>19</v>
      </c>
      <c r="G51" s="191">
        <f t="shared" si="27"/>
        <v>19</v>
      </c>
      <c r="H51" s="191">
        <f t="shared" si="27"/>
        <v>19</v>
      </c>
      <c r="I51" s="191">
        <f t="shared" si="27"/>
        <v>19</v>
      </c>
      <c r="J51" s="191">
        <f t="shared" si="27"/>
        <v>19</v>
      </c>
      <c r="K51" s="191">
        <f t="shared" si="27"/>
        <v>19</v>
      </c>
    </row>
    <row r="52" spans="1:11" ht="14.5" hidden="1" outlineLevel="2">
      <c r="A52" t="s">
        <v>354</v>
      </c>
      <c r="B52" s="191">
        <f t="shared" ref="B52:K52" si="28">B51/100</f>
        <v>0.19</v>
      </c>
      <c r="C52" s="319">
        <f t="shared" si="28"/>
        <v>0.19</v>
      </c>
      <c r="D52" s="191">
        <f t="shared" si="28"/>
        <v>0.19</v>
      </c>
      <c r="F52" s="191">
        <f t="shared" si="28"/>
        <v>0.19</v>
      </c>
      <c r="G52" s="191">
        <f t="shared" si="28"/>
        <v>0.19</v>
      </c>
      <c r="H52" s="191">
        <f t="shared" si="28"/>
        <v>0.19</v>
      </c>
      <c r="I52" s="191">
        <f t="shared" si="28"/>
        <v>0.19</v>
      </c>
      <c r="J52" s="191">
        <f t="shared" si="28"/>
        <v>0.19</v>
      </c>
      <c r="K52" s="191">
        <f t="shared" si="28"/>
        <v>0.19</v>
      </c>
    </row>
    <row r="53" spans="1:11" ht="14.5" hidden="1" outlineLevel="2">
      <c r="A53" s="266" t="s">
        <v>363</v>
      </c>
      <c r="B53" s="191">
        <v>15</v>
      </c>
      <c r="C53" s="319">
        <v>15</v>
      </c>
      <c r="D53" s="191">
        <v>15</v>
      </c>
      <c r="F53" s="191">
        <v>15</v>
      </c>
      <c r="G53" s="191">
        <v>15</v>
      </c>
      <c r="H53" s="191">
        <v>15</v>
      </c>
      <c r="I53" s="191">
        <v>15</v>
      </c>
      <c r="J53" s="191">
        <v>15</v>
      </c>
      <c r="K53" s="191">
        <v>15</v>
      </c>
    </row>
    <row r="54" spans="1:11" ht="14.5" hidden="1" outlineLevel="2">
      <c r="A54" t="s">
        <v>356</v>
      </c>
      <c r="B54" s="191">
        <f t="shared" ref="B54:K54" si="29">B53/100</f>
        <v>0.15</v>
      </c>
      <c r="C54" s="319">
        <f t="shared" si="29"/>
        <v>0.15</v>
      </c>
      <c r="D54" s="191">
        <f t="shared" si="29"/>
        <v>0.15</v>
      </c>
      <c r="F54" s="191">
        <f t="shared" si="29"/>
        <v>0.15</v>
      </c>
      <c r="G54" s="191">
        <f t="shared" si="29"/>
        <v>0.15</v>
      </c>
      <c r="H54" s="191">
        <f t="shared" si="29"/>
        <v>0.15</v>
      </c>
      <c r="I54" s="191">
        <f t="shared" si="29"/>
        <v>0.15</v>
      </c>
      <c r="J54" s="191">
        <f t="shared" si="29"/>
        <v>0.15</v>
      </c>
      <c r="K54" s="191">
        <f t="shared" si="29"/>
        <v>0.15</v>
      </c>
    </row>
    <row r="55" spans="1:11" ht="14.5" hidden="1" outlineLevel="2">
      <c r="A55" t="s">
        <v>364</v>
      </c>
      <c r="B55" s="191">
        <f>(B46+B42)*B52/2</f>
        <v>2.5016666666666666E-2</v>
      </c>
      <c r="C55" s="319">
        <f t="shared" ref="C55:K55" si="30">(C46+C42)*C52/2</f>
        <v>2.5016666666666666E-2</v>
      </c>
      <c r="D55" s="191">
        <f t="shared" si="30"/>
        <v>2.5016666666666666E-2</v>
      </c>
      <c r="F55" s="191">
        <f t="shared" si="30"/>
        <v>2.5016666666666666E-2</v>
      </c>
      <c r="G55" s="191">
        <f t="shared" si="30"/>
        <v>2.5016666666666666E-2</v>
      </c>
      <c r="H55" s="191">
        <f t="shared" si="30"/>
        <v>2.5016666666666666E-2</v>
      </c>
      <c r="I55" s="191">
        <f t="shared" si="30"/>
        <v>2.5016666666666666E-2</v>
      </c>
      <c r="J55" s="191">
        <f t="shared" si="30"/>
        <v>2.5016666666666666E-2</v>
      </c>
      <c r="K55" s="191">
        <f t="shared" si="30"/>
        <v>2.5016666666666666E-2</v>
      </c>
    </row>
    <row r="56" spans="1:11" ht="14.5" hidden="1" outlineLevel="2">
      <c r="A56" t="s">
        <v>365</v>
      </c>
      <c r="B56" s="191">
        <f t="shared" ref="B56:K56" si="31">(B44+B46)*B54/2</f>
        <v>1.8749999999999999E-2</v>
      </c>
      <c r="C56" s="319">
        <f t="shared" si="31"/>
        <v>1.8749999999999999E-2</v>
      </c>
      <c r="D56" s="191">
        <f t="shared" si="31"/>
        <v>1.8749999999999999E-2</v>
      </c>
      <c r="F56" s="191">
        <f t="shared" si="31"/>
        <v>1.8749999999999999E-2</v>
      </c>
      <c r="G56" s="191">
        <f t="shared" si="31"/>
        <v>1.8749999999999999E-2</v>
      </c>
      <c r="H56" s="191">
        <f t="shared" si="31"/>
        <v>1.8749999999999999E-2</v>
      </c>
      <c r="I56" s="191">
        <f t="shared" si="31"/>
        <v>1.8749999999999999E-2</v>
      </c>
      <c r="J56" s="191">
        <f t="shared" si="31"/>
        <v>1.8749999999999999E-2</v>
      </c>
      <c r="K56" s="191">
        <f t="shared" si="31"/>
        <v>1.8749999999999999E-2</v>
      </c>
    </row>
    <row r="57" spans="1:11" ht="14.5" hidden="1" outlineLevel="2">
      <c r="A57" t="s">
        <v>366</v>
      </c>
      <c r="B57" s="261">
        <f>((B52+B52)^2)/(B55+B55)</f>
        <v>2.8860759493670889</v>
      </c>
      <c r="C57" s="325">
        <f t="shared" ref="C57:K57" si="32">((C52+C52)^2)/(C55+C55)</f>
        <v>2.8860759493670889</v>
      </c>
      <c r="D57" s="261">
        <f t="shared" si="32"/>
        <v>2.8860759493670889</v>
      </c>
      <c r="E57" s="261"/>
      <c r="F57" s="261">
        <f t="shared" si="32"/>
        <v>2.8860759493670889</v>
      </c>
      <c r="G57" s="261">
        <f t="shared" si="32"/>
        <v>2.8860759493670889</v>
      </c>
      <c r="H57" s="261">
        <f t="shared" si="32"/>
        <v>2.8860759493670889</v>
      </c>
      <c r="I57" s="261">
        <f t="shared" si="32"/>
        <v>2.8860759493670889</v>
      </c>
      <c r="J57" s="261">
        <f t="shared" si="32"/>
        <v>2.8860759493670889</v>
      </c>
      <c r="K57" s="261">
        <f t="shared" si="32"/>
        <v>2.8860759493670889</v>
      </c>
    </row>
    <row r="58" spans="1:11" hidden="1" outlineLevel="1" thickBot="1">
      <c r="B58" s="261"/>
      <c r="C58" s="325"/>
      <c r="D58" s="261"/>
      <c r="E58" s="261"/>
      <c r="F58" s="261"/>
      <c r="G58" s="261"/>
      <c r="H58" s="261"/>
      <c r="I58" s="261"/>
      <c r="J58" s="261"/>
      <c r="K58" s="261"/>
    </row>
    <row r="59" spans="1:11" hidden="1" outlineLevel="1" thickBot="1">
      <c r="A59" s="268" t="s">
        <v>367</v>
      </c>
      <c r="B59" s="261"/>
      <c r="C59" s="325"/>
      <c r="D59" s="261"/>
      <c r="E59" s="261"/>
      <c r="F59" s="261"/>
      <c r="G59" s="261"/>
      <c r="H59" s="261"/>
      <c r="I59" s="261"/>
      <c r="J59" s="261"/>
      <c r="K59" s="261"/>
    </row>
    <row r="60" spans="1:11" ht="14.5" hidden="1" outlineLevel="1">
      <c r="A60" t="s">
        <v>368</v>
      </c>
      <c r="B60" s="261">
        <f t="shared" ref="B60:K60" si="33">B54/(10+1)</f>
        <v>1.3636363636363636E-2</v>
      </c>
      <c r="C60" s="325">
        <f t="shared" si="33"/>
        <v>1.3636363636363636E-2</v>
      </c>
      <c r="D60" s="261">
        <f t="shared" si="33"/>
        <v>1.3636363636363636E-2</v>
      </c>
      <c r="E60" s="261"/>
      <c r="F60" s="261">
        <f t="shared" si="33"/>
        <v>1.3636363636363636E-2</v>
      </c>
      <c r="G60" s="261">
        <f t="shared" si="33"/>
        <v>1.3636363636363636E-2</v>
      </c>
      <c r="H60" s="261">
        <f t="shared" si="33"/>
        <v>1.3636363636363636E-2</v>
      </c>
      <c r="I60" s="261">
        <f t="shared" si="33"/>
        <v>1.3636363636363636E-2</v>
      </c>
      <c r="J60" s="261">
        <f t="shared" si="33"/>
        <v>1.3636363636363636E-2</v>
      </c>
      <c r="K60" s="261">
        <f t="shared" si="33"/>
        <v>1.3636363636363636E-2</v>
      </c>
    </row>
    <row r="61" spans="1:11" ht="14.5" hidden="1" outlineLevel="1">
      <c r="A61" t="s">
        <v>369</v>
      </c>
      <c r="B61" s="261">
        <f t="shared" ref="B61:K61" si="34">(B43-B45)/(-B53)</f>
        <v>-0.33333333333333331</v>
      </c>
      <c r="C61" s="325">
        <f t="shared" si="34"/>
        <v>-0.33333333333333331</v>
      </c>
      <c r="D61" s="261">
        <f t="shared" si="34"/>
        <v>-0.33333333333333331</v>
      </c>
      <c r="E61" s="261"/>
      <c r="F61" s="261">
        <f t="shared" si="34"/>
        <v>-0.33333333333333331</v>
      </c>
      <c r="G61" s="261">
        <f t="shared" si="34"/>
        <v>-0.33333333333333331</v>
      </c>
      <c r="H61" s="261">
        <f t="shared" si="34"/>
        <v>-0.33333333333333331</v>
      </c>
      <c r="I61" s="261">
        <f t="shared" si="34"/>
        <v>-0.33333333333333331</v>
      </c>
      <c r="J61" s="261">
        <f t="shared" si="34"/>
        <v>-0.33333333333333331</v>
      </c>
      <c r="K61" s="261">
        <f t="shared" si="34"/>
        <v>-0.33333333333333331</v>
      </c>
    </row>
    <row r="62" spans="1:11" ht="14.5" hidden="1" outlineLevel="1">
      <c r="A62" t="s">
        <v>370</v>
      </c>
      <c r="B62" s="261"/>
      <c r="C62" s="325"/>
      <c r="D62" s="261"/>
      <c r="E62" s="261"/>
      <c r="F62" s="261"/>
      <c r="G62" s="261"/>
      <c r="H62" s="261"/>
      <c r="I62" s="261"/>
      <c r="J62" s="261"/>
      <c r="K62" s="261"/>
    </row>
    <row r="63" spans="1:11" ht="14.5" hidden="1" outlineLevel="2">
      <c r="A63">
        <v>1</v>
      </c>
      <c r="B63" s="261">
        <f>(B60/2)</f>
        <v>6.8181818181818179E-3</v>
      </c>
      <c r="C63" s="325">
        <f t="shared" ref="C63:K63" si="35">(C60/2)</f>
        <v>6.8181818181818179E-3</v>
      </c>
      <c r="D63" s="261">
        <f t="shared" si="35"/>
        <v>6.8181818181818179E-3</v>
      </c>
      <c r="E63" s="261"/>
      <c r="F63" s="261">
        <f t="shared" si="35"/>
        <v>6.8181818181818179E-3</v>
      </c>
      <c r="G63" s="261">
        <f t="shared" si="35"/>
        <v>6.8181818181818179E-3</v>
      </c>
      <c r="H63" s="261">
        <f t="shared" si="35"/>
        <v>6.8181818181818179E-3</v>
      </c>
      <c r="I63" s="261">
        <f t="shared" si="35"/>
        <v>6.8181818181818179E-3</v>
      </c>
      <c r="J63" s="261">
        <f t="shared" si="35"/>
        <v>6.8181818181818179E-3</v>
      </c>
      <c r="K63" s="261">
        <f t="shared" si="35"/>
        <v>6.8181818181818179E-3</v>
      </c>
    </row>
    <row r="64" spans="1:11" ht="14.5" hidden="1" outlineLevel="2">
      <c r="A64">
        <v>2</v>
      </c>
      <c r="B64" s="261">
        <f>B63+B60</f>
        <v>2.0454545454545454E-2</v>
      </c>
      <c r="C64" s="325">
        <f t="shared" ref="C64:K64" si="36">C63+C60</f>
        <v>2.0454545454545454E-2</v>
      </c>
      <c r="D64" s="261">
        <f t="shared" si="36"/>
        <v>2.0454545454545454E-2</v>
      </c>
      <c r="E64" s="261"/>
      <c r="F64" s="261">
        <f t="shared" si="36"/>
        <v>2.0454545454545454E-2</v>
      </c>
      <c r="G64" s="261">
        <f t="shared" si="36"/>
        <v>2.0454545454545454E-2</v>
      </c>
      <c r="H64" s="261">
        <f t="shared" si="36"/>
        <v>2.0454545454545454E-2</v>
      </c>
      <c r="I64" s="261">
        <f t="shared" si="36"/>
        <v>2.0454545454545454E-2</v>
      </c>
      <c r="J64" s="261">
        <f t="shared" si="36"/>
        <v>2.0454545454545454E-2</v>
      </c>
      <c r="K64" s="261">
        <f t="shared" si="36"/>
        <v>2.0454545454545454E-2</v>
      </c>
    </row>
    <row r="65" spans="1:11" ht="14.5" hidden="1" outlineLevel="2">
      <c r="A65">
        <v>3</v>
      </c>
      <c r="B65" s="261">
        <f t="shared" ref="B65:K73" si="37">B64+B$60</f>
        <v>3.4090909090909088E-2</v>
      </c>
      <c r="C65" s="325">
        <f t="shared" si="37"/>
        <v>3.4090909090909088E-2</v>
      </c>
      <c r="D65" s="261">
        <f t="shared" si="37"/>
        <v>3.4090909090909088E-2</v>
      </c>
      <c r="E65" s="261"/>
      <c r="F65" s="261">
        <f t="shared" si="37"/>
        <v>3.4090909090909088E-2</v>
      </c>
      <c r="G65" s="261">
        <f t="shared" si="37"/>
        <v>3.4090909090909088E-2</v>
      </c>
      <c r="H65" s="261">
        <f t="shared" si="37"/>
        <v>3.4090909090909088E-2</v>
      </c>
      <c r="I65" s="261">
        <f t="shared" si="37"/>
        <v>3.4090909090909088E-2</v>
      </c>
      <c r="J65" s="261">
        <f t="shared" si="37"/>
        <v>3.4090909090909088E-2</v>
      </c>
      <c r="K65" s="261">
        <f t="shared" si="37"/>
        <v>3.4090909090909088E-2</v>
      </c>
    </row>
    <row r="66" spans="1:11" ht="14.5" hidden="1" outlineLevel="2">
      <c r="A66">
        <v>4</v>
      </c>
      <c r="B66" s="261">
        <f t="shared" si="37"/>
        <v>4.7727272727272722E-2</v>
      </c>
      <c r="C66" s="325">
        <f t="shared" si="37"/>
        <v>4.7727272727272722E-2</v>
      </c>
      <c r="D66" s="261">
        <f t="shared" si="37"/>
        <v>4.7727272727272722E-2</v>
      </c>
      <c r="E66" s="261"/>
      <c r="F66" s="261">
        <f t="shared" si="37"/>
        <v>4.7727272727272722E-2</v>
      </c>
      <c r="G66" s="261">
        <f t="shared" si="37"/>
        <v>4.7727272727272722E-2</v>
      </c>
      <c r="H66" s="261">
        <f t="shared" si="37"/>
        <v>4.7727272727272722E-2</v>
      </c>
      <c r="I66" s="261">
        <f t="shared" si="37"/>
        <v>4.7727272727272722E-2</v>
      </c>
      <c r="J66" s="261">
        <f t="shared" si="37"/>
        <v>4.7727272727272722E-2</v>
      </c>
      <c r="K66" s="261">
        <f t="shared" si="37"/>
        <v>4.7727272727272722E-2</v>
      </c>
    </row>
    <row r="67" spans="1:11" ht="14.5" hidden="1" outlineLevel="2">
      <c r="A67">
        <v>5</v>
      </c>
      <c r="B67" s="261">
        <f t="shared" si="37"/>
        <v>6.1363636363636356E-2</v>
      </c>
      <c r="C67" s="325">
        <f t="shared" si="37"/>
        <v>6.1363636363636356E-2</v>
      </c>
      <c r="D67" s="261">
        <f t="shared" si="37"/>
        <v>6.1363636363636356E-2</v>
      </c>
      <c r="E67" s="261"/>
      <c r="F67" s="261">
        <f t="shared" si="37"/>
        <v>6.1363636363636356E-2</v>
      </c>
      <c r="G67" s="261">
        <f t="shared" si="37"/>
        <v>6.1363636363636356E-2</v>
      </c>
      <c r="H67" s="261">
        <f t="shared" si="37"/>
        <v>6.1363636363636356E-2</v>
      </c>
      <c r="I67" s="261">
        <f t="shared" si="37"/>
        <v>6.1363636363636356E-2</v>
      </c>
      <c r="J67" s="261">
        <f t="shared" si="37"/>
        <v>6.1363636363636356E-2</v>
      </c>
      <c r="K67" s="261">
        <f t="shared" si="37"/>
        <v>6.1363636363636356E-2</v>
      </c>
    </row>
    <row r="68" spans="1:11" ht="14.5" hidden="1" outlineLevel="2">
      <c r="A68">
        <v>6</v>
      </c>
      <c r="B68" s="261">
        <f t="shared" si="37"/>
        <v>7.4999999999999997E-2</v>
      </c>
      <c r="C68" s="325">
        <f t="shared" si="37"/>
        <v>7.4999999999999997E-2</v>
      </c>
      <c r="D68" s="261">
        <f t="shared" si="37"/>
        <v>7.4999999999999997E-2</v>
      </c>
      <c r="E68" s="261"/>
      <c r="F68" s="261">
        <f t="shared" si="37"/>
        <v>7.4999999999999997E-2</v>
      </c>
      <c r="G68" s="261">
        <f t="shared" si="37"/>
        <v>7.4999999999999997E-2</v>
      </c>
      <c r="H68" s="261">
        <f t="shared" si="37"/>
        <v>7.4999999999999997E-2</v>
      </c>
      <c r="I68" s="261">
        <f t="shared" si="37"/>
        <v>7.4999999999999997E-2</v>
      </c>
      <c r="J68" s="261">
        <f t="shared" si="37"/>
        <v>7.4999999999999997E-2</v>
      </c>
      <c r="K68" s="261">
        <f t="shared" si="37"/>
        <v>7.4999999999999997E-2</v>
      </c>
    </row>
    <row r="69" spans="1:11" ht="14.5" hidden="1" outlineLevel="2">
      <c r="A69">
        <v>7</v>
      </c>
      <c r="B69" s="261">
        <f t="shared" si="37"/>
        <v>8.8636363636363638E-2</v>
      </c>
      <c r="C69" s="325">
        <f t="shared" si="37"/>
        <v>8.8636363636363638E-2</v>
      </c>
      <c r="D69" s="261">
        <f t="shared" si="37"/>
        <v>8.8636363636363638E-2</v>
      </c>
      <c r="E69" s="261"/>
      <c r="F69" s="261">
        <f t="shared" si="37"/>
        <v>8.8636363636363638E-2</v>
      </c>
      <c r="G69" s="261">
        <f t="shared" si="37"/>
        <v>8.8636363636363638E-2</v>
      </c>
      <c r="H69" s="261">
        <f t="shared" si="37"/>
        <v>8.8636363636363638E-2</v>
      </c>
      <c r="I69" s="261">
        <f t="shared" si="37"/>
        <v>8.8636363636363638E-2</v>
      </c>
      <c r="J69" s="261">
        <f t="shared" si="37"/>
        <v>8.8636363636363638E-2</v>
      </c>
      <c r="K69" s="261">
        <f t="shared" si="37"/>
        <v>8.8636363636363638E-2</v>
      </c>
    </row>
    <row r="70" spans="1:11" ht="14.5" hidden="1" outlineLevel="2">
      <c r="A70">
        <v>8</v>
      </c>
      <c r="B70" s="261">
        <f t="shared" si="37"/>
        <v>0.10227272727272728</v>
      </c>
      <c r="C70" s="325">
        <f t="shared" si="37"/>
        <v>0.10227272727272728</v>
      </c>
      <c r="D70" s="261">
        <f t="shared" si="37"/>
        <v>0.10227272727272728</v>
      </c>
      <c r="E70" s="261"/>
      <c r="F70" s="261">
        <f t="shared" si="37"/>
        <v>0.10227272727272728</v>
      </c>
      <c r="G70" s="261">
        <f t="shared" si="37"/>
        <v>0.10227272727272728</v>
      </c>
      <c r="H70" s="261">
        <f t="shared" si="37"/>
        <v>0.10227272727272728</v>
      </c>
      <c r="I70" s="261">
        <f t="shared" si="37"/>
        <v>0.10227272727272728</v>
      </c>
      <c r="J70" s="261">
        <f t="shared" si="37"/>
        <v>0.10227272727272728</v>
      </c>
      <c r="K70" s="261">
        <f t="shared" si="37"/>
        <v>0.10227272727272728</v>
      </c>
    </row>
    <row r="71" spans="1:11" ht="14.5" hidden="1" outlineLevel="2">
      <c r="A71">
        <v>9</v>
      </c>
      <c r="B71" s="261">
        <f t="shared" si="37"/>
        <v>0.11590909090909092</v>
      </c>
      <c r="C71" s="325">
        <f t="shared" si="37"/>
        <v>0.11590909090909092</v>
      </c>
      <c r="D71" s="261">
        <f t="shared" si="37"/>
        <v>0.11590909090909092</v>
      </c>
      <c r="E71" s="261"/>
      <c r="F71" s="261">
        <f t="shared" si="37"/>
        <v>0.11590909090909092</v>
      </c>
      <c r="G71" s="261">
        <f t="shared" si="37"/>
        <v>0.11590909090909092</v>
      </c>
      <c r="H71" s="261">
        <f t="shared" si="37"/>
        <v>0.11590909090909092</v>
      </c>
      <c r="I71" s="261">
        <f t="shared" si="37"/>
        <v>0.11590909090909092</v>
      </c>
      <c r="J71" s="261">
        <f t="shared" si="37"/>
        <v>0.11590909090909092</v>
      </c>
      <c r="K71" s="261">
        <f t="shared" si="37"/>
        <v>0.11590909090909092</v>
      </c>
    </row>
    <row r="72" spans="1:11" ht="14.5" hidden="1" outlineLevel="2">
      <c r="A72">
        <v>10</v>
      </c>
      <c r="B72" s="261">
        <f t="shared" si="37"/>
        <v>0.12954545454545455</v>
      </c>
      <c r="C72" s="325">
        <f t="shared" si="37"/>
        <v>0.12954545454545455</v>
      </c>
      <c r="D72" s="261">
        <f t="shared" si="37"/>
        <v>0.12954545454545455</v>
      </c>
      <c r="E72" s="261"/>
      <c r="F72" s="261">
        <f t="shared" si="37"/>
        <v>0.12954545454545455</v>
      </c>
      <c r="G72" s="261">
        <f t="shared" si="37"/>
        <v>0.12954545454545455</v>
      </c>
      <c r="H72" s="261">
        <f t="shared" si="37"/>
        <v>0.12954545454545455</v>
      </c>
      <c r="I72" s="261">
        <f t="shared" si="37"/>
        <v>0.12954545454545455</v>
      </c>
      <c r="J72" s="261">
        <f t="shared" si="37"/>
        <v>0.12954545454545455</v>
      </c>
      <c r="K72" s="261">
        <f t="shared" si="37"/>
        <v>0.12954545454545455</v>
      </c>
    </row>
    <row r="73" spans="1:11" ht="14.5" hidden="1" outlineLevel="2">
      <c r="A73">
        <v>11</v>
      </c>
      <c r="B73" s="261">
        <f t="shared" si="37"/>
        <v>0.14318181818181819</v>
      </c>
      <c r="C73" s="325">
        <f t="shared" si="37"/>
        <v>0.14318181818181819</v>
      </c>
      <c r="D73" s="261">
        <f t="shared" si="37"/>
        <v>0.14318181818181819</v>
      </c>
      <c r="E73" s="261"/>
      <c r="F73" s="261">
        <f t="shared" si="37"/>
        <v>0.14318181818181819</v>
      </c>
      <c r="G73" s="261">
        <f t="shared" si="37"/>
        <v>0.14318181818181819</v>
      </c>
      <c r="H73" s="261">
        <f t="shared" si="37"/>
        <v>0.14318181818181819</v>
      </c>
      <c r="I73" s="261">
        <f t="shared" si="37"/>
        <v>0.14318181818181819</v>
      </c>
      <c r="J73" s="261">
        <f t="shared" si="37"/>
        <v>0.14318181818181819</v>
      </c>
      <c r="K73" s="261">
        <f t="shared" si="37"/>
        <v>0.14318181818181819</v>
      </c>
    </row>
    <row r="74" spans="1:11" ht="14.5" hidden="1" outlineLevel="1" collapsed="1">
      <c r="A74" t="s">
        <v>371</v>
      </c>
      <c r="B74" s="261"/>
      <c r="C74" s="325"/>
      <c r="D74" s="261"/>
      <c r="E74" s="261"/>
      <c r="F74" s="261"/>
      <c r="G74" s="261"/>
      <c r="H74" s="261"/>
      <c r="I74" s="261"/>
      <c r="J74" s="261"/>
      <c r="K74" s="261"/>
    </row>
    <row r="75" spans="1:11" ht="14.5" hidden="1" outlineLevel="2">
      <c r="A75">
        <v>1</v>
      </c>
      <c r="B75" s="261">
        <f t="shared" ref="B75:K85" si="38">(B63*B$61)+B$44</f>
        <v>0.14772727272727273</v>
      </c>
      <c r="C75" s="325">
        <f t="shared" si="38"/>
        <v>0.14772727272727273</v>
      </c>
      <c r="D75" s="261">
        <f t="shared" si="38"/>
        <v>0.14772727272727273</v>
      </c>
      <c r="E75" s="261"/>
      <c r="F75" s="261">
        <f t="shared" si="38"/>
        <v>0.14772727272727273</v>
      </c>
      <c r="G75" s="261">
        <f t="shared" si="38"/>
        <v>0.14772727272727273</v>
      </c>
      <c r="H75" s="261">
        <f t="shared" si="38"/>
        <v>0.14772727272727273</v>
      </c>
      <c r="I75" s="261">
        <f t="shared" si="38"/>
        <v>0.14772727272727273</v>
      </c>
      <c r="J75" s="261">
        <f t="shared" si="38"/>
        <v>0.14772727272727273</v>
      </c>
      <c r="K75" s="261">
        <f t="shared" si="38"/>
        <v>0.14772727272727273</v>
      </c>
    </row>
    <row r="76" spans="1:11" ht="14.5" hidden="1" outlineLevel="2">
      <c r="A76">
        <v>2</v>
      </c>
      <c r="B76" s="261">
        <f t="shared" si="38"/>
        <v>0.14318181818181819</v>
      </c>
      <c r="C76" s="325">
        <f t="shared" si="38"/>
        <v>0.14318181818181819</v>
      </c>
      <c r="D76" s="261">
        <f t="shared" si="38"/>
        <v>0.14318181818181819</v>
      </c>
      <c r="E76" s="261"/>
      <c r="F76" s="261">
        <f t="shared" si="38"/>
        <v>0.14318181818181819</v>
      </c>
      <c r="G76" s="261">
        <f t="shared" si="38"/>
        <v>0.14318181818181819</v>
      </c>
      <c r="H76" s="261">
        <f t="shared" si="38"/>
        <v>0.14318181818181819</v>
      </c>
      <c r="I76" s="261">
        <f t="shared" si="38"/>
        <v>0.14318181818181819</v>
      </c>
      <c r="J76" s="261">
        <f t="shared" si="38"/>
        <v>0.14318181818181819</v>
      </c>
      <c r="K76" s="261">
        <f t="shared" si="38"/>
        <v>0.14318181818181819</v>
      </c>
    </row>
    <row r="77" spans="1:11" ht="14.5" hidden="1" outlineLevel="2">
      <c r="A77">
        <v>3</v>
      </c>
      <c r="B77" s="261">
        <f t="shared" si="38"/>
        <v>0.13863636363636364</v>
      </c>
      <c r="C77" s="325">
        <f t="shared" si="38"/>
        <v>0.13863636363636364</v>
      </c>
      <c r="D77" s="261">
        <f t="shared" si="38"/>
        <v>0.13863636363636364</v>
      </c>
      <c r="E77" s="261"/>
      <c r="F77" s="261">
        <f t="shared" si="38"/>
        <v>0.13863636363636364</v>
      </c>
      <c r="G77" s="261">
        <f t="shared" si="38"/>
        <v>0.13863636363636364</v>
      </c>
      <c r="H77" s="261">
        <f t="shared" si="38"/>
        <v>0.13863636363636364</v>
      </c>
      <c r="I77" s="261">
        <f t="shared" si="38"/>
        <v>0.13863636363636364</v>
      </c>
      <c r="J77" s="261">
        <f t="shared" si="38"/>
        <v>0.13863636363636364</v>
      </c>
      <c r="K77" s="261">
        <f t="shared" si="38"/>
        <v>0.13863636363636364</v>
      </c>
    </row>
    <row r="78" spans="1:11" ht="14.5" hidden="1" outlineLevel="2">
      <c r="A78">
        <v>4</v>
      </c>
      <c r="B78" s="261">
        <f t="shared" si="38"/>
        <v>0.13409090909090909</v>
      </c>
      <c r="C78" s="325">
        <f t="shared" si="38"/>
        <v>0.13409090909090909</v>
      </c>
      <c r="D78" s="261">
        <f t="shared" si="38"/>
        <v>0.13409090909090909</v>
      </c>
      <c r="E78" s="261"/>
      <c r="F78" s="261">
        <f t="shared" si="38"/>
        <v>0.13409090909090909</v>
      </c>
      <c r="G78" s="261">
        <f t="shared" si="38"/>
        <v>0.13409090909090909</v>
      </c>
      <c r="H78" s="261">
        <f t="shared" si="38"/>
        <v>0.13409090909090909</v>
      </c>
      <c r="I78" s="261">
        <f t="shared" si="38"/>
        <v>0.13409090909090909</v>
      </c>
      <c r="J78" s="261">
        <f t="shared" si="38"/>
        <v>0.13409090909090909</v>
      </c>
      <c r="K78" s="261">
        <f t="shared" si="38"/>
        <v>0.13409090909090909</v>
      </c>
    </row>
    <row r="79" spans="1:11" ht="14.5" hidden="1" outlineLevel="2">
      <c r="A79">
        <v>5</v>
      </c>
      <c r="B79" s="261">
        <f t="shared" si="38"/>
        <v>0.12954545454545455</v>
      </c>
      <c r="C79" s="325">
        <f t="shared" si="38"/>
        <v>0.12954545454545455</v>
      </c>
      <c r="D79" s="261">
        <f t="shared" si="38"/>
        <v>0.12954545454545455</v>
      </c>
      <c r="E79" s="261"/>
      <c r="F79" s="261">
        <f t="shared" si="38"/>
        <v>0.12954545454545455</v>
      </c>
      <c r="G79" s="261">
        <f t="shared" si="38"/>
        <v>0.12954545454545455</v>
      </c>
      <c r="H79" s="261">
        <f t="shared" si="38"/>
        <v>0.12954545454545455</v>
      </c>
      <c r="I79" s="261">
        <f t="shared" si="38"/>
        <v>0.12954545454545455</v>
      </c>
      <c r="J79" s="261">
        <f t="shared" si="38"/>
        <v>0.12954545454545455</v>
      </c>
      <c r="K79" s="261">
        <f t="shared" si="38"/>
        <v>0.12954545454545455</v>
      </c>
    </row>
    <row r="80" spans="1:11" ht="14.5" hidden="1" outlineLevel="2">
      <c r="A80">
        <v>6</v>
      </c>
      <c r="B80" s="261">
        <f t="shared" si="38"/>
        <v>0.125</v>
      </c>
      <c r="C80" s="325">
        <f t="shared" si="38"/>
        <v>0.125</v>
      </c>
      <c r="D80" s="261">
        <f t="shared" si="38"/>
        <v>0.125</v>
      </c>
      <c r="E80" s="261"/>
      <c r="F80" s="261">
        <f t="shared" si="38"/>
        <v>0.125</v>
      </c>
      <c r="G80" s="261">
        <f t="shared" si="38"/>
        <v>0.125</v>
      </c>
      <c r="H80" s="261">
        <f t="shared" si="38"/>
        <v>0.125</v>
      </c>
      <c r="I80" s="261">
        <f t="shared" si="38"/>
        <v>0.125</v>
      </c>
      <c r="J80" s="261">
        <f t="shared" si="38"/>
        <v>0.125</v>
      </c>
      <c r="K80" s="261">
        <f t="shared" si="38"/>
        <v>0.125</v>
      </c>
    </row>
    <row r="81" spans="1:11" ht="14.5" hidden="1" outlineLevel="2">
      <c r="A81">
        <v>7</v>
      </c>
      <c r="B81" s="261">
        <f t="shared" si="38"/>
        <v>0.12045454545454545</v>
      </c>
      <c r="C81" s="325">
        <f t="shared" si="38"/>
        <v>0.12045454545454545</v>
      </c>
      <c r="D81" s="261">
        <f t="shared" si="38"/>
        <v>0.12045454545454545</v>
      </c>
      <c r="E81" s="261"/>
      <c r="F81" s="261">
        <f t="shared" si="38"/>
        <v>0.12045454545454545</v>
      </c>
      <c r="G81" s="261">
        <f t="shared" si="38"/>
        <v>0.12045454545454545</v>
      </c>
      <c r="H81" s="261">
        <f t="shared" si="38"/>
        <v>0.12045454545454545</v>
      </c>
      <c r="I81" s="261">
        <f t="shared" si="38"/>
        <v>0.12045454545454545</v>
      </c>
      <c r="J81" s="261">
        <f t="shared" si="38"/>
        <v>0.12045454545454545</v>
      </c>
      <c r="K81" s="261">
        <f t="shared" si="38"/>
        <v>0.12045454545454545</v>
      </c>
    </row>
    <row r="82" spans="1:11" ht="14.5" hidden="1" outlineLevel="2">
      <c r="A82">
        <v>8</v>
      </c>
      <c r="B82" s="261">
        <f t="shared" si="38"/>
        <v>0.11590909090909091</v>
      </c>
      <c r="C82" s="325">
        <f t="shared" si="38"/>
        <v>0.11590909090909091</v>
      </c>
      <c r="D82" s="261">
        <f t="shared" si="38"/>
        <v>0.11590909090909091</v>
      </c>
      <c r="E82" s="261"/>
      <c r="F82" s="261">
        <f t="shared" si="38"/>
        <v>0.11590909090909091</v>
      </c>
      <c r="G82" s="261">
        <f t="shared" si="38"/>
        <v>0.11590909090909091</v>
      </c>
      <c r="H82" s="261">
        <f t="shared" si="38"/>
        <v>0.11590909090909091</v>
      </c>
      <c r="I82" s="261">
        <f t="shared" si="38"/>
        <v>0.11590909090909091</v>
      </c>
      <c r="J82" s="261">
        <f t="shared" si="38"/>
        <v>0.11590909090909091</v>
      </c>
      <c r="K82" s="261">
        <f t="shared" si="38"/>
        <v>0.11590909090909091</v>
      </c>
    </row>
    <row r="83" spans="1:11" ht="14.5" hidden="1" outlineLevel="2">
      <c r="A83">
        <v>9</v>
      </c>
      <c r="B83" s="261">
        <f t="shared" si="38"/>
        <v>0.11136363636363636</v>
      </c>
      <c r="C83" s="325">
        <f t="shared" si="38"/>
        <v>0.11136363636363636</v>
      </c>
      <c r="D83" s="261">
        <f t="shared" si="38"/>
        <v>0.11136363636363636</v>
      </c>
      <c r="E83" s="261"/>
      <c r="F83" s="261">
        <f t="shared" si="38"/>
        <v>0.11136363636363636</v>
      </c>
      <c r="G83" s="261">
        <f t="shared" si="38"/>
        <v>0.11136363636363636</v>
      </c>
      <c r="H83" s="261">
        <f t="shared" si="38"/>
        <v>0.11136363636363636</v>
      </c>
      <c r="I83" s="261">
        <f t="shared" si="38"/>
        <v>0.11136363636363636</v>
      </c>
      <c r="J83" s="261">
        <f t="shared" si="38"/>
        <v>0.11136363636363636</v>
      </c>
      <c r="K83" s="261">
        <f t="shared" si="38"/>
        <v>0.11136363636363636</v>
      </c>
    </row>
    <row r="84" spans="1:11" ht="14.5" hidden="1" outlineLevel="2">
      <c r="A84">
        <v>10</v>
      </c>
      <c r="B84" s="261">
        <f t="shared" si="38"/>
        <v>0.10681818181818181</v>
      </c>
      <c r="C84" s="325">
        <f t="shared" si="38"/>
        <v>0.10681818181818181</v>
      </c>
      <c r="D84" s="261">
        <f t="shared" si="38"/>
        <v>0.10681818181818181</v>
      </c>
      <c r="E84" s="261"/>
      <c r="F84" s="261">
        <f t="shared" si="38"/>
        <v>0.10681818181818181</v>
      </c>
      <c r="G84" s="261">
        <f t="shared" si="38"/>
        <v>0.10681818181818181</v>
      </c>
      <c r="H84" s="261">
        <f t="shared" si="38"/>
        <v>0.10681818181818181</v>
      </c>
      <c r="I84" s="261">
        <f t="shared" si="38"/>
        <v>0.10681818181818181</v>
      </c>
      <c r="J84" s="261">
        <f t="shared" si="38"/>
        <v>0.10681818181818181</v>
      </c>
      <c r="K84" s="261">
        <f t="shared" si="38"/>
        <v>0.10681818181818181</v>
      </c>
    </row>
    <row r="85" spans="1:11" ht="14.5" hidden="1" outlineLevel="2">
      <c r="A85">
        <v>11</v>
      </c>
      <c r="B85" s="261">
        <f t="shared" si="38"/>
        <v>0.10227272727272727</v>
      </c>
      <c r="C85" s="325">
        <f t="shared" si="38"/>
        <v>0.10227272727272727</v>
      </c>
      <c r="D85" s="261">
        <f t="shared" si="38"/>
        <v>0.10227272727272727</v>
      </c>
      <c r="E85" s="261"/>
      <c r="F85" s="261">
        <f t="shared" si="38"/>
        <v>0.10227272727272727</v>
      </c>
      <c r="G85" s="261">
        <f t="shared" si="38"/>
        <v>0.10227272727272727</v>
      </c>
      <c r="H85" s="261">
        <f t="shared" si="38"/>
        <v>0.10227272727272727</v>
      </c>
      <c r="I85" s="261">
        <f t="shared" si="38"/>
        <v>0.10227272727272727</v>
      </c>
      <c r="J85" s="261">
        <f t="shared" si="38"/>
        <v>0.10227272727272727</v>
      </c>
      <c r="K85" s="261">
        <f t="shared" si="38"/>
        <v>0.10227272727272727</v>
      </c>
    </row>
    <row r="86" spans="1:11" ht="14.5" hidden="1" outlineLevel="1" collapsed="1">
      <c r="A86" t="s">
        <v>372</v>
      </c>
      <c r="B86" s="261"/>
      <c r="C86" s="325"/>
      <c r="D86" s="261"/>
      <c r="E86" s="261"/>
      <c r="F86" s="261"/>
      <c r="G86" s="261"/>
      <c r="H86" s="261"/>
      <c r="I86" s="261"/>
      <c r="J86" s="261"/>
      <c r="K86" s="261"/>
    </row>
    <row r="87" spans="1:11" ht="14.5" hidden="1" outlineLevel="2">
      <c r="A87">
        <v>1</v>
      </c>
      <c r="B87" s="262">
        <f t="shared" ref="B87:K96" si="39">(B75+B76)*B$60/2</f>
        <v>1.9834710743801649E-3</v>
      </c>
      <c r="C87" s="326">
        <f t="shared" si="39"/>
        <v>1.9834710743801649E-3</v>
      </c>
      <c r="D87" s="262">
        <f t="shared" si="39"/>
        <v>1.9834710743801649E-3</v>
      </c>
      <c r="E87" s="262"/>
      <c r="F87" s="262">
        <f t="shared" si="39"/>
        <v>1.9834710743801649E-3</v>
      </c>
      <c r="G87" s="262">
        <f t="shared" si="39"/>
        <v>1.9834710743801649E-3</v>
      </c>
      <c r="H87" s="262">
        <f t="shared" si="39"/>
        <v>1.9834710743801649E-3</v>
      </c>
      <c r="I87" s="262">
        <f t="shared" si="39"/>
        <v>1.9834710743801649E-3</v>
      </c>
      <c r="J87" s="262">
        <f t="shared" si="39"/>
        <v>1.9834710743801649E-3</v>
      </c>
      <c r="K87" s="262">
        <f t="shared" si="39"/>
        <v>1.9834710743801649E-3</v>
      </c>
    </row>
    <row r="88" spans="1:11" ht="14.5" hidden="1" outlineLevel="2">
      <c r="A88">
        <v>2</v>
      </c>
      <c r="B88" s="262">
        <f t="shared" si="39"/>
        <v>1.9214876033057853E-3</v>
      </c>
      <c r="C88" s="326">
        <f t="shared" si="39"/>
        <v>1.9214876033057853E-3</v>
      </c>
      <c r="D88" s="262">
        <f t="shared" si="39"/>
        <v>1.9214876033057853E-3</v>
      </c>
      <c r="E88" s="262"/>
      <c r="F88" s="262">
        <f t="shared" si="39"/>
        <v>1.9214876033057853E-3</v>
      </c>
      <c r="G88" s="262">
        <f t="shared" si="39"/>
        <v>1.9214876033057853E-3</v>
      </c>
      <c r="H88" s="262">
        <f t="shared" si="39"/>
        <v>1.9214876033057853E-3</v>
      </c>
      <c r="I88" s="262">
        <f t="shared" si="39"/>
        <v>1.9214876033057853E-3</v>
      </c>
      <c r="J88" s="262">
        <f t="shared" si="39"/>
        <v>1.9214876033057853E-3</v>
      </c>
      <c r="K88" s="262">
        <f t="shared" si="39"/>
        <v>1.9214876033057853E-3</v>
      </c>
    </row>
    <row r="89" spans="1:11" ht="14.5" hidden="1" outlineLevel="2">
      <c r="A89">
        <v>3</v>
      </c>
      <c r="B89" s="262">
        <f t="shared" si="39"/>
        <v>1.8595041322314048E-3</v>
      </c>
      <c r="C89" s="326">
        <f t="shared" si="39"/>
        <v>1.8595041322314048E-3</v>
      </c>
      <c r="D89" s="262">
        <f t="shared" si="39"/>
        <v>1.8595041322314048E-3</v>
      </c>
      <c r="E89" s="262"/>
      <c r="F89" s="262">
        <f t="shared" si="39"/>
        <v>1.8595041322314048E-3</v>
      </c>
      <c r="G89" s="262">
        <f t="shared" si="39"/>
        <v>1.8595041322314048E-3</v>
      </c>
      <c r="H89" s="262">
        <f t="shared" si="39"/>
        <v>1.8595041322314048E-3</v>
      </c>
      <c r="I89" s="262">
        <f t="shared" si="39"/>
        <v>1.8595041322314048E-3</v>
      </c>
      <c r="J89" s="262">
        <f t="shared" si="39"/>
        <v>1.8595041322314048E-3</v>
      </c>
      <c r="K89" s="262">
        <f t="shared" si="39"/>
        <v>1.8595041322314048E-3</v>
      </c>
    </row>
    <row r="90" spans="1:11" ht="14.5" hidden="1" outlineLevel="2">
      <c r="A90">
        <v>4</v>
      </c>
      <c r="B90" s="262">
        <f t="shared" si="39"/>
        <v>1.7975206611570249E-3</v>
      </c>
      <c r="C90" s="326">
        <f t="shared" si="39"/>
        <v>1.7975206611570249E-3</v>
      </c>
      <c r="D90" s="262">
        <f t="shared" si="39"/>
        <v>1.7975206611570249E-3</v>
      </c>
      <c r="E90" s="262"/>
      <c r="F90" s="262">
        <f t="shared" si="39"/>
        <v>1.7975206611570249E-3</v>
      </c>
      <c r="G90" s="262">
        <f t="shared" si="39"/>
        <v>1.7975206611570249E-3</v>
      </c>
      <c r="H90" s="262">
        <f t="shared" si="39"/>
        <v>1.7975206611570249E-3</v>
      </c>
      <c r="I90" s="262">
        <f t="shared" si="39"/>
        <v>1.7975206611570249E-3</v>
      </c>
      <c r="J90" s="262">
        <f t="shared" si="39"/>
        <v>1.7975206611570249E-3</v>
      </c>
      <c r="K90" s="262">
        <f t="shared" si="39"/>
        <v>1.7975206611570249E-3</v>
      </c>
    </row>
    <row r="91" spans="1:11" ht="14.5" hidden="1" outlineLevel="2">
      <c r="A91">
        <v>5</v>
      </c>
      <c r="B91" s="262">
        <f t="shared" si="39"/>
        <v>1.7355371900826444E-3</v>
      </c>
      <c r="C91" s="326">
        <f t="shared" si="39"/>
        <v>1.7355371900826444E-3</v>
      </c>
      <c r="D91" s="262">
        <f t="shared" si="39"/>
        <v>1.7355371900826444E-3</v>
      </c>
      <c r="E91" s="262"/>
      <c r="F91" s="262">
        <f t="shared" si="39"/>
        <v>1.7355371900826444E-3</v>
      </c>
      <c r="G91" s="262">
        <f t="shared" si="39"/>
        <v>1.7355371900826444E-3</v>
      </c>
      <c r="H91" s="262">
        <f t="shared" si="39"/>
        <v>1.7355371900826444E-3</v>
      </c>
      <c r="I91" s="262">
        <f t="shared" si="39"/>
        <v>1.7355371900826444E-3</v>
      </c>
      <c r="J91" s="262">
        <f t="shared" si="39"/>
        <v>1.7355371900826444E-3</v>
      </c>
      <c r="K91" s="262">
        <f t="shared" si="39"/>
        <v>1.7355371900826444E-3</v>
      </c>
    </row>
    <row r="92" spans="1:11" ht="14.5" hidden="1" outlineLevel="2">
      <c r="A92">
        <v>6</v>
      </c>
      <c r="B92" s="262">
        <f t="shared" si="39"/>
        <v>1.6735537190082643E-3</v>
      </c>
      <c r="C92" s="326">
        <f t="shared" si="39"/>
        <v>1.6735537190082643E-3</v>
      </c>
      <c r="D92" s="262">
        <f t="shared" si="39"/>
        <v>1.6735537190082643E-3</v>
      </c>
      <c r="E92" s="262"/>
      <c r="F92" s="262">
        <f t="shared" si="39"/>
        <v>1.6735537190082643E-3</v>
      </c>
      <c r="G92" s="262">
        <f t="shared" si="39"/>
        <v>1.6735537190082643E-3</v>
      </c>
      <c r="H92" s="262">
        <f t="shared" si="39"/>
        <v>1.6735537190082643E-3</v>
      </c>
      <c r="I92" s="262">
        <f t="shared" si="39"/>
        <v>1.6735537190082643E-3</v>
      </c>
      <c r="J92" s="262">
        <f t="shared" si="39"/>
        <v>1.6735537190082643E-3</v>
      </c>
      <c r="K92" s="262">
        <f t="shared" si="39"/>
        <v>1.6735537190082643E-3</v>
      </c>
    </row>
    <row r="93" spans="1:11" ht="14.5" hidden="1" outlineLevel="2">
      <c r="A93">
        <v>7</v>
      </c>
      <c r="B93" s="262">
        <f t="shared" si="39"/>
        <v>1.6115702479338842E-3</v>
      </c>
      <c r="C93" s="326">
        <f t="shared" si="39"/>
        <v>1.6115702479338842E-3</v>
      </c>
      <c r="D93" s="262">
        <f t="shared" si="39"/>
        <v>1.6115702479338842E-3</v>
      </c>
      <c r="E93" s="262"/>
      <c r="F93" s="262">
        <f t="shared" si="39"/>
        <v>1.6115702479338842E-3</v>
      </c>
      <c r="G93" s="262">
        <f t="shared" si="39"/>
        <v>1.6115702479338842E-3</v>
      </c>
      <c r="H93" s="262">
        <f t="shared" si="39"/>
        <v>1.6115702479338842E-3</v>
      </c>
      <c r="I93" s="262">
        <f t="shared" si="39"/>
        <v>1.6115702479338842E-3</v>
      </c>
      <c r="J93" s="262">
        <f t="shared" si="39"/>
        <v>1.6115702479338842E-3</v>
      </c>
      <c r="K93" s="262">
        <f t="shared" si="39"/>
        <v>1.6115702479338842E-3</v>
      </c>
    </row>
    <row r="94" spans="1:11" ht="14.5" hidden="1" outlineLevel="2">
      <c r="A94">
        <v>8</v>
      </c>
      <c r="B94" s="262">
        <f t="shared" si="39"/>
        <v>1.549586776859504E-3</v>
      </c>
      <c r="C94" s="326">
        <f t="shared" si="39"/>
        <v>1.549586776859504E-3</v>
      </c>
      <c r="D94" s="262">
        <f t="shared" si="39"/>
        <v>1.549586776859504E-3</v>
      </c>
      <c r="E94" s="262"/>
      <c r="F94" s="262">
        <f t="shared" si="39"/>
        <v>1.549586776859504E-3</v>
      </c>
      <c r="G94" s="262">
        <f t="shared" si="39"/>
        <v>1.549586776859504E-3</v>
      </c>
      <c r="H94" s="262">
        <f t="shared" si="39"/>
        <v>1.549586776859504E-3</v>
      </c>
      <c r="I94" s="262">
        <f t="shared" si="39"/>
        <v>1.549586776859504E-3</v>
      </c>
      <c r="J94" s="262">
        <f t="shared" si="39"/>
        <v>1.549586776859504E-3</v>
      </c>
      <c r="K94" s="262">
        <f t="shared" si="39"/>
        <v>1.549586776859504E-3</v>
      </c>
    </row>
    <row r="95" spans="1:11" ht="14.5" hidden="1" outlineLevel="2">
      <c r="A95">
        <v>9</v>
      </c>
      <c r="B95" s="262">
        <f t="shared" si="39"/>
        <v>1.4876033057851239E-3</v>
      </c>
      <c r="C95" s="326">
        <f t="shared" si="39"/>
        <v>1.4876033057851239E-3</v>
      </c>
      <c r="D95" s="262">
        <f t="shared" si="39"/>
        <v>1.4876033057851239E-3</v>
      </c>
      <c r="E95" s="262"/>
      <c r="F95" s="262">
        <f t="shared" si="39"/>
        <v>1.4876033057851239E-3</v>
      </c>
      <c r="G95" s="262">
        <f t="shared" si="39"/>
        <v>1.4876033057851239E-3</v>
      </c>
      <c r="H95" s="262">
        <f t="shared" si="39"/>
        <v>1.4876033057851239E-3</v>
      </c>
      <c r="I95" s="262">
        <f t="shared" si="39"/>
        <v>1.4876033057851239E-3</v>
      </c>
      <c r="J95" s="262">
        <f t="shared" si="39"/>
        <v>1.4876033057851239E-3</v>
      </c>
      <c r="K95" s="262">
        <f t="shared" si="39"/>
        <v>1.4876033057851239E-3</v>
      </c>
    </row>
    <row r="96" spans="1:11" ht="14.5" hidden="1" outlineLevel="2">
      <c r="A96">
        <v>10</v>
      </c>
      <c r="B96" s="262">
        <f>(B84+B85)*B$60/2</f>
        <v>1.4256198347107436E-3</v>
      </c>
      <c r="C96" s="326">
        <f t="shared" si="39"/>
        <v>1.4256198347107436E-3</v>
      </c>
      <c r="D96" s="262">
        <f t="shared" si="39"/>
        <v>1.4256198347107436E-3</v>
      </c>
      <c r="E96" s="262"/>
      <c r="F96" s="262">
        <f t="shared" si="39"/>
        <v>1.4256198347107436E-3</v>
      </c>
      <c r="G96" s="262">
        <f t="shared" si="39"/>
        <v>1.4256198347107436E-3</v>
      </c>
      <c r="H96" s="262">
        <f t="shared" si="39"/>
        <v>1.4256198347107436E-3</v>
      </c>
      <c r="I96" s="262">
        <f t="shared" si="39"/>
        <v>1.4256198347107436E-3</v>
      </c>
      <c r="J96" s="262">
        <f t="shared" si="39"/>
        <v>1.4256198347107436E-3</v>
      </c>
      <c r="K96" s="262">
        <f t="shared" si="39"/>
        <v>1.4256198347107436E-3</v>
      </c>
    </row>
    <row r="97" spans="1:13" ht="14.5" hidden="1" outlineLevel="1" collapsed="1">
      <c r="A97" t="s">
        <v>492</v>
      </c>
      <c r="B97" s="261">
        <f>SUM(B87:B96)</f>
        <v>1.7045454545454544E-2</v>
      </c>
      <c r="C97" s="325">
        <f t="shared" ref="C97:K97" si="40">SUM(C87:C96)</f>
        <v>1.7045454545454544E-2</v>
      </c>
      <c r="D97" s="261">
        <f t="shared" si="40"/>
        <v>1.7045454545454544E-2</v>
      </c>
      <c r="E97" s="261"/>
      <c r="F97" s="261">
        <f t="shared" si="40"/>
        <v>1.7045454545454544E-2</v>
      </c>
      <c r="G97" s="261">
        <f t="shared" si="40"/>
        <v>1.7045454545454544E-2</v>
      </c>
      <c r="H97" s="261">
        <f t="shared" si="40"/>
        <v>1.7045454545454544E-2</v>
      </c>
      <c r="I97" s="261">
        <f t="shared" si="40"/>
        <v>1.7045454545454544E-2</v>
      </c>
      <c r="J97" s="261">
        <f t="shared" si="40"/>
        <v>1.7045454545454544E-2</v>
      </c>
      <c r="K97" s="261">
        <f t="shared" si="40"/>
        <v>1.7045454545454544E-2</v>
      </c>
    </row>
    <row r="98" spans="1:13" ht="14.5" hidden="1" outlineLevel="1">
      <c r="A98" s="265" t="s">
        <v>373</v>
      </c>
    </row>
    <row r="99" spans="1:13" s="167" customFormat="1" ht="14.5" hidden="1" outlineLevel="1">
      <c r="A99" s="167" t="s">
        <v>374</v>
      </c>
      <c r="B99" s="288">
        <f>IF(B11&lt;1,(B101/(B102+B103))/SQRT(1-B11^2),(B101/(B102+B103))/SQRT(1-0.99^2))</f>
        <v>2.0125011551487666</v>
      </c>
      <c r="C99" s="327">
        <f t="shared" ref="C99:K99" si="41">IF(C11&lt;1,(C101/(C102+C103))/SQRT(1-C11^2),(C101/(C102+C103))/SQRT(1-0.99^2))</f>
        <v>1.7516574184821574</v>
      </c>
      <c r="D99" s="288">
        <f t="shared" si="41"/>
        <v>1.8270316629357042</v>
      </c>
      <c r="E99" s="288"/>
      <c r="F99" s="288">
        <f t="shared" si="41"/>
        <v>2.4405161277517413</v>
      </c>
      <c r="G99" s="288">
        <f t="shared" si="41"/>
        <v>12.354928369089945</v>
      </c>
      <c r="H99" s="288">
        <f t="shared" si="41"/>
        <v>12.354928369089945</v>
      </c>
      <c r="I99" s="288">
        <f t="shared" si="41"/>
        <v>12.354928369089945</v>
      </c>
      <c r="J99" s="288">
        <f t="shared" si="41"/>
        <v>12.354928369089945</v>
      </c>
      <c r="K99" s="288">
        <f t="shared" si="41"/>
        <v>12.354928369089945</v>
      </c>
      <c r="M99" s="337"/>
    </row>
    <row r="100" spans="1:13" s="167" customFormat="1" ht="14.5" hidden="1" outlineLevel="1">
      <c r="A100" s="167" t="s">
        <v>511</v>
      </c>
      <c r="B100" s="288">
        <f>IF(B10&lt;1,B99,IF(B10&gt;1,(4)/SQRT(B10^2-1),(4)/SQRT((1.01)^2-1)))</f>
        <v>2.0125011551487666</v>
      </c>
      <c r="C100" s="327">
        <f t="shared" ref="C100:K100" si="42">IF(C10&lt;1,C99,IF(C10&gt;1,(4)/SQRT(C10^2-1),(4)/SQRT((1.01)^2-1)))</f>
        <v>1.7516574184821574</v>
      </c>
      <c r="D100" s="288">
        <f t="shared" si="42"/>
        <v>1.8270316629357042</v>
      </c>
      <c r="E100" s="288"/>
      <c r="F100" s="288">
        <f t="shared" si="42"/>
        <v>2.4405161277517413</v>
      </c>
      <c r="G100" s="288">
        <f t="shared" si="42"/>
        <v>28.213824634343929</v>
      </c>
      <c r="H100" s="288">
        <f t="shared" si="42"/>
        <v>3.5777087639996634</v>
      </c>
      <c r="I100" s="288">
        <f t="shared" si="42"/>
        <v>2.3094010767585034</v>
      </c>
      <c r="J100" s="288">
        <f t="shared" si="42"/>
        <v>1.4142135623730949</v>
      </c>
      <c r="K100" s="288">
        <f t="shared" si="42"/>
        <v>0.81649658092772615</v>
      </c>
      <c r="M100" s="337"/>
    </row>
    <row r="101" spans="1:13" ht="14.5" hidden="1" outlineLevel="2">
      <c r="A101" t="s">
        <v>375</v>
      </c>
      <c r="B101" s="191">
        <f>PI()*COS(RADIANS(B49))</f>
        <v>2.2214414690791831</v>
      </c>
      <c r="C101" s="319">
        <f t="shared" ref="C101:K101" si="43">PI()*COS(RADIANS(C49))</f>
        <v>2.2214414690791831</v>
      </c>
      <c r="D101" s="191">
        <f t="shared" si="43"/>
        <v>2.2214414690791831</v>
      </c>
      <c r="F101" s="191">
        <f t="shared" si="43"/>
        <v>2.2214414690791831</v>
      </c>
      <c r="G101" s="191">
        <f t="shared" si="43"/>
        <v>2.2214414690791831</v>
      </c>
      <c r="H101" s="191">
        <f t="shared" si="43"/>
        <v>2.2214414690791831</v>
      </c>
      <c r="I101" s="191">
        <f t="shared" si="43"/>
        <v>2.2214414690791831</v>
      </c>
      <c r="J101" s="191">
        <f t="shared" si="43"/>
        <v>2.2214414690791831</v>
      </c>
      <c r="K101" s="191">
        <f t="shared" si="43"/>
        <v>2.2214414690791831</v>
      </c>
    </row>
    <row r="102" spans="1:13" ht="14.5" hidden="1" outlineLevel="2">
      <c r="A102" t="s">
        <v>376</v>
      </c>
      <c r="B102" s="191">
        <f>SQRT(1+((B101/(PI()*B57))^2))</f>
        <v>1.0295766535643616</v>
      </c>
      <c r="C102" s="319">
        <f t="shared" ref="C102:K102" si="44">SQRT(1+((C101/(PI()*C57))^2))</f>
        <v>1.0295766535643616</v>
      </c>
      <c r="D102" s="191">
        <f t="shared" si="44"/>
        <v>1.0295766535643616</v>
      </c>
      <c r="F102" s="191">
        <f t="shared" si="44"/>
        <v>1.0295766535643616</v>
      </c>
      <c r="G102" s="191">
        <f t="shared" si="44"/>
        <v>1.0295766535643616</v>
      </c>
      <c r="H102" s="191">
        <f t="shared" si="44"/>
        <v>1.0295766535643616</v>
      </c>
      <c r="I102" s="191">
        <f t="shared" si="44"/>
        <v>1.0295766535643616</v>
      </c>
      <c r="J102" s="191">
        <f t="shared" si="44"/>
        <v>1.0295766535643616</v>
      </c>
      <c r="K102" s="191">
        <f t="shared" si="44"/>
        <v>1.0295766535643616</v>
      </c>
    </row>
    <row r="103" spans="1:13" ht="14.5" hidden="1" outlineLevel="2">
      <c r="A103" t="s">
        <v>377</v>
      </c>
      <c r="B103" s="191">
        <f>B101/(PI()*B57)</f>
        <v>0.24500629699007567</v>
      </c>
      <c r="C103" s="319">
        <f t="shared" ref="C103:K103" si="45">C101/(PI()*C57)</f>
        <v>0.24500629699007567</v>
      </c>
      <c r="D103" s="191">
        <f t="shared" si="45"/>
        <v>0.24500629699007567</v>
      </c>
      <c r="F103" s="191">
        <f t="shared" si="45"/>
        <v>0.24500629699007567</v>
      </c>
      <c r="G103" s="191">
        <f t="shared" si="45"/>
        <v>0.24500629699007567</v>
      </c>
      <c r="H103" s="191">
        <f t="shared" si="45"/>
        <v>0.24500629699007567</v>
      </c>
      <c r="I103" s="191">
        <f t="shared" si="45"/>
        <v>0.24500629699007567</v>
      </c>
      <c r="J103" s="191">
        <f t="shared" si="45"/>
        <v>0.24500629699007567</v>
      </c>
      <c r="K103" s="191">
        <f t="shared" si="45"/>
        <v>0.24500629699007567</v>
      </c>
    </row>
    <row r="104" spans="1:13" ht="14.5" hidden="1" outlineLevel="2"/>
    <row r="105" spans="1:13" ht="14.5" hidden="1" outlineLevel="1" collapsed="1">
      <c r="A105" t="s">
        <v>378</v>
      </c>
      <c r="B105" s="186">
        <f>(B20*B3*B44)/B23</f>
        <v>1695281.4687357901</v>
      </c>
      <c r="C105" s="323">
        <f t="shared" ref="C105:K105" si="46">(C20*C3*C44)/C23</f>
        <v>341245.90030331042</v>
      </c>
      <c r="D105" s="186">
        <f t="shared" si="46"/>
        <v>1023737.7009099312</v>
      </c>
      <c r="E105" s="186"/>
      <c r="F105" s="186">
        <f t="shared" si="46"/>
        <v>2388721.3021231727</v>
      </c>
      <c r="G105" s="186">
        <f t="shared" si="46"/>
        <v>3412459.0030331039</v>
      </c>
      <c r="H105" s="186">
        <f t="shared" si="46"/>
        <v>5118688.5045496561</v>
      </c>
      <c r="I105" s="186">
        <f t="shared" si="46"/>
        <v>6824918.0060662078</v>
      </c>
      <c r="J105" s="186">
        <f t="shared" si="46"/>
        <v>10237377.009099312</v>
      </c>
      <c r="K105" s="186">
        <f t="shared" si="46"/>
        <v>17062295.015165523</v>
      </c>
    </row>
    <row r="106" spans="1:13" ht="14.5" hidden="1" outlineLevel="1">
      <c r="A106" t="s">
        <v>379</v>
      </c>
      <c r="B106" s="186">
        <f>(B20*B3*B45)/B23</f>
        <v>113018764.582386</v>
      </c>
      <c r="C106" s="323">
        <f t="shared" ref="C106:K106" si="47">(C20*C3*C45)/C23</f>
        <v>22749726.686887365</v>
      </c>
      <c r="D106" s="186">
        <f t="shared" si="47"/>
        <v>68249180.060662091</v>
      </c>
      <c r="E106" s="186"/>
      <c r="F106" s="186">
        <f t="shared" si="47"/>
        <v>159248086.80821151</v>
      </c>
      <c r="G106" s="186">
        <f t="shared" si="47"/>
        <v>227497266.8688736</v>
      </c>
      <c r="H106" s="186">
        <f t="shared" si="47"/>
        <v>341245900.30331039</v>
      </c>
      <c r="I106" s="186">
        <f t="shared" si="47"/>
        <v>454994533.73774719</v>
      </c>
      <c r="J106" s="186">
        <f t="shared" si="47"/>
        <v>682491800.60662079</v>
      </c>
      <c r="K106" s="186">
        <f t="shared" si="47"/>
        <v>1137486334.3443682</v>
      </c>
    </row>
    <row r="107" spans="1:13" s="274" customFormat="1" ht="14.5" hidden="1" outlineLevel="1">
      <c r="A107" s="275" t="s">
        <v>488</v>
      </c>
      <c r="B107" s="277">
        <v>1.8564485158890635E-2</v>
      </c>
      <c r="C107" s="328">
        <v>1.0835747058992552E-3</v>
      </c>
      <c r="D107" s="277">
        <v>1.0835747058992552E-3</v>
      </c>
      <c r="E107" s="277"/>
      <c r="F107" s="277">
        <v>1.0835747058992552E-3</v>
      </c>
      <c r="G107" s="277">
        <v>1.0835747058992552E-3</v>
      </c>
      <c r="H107" s="277">
        <v>1.0835747058992552E-3</v>
      </c>
      <c r="I107" s="277">
        <v>1.0835747058992552E-3</v>
      </c>
      <c r="J107" s="277">
        <v>1.0835747058992552E-3</v>
      </c>
      <c r="K107" s="277">
        <v>1.0835747058992552E-3</v>
      </c>
      <c r="M107" s="338"/>
    </row>
    <row r="108" spans="1:13" ht="14.5" hidden="1" outlineLevel="1">
      <c r="A108" s="275" t="s">
        <v>489</v>
      </c>
      <c r="B108" s="186">
        <f>B107/1000</f>
        <v>1.8564485158890635E-5</v>
      </c>
      <c r="C108" s="323">
        <f t="shared" ref="C108:K108" si="48">C107/1000</f>
        <v>1.0835747058992552E-6</v>
      </c>
      <c r="D108" s="186">
        <f t="shared" si="48"/>
        <v>1.0835747058992552E-6</v>
      </c>
      <c r="E108" s="186"/>
      <c r="F108" s="186">
        <f t="shared" si="48"/>
        <v>1.0835747058992552E-6</v>
      </c>
      <c r="G108" s="186">
        <f t="shared" si="48"/>
        <v>1.0835747058992552E-6</v>
      </c>
      <c r="H108" s="186">
        <f t="shared" si="48"/>
        <v>1.0835747058992552E-6</v>
      </c>
      <c r="I108" s="186">
        <f t="shared" si="48"/>
        <v>1.0835747058992552E-6</v>
      </c>
      <c r="J108" s="186">
        <f t="shared" si="48"/>
        <v>1.0835747058992552E-6</v>
      </c>
      <c r="K108" s="186">
        <f t="shared" si="48"/>
        <v>1.0835747058992552E-6</v>
      </c>
    </row>
    <row r="109" spans="1:13" ht="14.5" hidden="1" outlineLevel="1">
      <c r="A109" t="s">
        <v>490</v>
      </c>
      <c r="B109" s="191">
        <f>(B108*B3)/B23</f>
        <v>171.40568390848762</v>
      </c>
      <c r="C109" s="319">
        <f t="shared" ref="C109:K109" si="49">(C108*C3)/C23</f>
        <v>2.0082038518447769</v>
      </c>
      <c r="D109" s="191">
        <f t="shared" si="49"/>
        <v>6.0246115555343307</v>
      </c>
      <c r="F109" s="191">
        <f t="shared" si="49"/>
        <v>14.057426962913439</v>
      </c>
      <c r="G109" s="191">
        <f t="shared" si="49"/>
        <v>20.082038518447771</v>
      </c>
      <c r="H109" s="191">
        <f t="shared" si="49"/>
        <v>30.123057777671651</v>
      </c>
      <c r="I109" s="191">
        <f t="shared" si="49"/>
        <v>40.164077036895542</v>
      </c>
      <c r="J109" s="191">
        <f t="shared" si="49"/>
        <v>60.246115555343302</v>
      </c>
      <c r="K109" s="191">
        <f t="shared" si="49"/>
        <v>100.41019259223886</v>
      </c>
    </row>
    <row r="110" spans="1:13" s="187" customFormat="1" ht="14.5" hidden="1" outlineLevel="1">
      <c r="A110" s="272" t="s">
        <v>495</v>
      </c>
      <c r="B110" s="278">
        <f>B122</f>
        <v>6.9310220689732587</v>
      </c>
      <c r="C110" s="329">
        <f t="shared" ref="C110:K110" si="50">C122</f>
        <v>8.1204455410967963E-2</v>
      </c>
      <c r="D110" s="278">
        <f t="shared" si="50"/>
        <v>0.24361336623290392</v>
      </c>
      <c r="E110" s="278"/>
      <c r="F110" s="278">
        <f t="shared" si="50"/>
        <v>0.56843118787677582</v>
      </c>
      <c r="G110" s="278">
        <f t="shared" si="50"/>
        <v>0.81204455410967979</v>
      </c>
      <c r="H110" s="278">
        <f t="shared" si="50"/>
        <v>1.2180668311645195</v>
      </c>
      <c r="I110" s="278">
        <f t="shared" si="50"/>
        <v>1.6240891082193596</v>
      </c>
      <c r="J110" s="278">
        <f t="shared" si="50"/>
        <v>2.4361336623290391</v>
      </c>
      <c r="K110" s="278">
        <f t="shared" si="50"/>
        <v>4.0602227705483989</v>
      </c>
      <c r="M110" s="339"/>
    </row>
    <row r="111" spans="1:13" ht="14.5" hidden="1" outlineLevel="1">
      <c r="A111" s="271" t="s">
        <v>527</v>
      </c>
      <c r="B111" s="191">
        <f>B44/$A116</f>
        <v>0.03</v>
      </c>
      <c r="C111" s="319">
        <f t="shared" ref="C111:K111" si="51">C44/$A116</f>
        <v>0.03</v>
      </c>
      <c r="D111" s="191">
        <f t="shared" si="51"/>
        <v>0.03</v>
      </c>
      <c r="F111" s="191">
        <f t="shared" si="51"/>
        <v>0.03</v>
      </c>
      <c r="G111" s="191">
        <f t="shared" si="51"/>
        <v>0.03</v>
      </c>
      <c r="H111" s="191">
        <f t="shared" si="51"/>
        <v>0.03</v>
      </c>
      <c r="I111" s="191">
        <f t="shared" si="51"/>
        <v>0.03</v>
      </c>
      <c r="J111" s="191">
        <f t="shared" si="51"/>
        <v>0.03</v>
      </c>
      <c r="K111" s="191">
        <f t="shared" si="51"/>
        <v>0.03</v>
      </c>
    </row>
    <row r="112" spans="1:13" ht="14.5" hidden="1" outlineLevel="2">
      <c r="A112">
        <v>1</v>
      </c>
      <c r="B112" s="186">
        <f t="shared" ref="B112:D116" si="52">(B$20*B$3*($A112*B$111))/B$23</f>
        <v>339056.29374715802</v>
      </c>
      <c r="C112" s="323">
        <f t="shared" si="52"/>
        <v>68249.180060662082</v>
      </c>
      <c r="D112" s="186">
        <f t="shared" si="52"/>
        <v>204747.54018198623</v>
      </c>
      <c r="E112" s="186"/>
      <c r="F112" s="186">
        <f t="shared" ref="F112:K116" si="53">(F$20*F$3*($A112*F$111))/F$23</f>
        <v>477744.26042463456</v>
      </c>
      <c r="G112" s="186">
        <f t="shared" si="53"/>
        <v>682491.80060662073</v>
      </c>
      <c r="H112" s="186">
        <f t="shared" si="53"/>
        <v>1023737.7009099312</v>
      </c>
      <c r="I112" s="186">
        <f t="shared" si="53"/>
        <v>1364983.6012132415</v>
      </c>
      <c r="J112" s="186">
        <f t="shared" si="53"/>
        <v>2047475.4018198624</v>
      </c>
      <c r="K112" s="186">
        <f t="shared" si="53"/>
        <v>3412459.0030331044</v>
      </c>
    </row>
    <row r="113" spans="1:13" ht="14.5" hidden="1" outlineLevel="2">
      <c r="A113">
        <v>2</v>
      </c>
      <c r="B113" s="186">
        <f t="shared" si="52"/>
        <v>678112.58749431605</v>
      </c>
      <c r="C113" s="323">
        <f t="shared" si="52"/>
        <v>136498.36012132416</v>
      </c>
      <c r="D113" s="186">
        <f t="shared" si="52"/>
        <v>409495.08036397246</v>
      </c>
      <c r="E113" s="186"/>
      <c r="F113" s="186">
        <f t="shared" si="53"/>
        <v>955488.52084926912</v>
      </c>
      <c r="G113" s="186">
        <f t="shared" si="53"/>
        <v>1364983.6012132415</v>
      </c>
      <c r="H113" s="186">
        <f t="shared" si="53"/>
        <v>2047475.4018198624</v>
      </c>
      <c r="I113" s="186">
        <f t="shared" si="53"/>
        <v>2729967.2024264829</v>
      </c>
      <c r="J113" s="186">
        <f t="shared" si="53"/>
        <v>4094950.8036397249</v>
      </c>
      <c r="K113" s="186">
        <f t="shared" si="53"/>
        <v>6824918.0060662087</v>
      </c>
    </row>
    <row r="114" spans="1:13" ht="14.5" hidden="1" outlineLevel="2">
      <c r="A114">
        <v>3</v>
      </c>
      <c r="B114" s="186">
        <f t="shared" si="52"/>
        <v>1017168.881241474</v>
      </c>
      <c r="C114" s="323">
        <f t="shared" si="52"/>
        <v>204747.54018198623</v>
      </c>
      <c r="D114" s="186">
        <f t="shared" si="52"/>
        <v>614242.62054595875</v>
      </c>
      <c r="E114" s="186"/>
      <c r="F114" s="186">
        <f t="shared" si="53"/>
        <v>1433232.7812739036</v>
      </c>
      <c r="G114" s="186">
        <f t="shared" si="53"/>
        <v>2047475.4018198624</v>
      </c>
      <c r="H114" s="186">
        <f t="shared" si="53"/>
        <v>3071213.1027297936</v>
      </c>
      <c r="I114" s="186">
        <f t="shared" si="53"/>
        <v>4094950.8036397249</v>
      </c>
      <c r="J114" s="186">
        <f t="shared" si="53"/>
        <v>6142426.2054595873</v>
      </c>
      <c r="K114" s="186">
        <f t="shared" si="53"/>
        <v>10237377.009099314</v>
      </c>
    </row>
    <row r="115" spans="1:13" ht="14.5" hidden="1" outlineLevel="2">
      <c r="A115">
        <v>4</v>
      </c>
      <c r="B115" s="186">
        <f t="shared" si="52"/>
        <v>1356225.1749886321</v>
      </c>
      <c r="C115" s="323">
        <f t="shared" si="52"/>
        <v>272996.72024264833</v>
      </c>
      <c r="D115" s="186">
        <f t="shared" si="52"/>
        <v>818990.16072794492</v>
      </c>
      <c r="E115" s="186"/>
      <c r="F115" s="186">
        <f t="shared" si="53"/>
        <v>1910977.0416985382</v>
      </c>
      <c r="G115" s="186">
        <f t="shared" si="53"/>
        <v>2729967.2024264829</v>
      </c>
      <c r="H115" s="186">
        <f t="shared" si="53"/>
        <v>4094950.8036397249</v>
      </c>
      <c r="I115" s="186">
        <f t="shared" si="53"/>
        <v>5459934.4048529658</v>
      </c>
      <c r="J115" s="186">
        <f t="shared" si="53"/>
        <v>8189901.6072794497</v>
      </c>
      <c r="K115" s="186">
        <f t="shared" si="53"/>
        <v>13649836.012132417</v>
      </c>
    </row>
    <row r="116" spans="1:13" ht="14.5" hidden="1" outlineLevel="2">
      <c r="A116">
        <v>5</v>
      </c>
      <c r="B116" s="186">
        <f t="shared" si="52"/>
        <v>1695281.4687357901</v>
      </c>
      <c r="C116" s="323">
        <f t="shared" si="52"/>
        <v>341245.90030331042</v>
      </c>
      <c r="D116" s="186">
        <f t="shared" si="52"/>
        <v>1023737.7009099312</v>
      </c>
      <c r="E116" s="186"/>
      <c r="F116" s="186">
        <f t="shared" si="53"/>
        <v>2388721.3021231727</v>
      </c>
      <c r="G116" s="186">
        <f t="shared" si="53"/>
        <v>3412459.0030331039</v>
      </c>
      <c r="H116" s="186">
        <f t="shared" si="53"/>
        <v>5118688.5045496561</v>
      </c>
      <c r="I116" s="186">
        <f t="shared" si="53"/>
        <v>6824918.0060662078</v>
      </c>
      <c r="J116" s="186">
        <f t="shared" si="53"/>
        <v>10237377.009099312</v>
      </c>
      <c r="K116" s="186">
        <f t="shared" si="53"/>
        <v>17062295.015165523</v>
      </c>
    </row>
    <row r="117" spans="1:13" ht="14.5" hidden="1" outlineLevel="1" collapsed="1">
      <c r="A117" s="271" t="s">
        <v>491</v>
      </c>
      <c r="B117" s="186"/>
      <c r="C117" s="323"/>
      <c r="D117" s="186"/>
      <c r="E117" s="186"/>
      <c r="F117" s="186"/>
      <c r="G117" s="186"/>
      <c r="H117" s="186"/>
      <c r="I117" s="186"/>
      <c r="J117" s="186"/>
      <c r="K117" s="186"/>
    </row>
    <row r="118" spans="1:13" ht="14.5" hidden="1" outlineLevel="2">
      <c r="A118">
        <v>1</v>
      </c>
      <c r="B118" s="186">
        <f>B$109*(SQRT(0.0576/(2*($B112^(1/5)))))</f>
        <v>8.1413098171771026</v>
      </c>
      <c r="C118" s="323">
        <f t="shared" ref="C118:K122" si="54">C$109*(SQRT(0.0576/(2*($B112^(1/5)))))</f>
        <v>9.5384291588869352E-2</v>
      </c>
      <c r="D118" s="186">
        <f t="shared" si="54"/>
        <v>0.28615287476660806</v>
      </c>
      <c r="E118" s="186"/>
      <c r="F118" s="186">
        <f t="shared" si="54"/>
        <v>0.66769004112208552</v>
      </c>
      <c r="G118" s="186">
        <f t="shared" si="54"/>
        <v>0.95384291588869363</v>
      </c>
      <c r="H118" s="186">
        <f t="shared" si="54"/>
        <v>1.4307643738330402</v>
      </c>
      <c r="I118" s="186">
        <f t="shared" si="54"/>
        <v>1.9076858317773873</v>
      </c>
      <c r="J118" s="186">
        <f t="shared" si="54"/>
        <v>2.8615287476660805</v>
      </c>
      <c r="K118" s="186">
        <f t="shared" si="54"/>
        <v>4.7692145794434682</v>
      </c>
    </row>
    <row r="119" spans="1:13" ht="14.5" hidden="1" outlineLevel="2">
      <c r="A119">
        <v>2</v>
      </c>
      <c r="B119" s="186">
        <f t="shared" ref="B119:B122" si="55">B$109*(SQRT(0.0576/(2*($B113^(1/5)))))</f>
        <v>7.5961106537487311</v>
      </c>
      <c r="C119" s="323">
        <f t="shared" si="54"/>
        <v>8.8996690926781905E-2</v>
      </c>
      <c r="D119" s="186">
        <f t="shared" si="54"/>
        <v>0.2669900727803457</v>
      </c>
      <c r="E119" s="186"/>
      <c r="F119" s="186">
        <f t="shared" si="54"/>
        <v>0.62297683648747337</v>
      </c>
      <c r="G119" s="186">
        <f t="shared" si="54"/>
        <v>0.88996690926781918</v>
      </c>
      <c r="H119" s="186">
        <f t="shared" si="54"/>
        <v>1.3349503639017284</v>
      </c>
      <c r="I119" s="186">
        <f t="shared" si="54"/>
        <v>1.7799338185356384</v>
      </c>
      <c r="J119" s="186">
        <f t="shared" si="54"/>
        <v>2.6699007278034568</v>
      </c>
      <c r="K119" s="186">
        <f t="shared" si="54"/>
        <v>4.4498345463390958</v>
      </c>
    </row>
    <row r="120" spans="1:13" ht="14.5" hidden="1" outlineLevel="2">
      <c r="A120">
        <v>3</v>
      </c>
      <c r="B120" s="186">
        <f t="shared" si="55"/>
        <v>7.2942754048844733</v>
      </c>
      <c r="C120" s="323">
        <f t="shared" si="54"/>
        <v>8.5460362984965538E-2</v>
      </c>
      <c r="D120" s="186">
        <f t="shared" si="54"/>
        <v>0.25638108895489664</v>
      </c>
      <c r="E120" s="186"/>
      <c r="F120" s="186">
        <f t="shared" si="54"/>
        <v>0.59822254089475879</v>
      </c>
      <c r="G120" s="186">
        <f t="shared" si="54"/>
        <v>0.85460362984965543</v>
      </c>
      <c r="H120" s="186">
        <f t="shared" si="54"/>
        <v>1.2819054447744829</v>
      </c>
      <c r="I120" s="186">
        <f t="shared" si="54"/>
        <v>1.7092072596993109</v>
      </c>
      <c r="J120" s="186">
        <f t="shared" si="54"/>
        <v>2.5638108895489657</v>
      </c>
      <c r="K120" s="186">
        <f t="shared" si="54"/>
        <v>4.2730181492482773</v>
      </c>
    </row>
    <row r="121" spans="1:13" ht="14.5" hidden="1" outlineLevel="2">
      <c r="A121">
        <v>4</v>
      </c>
      <c r="B121" s="186">
        <f t="shared" si="55"/>
        <v>7.0874218473117914</v>
      </c>
      <c r="C121" s="323">
        <f t="shared" si="54"/>
        <v>8.3036848772291963E-2</v>
      </c>
      <c r="D121" s="186">
        <f t="shared" si="54"/>
        <v>0.2491105463168759</v>
      </c>
      <c r="E121" s="186"/>
      <c r="F121" s="186">
        <f t="shared" si="54"/>
        <v>0.58125794140604381</v>
      </c>
      <c r="G121" s="186">
        <f t="shared" si="54"/>
        <v>0.83036848772291971</v>
      </c>
      <c r="H121" s="186">
        <f t="shared" si="54"/>
        <v>1.2455527315843793</v>
      </c>
      <c r="I121" s="186">
        <f t="shared" si="54"/>
        <v>1.6607369754458394</v>
      </c>
      <c r="J121" s="186">
        <f t="shared" si="54"/>
        <v>2.4911054631687586</v>
      </c>
      <c r="K121" s="186">
        <f t="shared" si="54"/>
        <v>4.1518424386145991</v>
      </c>
    </row>
    <row r="122" spans="1:13" ht="14.5" hidden="1" outlineLevel="2">
      <c r="A122">
        <v>5</v>
      </c>
      <c r="B122" s="186">
        <f t="shared" si="55"/>
        <v>6.9310220689732587</v>
      </c>
      <c r="C122" s="323">
        <f t="shared" si="54"/>
        <v>8.1204455410967963E-2</v>
      </c>
      <c r="D122" s="186">
        <f t="shared" si="54"/>
        <v>0.24361336623290392</v>
      </c>
      <c r="E122" s="186"/>
      <c r="F122" s="186">
        <f t="shared" si="54"/>
        <v>0.56843118787677582</v>
      </c>
      <c r="G122" s="186">
        <f t="shared" si="54"/>
        <v>0.81204455410967979</v>
      </c>
      <c r="H122" s="186">
        <f t="shared" si="54"/>
        <v>1.2180668311645195</v>
      </c>
      <c r="I122" s="186">
        <f t="shared" si="54"/>
        <v>1.6240891082193596</v>
      </c>
      <c r="J122" s="186">
        <f t="shared" si="54"/>
        <v>2.4361336623290391</v>
      </c>
      <c r="K122" s="186">
        <f t="shared" si="54"/>
        <v>4.0602227705483989</v>
      </c>
    </row>
    <row r="123" spans="1:13" s="187" customFormat="1" ht="14.5" hidden="1" outlineLevel="1" collapsed="1">
      <c r="A123" s="272" t="s">
        <v>494</v>
      </c>
      <c r="B123" s="278">
        <f>B129</f>
        <v>6.8525084594094308</v>
      </c>
      <c r="C123" s="329">
        <f t="shared" ref="C123:K123" si="56">C129</f>
        <v>8.1166579638131869E-2</v>
      </c>
      <c r="D123" s="278">
        <f t="shared" si="56"/>
        <v>0.24260067601330121</v>
      </c>
      <c r="E123" s="278"/>
      <c r="F123" s="278">
        <f t="shared" si="56"/>
        <v>0.5561568001776831</v>
      </c>
      <c r="G123" s="278">
        <f t="shared" si="56"/>
        <v>0.77819966085098635</v>
      </c>
      <c r="H123" s="278">
        <f t="shared" si="56"/>
        <v>1.1168418739978432</v>
      </c>
      <c r="I123" s="278">
        <f t="shared" si="56"/>
        <v>1.4158059197763044</v>
      </c>
      <c r="J123" s="278">
        <f t="shared" si="56"/>
        <v>1.9155333278162308</v>
      </c>
      <c r="K123" s="278">
        <f t="shared" si="56"/>
        <v>2.6720928535128827</v>
      </c>
      <c r="M123" s="339"/>
    </row>
    <row r="124" spans="1:13" ht="14.5" hidden="1" outlineLevel="1">
      <c r="A124" s="271" t="s">
        <v>528</v>
      </c>
    </row>
    <row r="125" spans="1:13" ht="14.5" hidden="1" outlineLevel="2">
      <c r="A125">
        <v>1</v>
      </c>
      <c r="B125" s="186">
        <f>B118*SQRT((1+0.2*B$11^2)^(-0.467))</f>
        <v>8.049086244093214</v>
      </c>
      <c r="C125" s="323">
        <f t="shared" ref="C125:K129" si="57">C118*SQRT((1+0.2*C$11^2)^(-0.467))</f>
        <v>9.5339801988611972E-2</v>
      </c>
      <c r="D125" s="186">
        <f t="shared" si="57"/>
        <v>0.28496334965118275</v>
      </c>
      <c r="E125" s="186"/>
      <c r="F125" s="186">
        <f t="shared" si="57"/>
        <v>0.65327231281592457</v>
      </c>
      <c r="G125" s="186">
        <f t="shared" si="57"/>
        <v>0.91408806314024027</v>
      </c>
      <c r="H125" s="186">
        <f t="shared" si="57"/>
        <v>1.3118636216317889</v>
      </c>
      <c r="I125" s="186">
        <f t="shared" si="57"/>
        <v>1.663032453105403</v>
      </c>
      <c r="J125" s="186">
        <f t="shared" si="57"/>
        <v>2.2500217329693766</v>
      </c>
      <c r="K125" s="186">
        <f t="shared" si="57"/>
        <v>3.1386908834263507</v>
      </c>
    </row>
    <row r="126" spans="1:13" ht="14.5" hidden="1" outlineLevel="2">
      <c r="A126">
        <v>2</v>
      </c>
      <c r="B126" s="186">
        <f t="shared" ref="B126:B128" si="58">B119*SQRT((1+0.2*B$11^2)^(-0.467))</f>
        <v>7.5100630174640566</v>
      </c>
      <c r="C126" s="323">
        <f t="shared" si="57"/>
        <v>8.895518066196148E-2</v>
      </c>
      <c r="D126" s="186">
        <f t="shared" si="57"/>
        <v>0.26588020660339223</v>
      </c>
      <c r="E126" s="186"/>
      <c r="F126" s="186">
        <f t="shared" si="57"/>
        <v>0.60952462031481114</v>
      </c>
      <c r="G126" s="186">
        <f t="shared" si="57"/>
        <v>0.85287432007982455</v>
      </c>
      <c r="H126" s="186">
        <f t="shared" si="57"/>
        <v>1.2240120393794183</v>
      </c>
      <c r="I126" s="186">
        <f t="shared" si="57"/>
        <v>1.5516641447437296</v>
      </c>
      <c r="J126" s="186">
        <f t="shared" si="57"/>
        <v>2.0993445085352485</v>
      </c>
      <c r="K126" s="186">
        <f t="shared" si="57"/>
        <v>2.9285021444725929</v>
      </c>
    </row>
    <row r="127" spans="1:13" ht="14.5" hidden="1" outlineLevel="2">
      <c r="A127">
        <v>3</v>
      </c>
      <c r="B127" s="186">
        <f t="shared" si="58"/>
        <v>7.2116469143832198</v>
      </c>
      <c r="C127" s="323">
        <f t="shared" si="57"/>
        <v>8.5420502151240002E-2</v>
      </c>
      <c r="D127" s="186">
        <f t="shared" si="57"/>
        <v>0.25531532386453826</v>
      </c>
      <c r="E127" s="186"/>
      <c r="F127" s="186">
        <f t="shared" si="57"/>
        <v>0.58530485524716824</v>
      </c>
      <c r="G127" s="186">
        <f t="shared" si="57"/>
        <v>0.81898493320995491</v>
      </c>
      <c r="H127" s="186">
        <f t="shared" si="57"/>
        <v>1.1753753099583417</v>
      </c>
      <c r="I127" s="186">
        <f t="shared" si="57"/>
        <v>1.4900079953495211</v>
      </c>
      <c r="J127" s="186">
        <f t="shared" si="57"/>
        <v>2.0159260064794848</v>
      </c>
      <c r="K127" s="186">
        <f t="shared" si="57"/>
        <v>2.8121366498309142</v>
      </c>
    </row>
    <row r="128" spans="1:13" ht="14.5" hidden="1" outlineLevel="2">
      <c r="A128">
        <v>4</v>
      </c>
      <c r="B128" s="186">
        <f t="shared" si="58"/>
        <v>7.0071365638144307</v>
      </c>
      <c r="C128" s="323">
        <f t="shared" si="57"/>
        <v>8.299811832572708E-2</v>
      </c>
      <c r="D128" s="186">
        <f t="shared" si="57"/>
        <v>0.24807500455758749</v>
      </c>
      <c r="E128" s="186"/>
      <c r="F128" s="186">
        <f t="shared" si="57"/>
        <v>0.56870657990766493</v>
      </c>
      <c r="G128" s="186">
        <f t="shared" si="57"/>
        <v>0.79575987826899919</v>
      </c>
      <c r="H128" s="186">
        <f t="shared" si="57"/>
        <v>1.142043614779247</v>
      </c>
      <c r="I128" s="186">
        <f t="shared" si="57"/>
        <v>1.4477538388306437</v>
      </c>
      <c r="J128" s="186">
        <f t="shared" si="57"/>
        <v>1.9587576870650116</v>
      </c>
      <c r="K128" s="186">
        <f t="shared" si="57"/>
        <v>2.7323891165792196</v>
      </c>
    </row>
    <row r="129" spans="1:13" ht="14.5" hidden="1" outlineLevel="2">
      <c r="A129">
        <v>5</v>
      </c>
      <c r="B129" s="186">
        <f>B122*SQRT((1+0.2*B$11^2)^(-0.467))</f>
        <v>6.8525084594094308</v>
      </c>
      <c r="C129" s="323">
        <f t="shared" si="57"/>
        <v>8.1166579638131869E-2</v>
      </c>
      <c r="D129" s="186">
        <f t="shared" si="57"/>
        <v>0.24260067601330121</v>
      </c>
      <c r="E129" s="186"/>
      <c r="F129" s="186">
        <f t="shared" si="57"/>
        <v>0.5561568001776831</v>
      </c>
      <c r="G129" s="186">
        <f t="shared" si="57"/>
        <v>0.77819966085098635</v>
      </c>
      <c r="H129" s="186">
        <f t="shared" si="57"/>
        <v>1.1168418739978432</v>
      </c>
      <c r="I129" s="186">
        <f t="shared" si="57"/>
        <v>1.4158059197763044</v>
      </c>
      <c r="J129" s="186">
        <f t="shared" si="57"/>
        <v>1.9155333278162308</v>
      </c>
      <c r="K129" s="186">
        <f t="shared" si="57"/>
        <v>2.6720928535128827</v>
      </c>
    </row>
    <row r="130" spans="1:13" ht="14.5" hidden="1" outlineLevel="1" collapsed="1"/>
    <row r="131" spans="1:13" ht="14.5" hidden="1" outlineLevel="1"/>
    <row r="132" spans="1:13" ht="15" hidden="1" customHeight="1" outlineLevel="1">
      <c r="A132" s="265" t="s">
        <v>518</v>
      </c>
    </row>
    <row r="133" spans="1:13" s="266" customFormat="1" ht="15" hidden="1" customHeight="1" outlineLevel="1">
      <c r="A133" s="270" t="s">
        <v>380</v>
      </c>
      <c r="B133" s="276">
        <f t="shared" ref="B133:K133" si="59">IF(B10&lt;1,B99*RADIANS(B13),B100*RADIANS(B13))</f>
        <v>0.17562385678767603</v>
      </c>
      <c r="C133" s="330">
        <f t="shared" si="59"/>
        <v>0</v>
      </c>
      <c r="D133" s="276">
        <f t="shared" si="59"/>
        <v>0</v>
      </c>
      <c r="E133" s="276"/>
      <c r="F133" s="276">
        <f t="shared" si="59"/>
        <v>0</v>
      </c>
      <c r="G133" s="276">
        <f t="shared" si="59"/>
        <v>0</v>
      </c>
      <c r="H133" s="276">
        <f t="shared" si="59"/>
        <v>0</v>
      </c>
      <c r="I133" s="276">
        <f t="shared" si="59"/>
        <v>0</v>
      </c>
      <c r="J133" s="276">
        <f t="shared" si="59"/>
        <v>0</v>
      </c>
      <c r="K133" s="276">
        <f t="shared" si="59"/>
        <v>0</v>
      </c>
      <c r="M133" s="340"/>
    </row>
    <row r="134" spans="1:13" ht="15" hidden="1" customHeight="1" outlineLevel="1">
      <c r="A134" t="s">
        <v>381</v>
      </c>
    </row>
    <row r="135" spans="1:13" ht="15" hidden="1" customHeight="1" outlineLevel="2">
      <c r="A135">
        <v>1</v>
      </c>
      <c r="B135" s="191">
        <f t="shared" ref="B135:K135" si="60">B$33*(B87)*B$133</f>
        <v>6.167796850217119</v>
      </c>
      <c r="C135" s="319">
        <f t="shared" si="60"/>
        <v>0</v>
      </c>
      <c r="D135" s="191">
        <f t="shared" si="60"/>
        <v>0</v>
      </c>
      <c r="F135" s="191">
        <f t="shared" si="60"/>
        <v>0</v>
      </c>
      <c r="G135" s="191">
        <f t="shared" si="60"/>
        <v>0</v>
      </c>
      <c r="H135" s="191">
        <f t="shared" si="60"/>
        <v>0</v>
      </c>
      <c r="I135" s="191">
        <f t="shared" si="60"/>
        <v>0</v>
      </c>
      <c r="J135" s="191">
        <f t="shared" si="60"/>
        <v>0</v>
      </c>
      <c r="K135" s="191">
        <f t="shared" si="60"/>
        <v>0</v>
      </c>
    </row>
    <row r="136" spans="1:13" ht="15" hidden="1" customHeight="1" outlineLevel="2">
      <c r="A136">
        <v>2</v>
      </c>
      <c r="B136" s="191">
        <f t="shared" ref="B136:K136" si="61">B$33*(B88)*B$133</f>
        <v>5.9750531986478359</v>
      </c>
      <c r="C136" s="319">
        <f t="shared" si="61"/>
        <v>0</v>
      </c>
      <c r="D136" s="191">
        <f t="shared" si="61"/>
        <v>0</v>
      </c>
      <c r="F136" s="191">
        <f t="shared" si="61"/>
        <v>0</v>
      </c>
      <c r="G136" s="191">
        <f t="shared" si="61"/>
        <v>0</v>
      </c>
      <c r="H136" s="191">
        <f t="shared" si="61"/>
        <v>0</v>
      </c>
      <c r="I136" s="191">
        <f t="shared" si="61"/>
        <v>0</v>
      </c>
      <c r="J136" s="191">
        <f t="shared" si="61"/>
        <v>0</v>
      </c>
      <c r="K136" s="191">
        <f t="shared" si="61"/>
        <v>0</v>
      </c>
    </row>
    <row r="137" spans="1:13" ht="15" hidden="1" customHeight="1" outlineLevel="2">
      <c r="A137">
        <v>3</v>
      </c>
      <c r="B137" s="191">
        <f t="shared" ref="B137:K137" si="62">B$33*(B89)*B$133</f>
        <v>5.7823095470785502</v>
      </c>
      <c r="C137" s="319">
        <f t="shared" si="62"/>
        <v>0</v>
      </c>
      <c r="D137" s="191">
        <f t="shared" si="62"/>
        <v>0</v>
      </c>
      <c r="F137" s="191">
        <f t="shared" si="62"/>
        <v>0</v>
      </c>
      <c r="G137" s="191">
        <f t="shared" si="62"/>
        <v>0</v>
      </c>
      <c r="H137" s="191">
        <f t="shared" si="62"/>
        <v>0</v>
      </c>
      <c r="I137" s="191">
        <f t="shared" si="62"/>
        <v>0</v>
      </c>
      <c r="J137" s="191">
        <f t="shared" si="62"/>
        <v>0</v>
      </c>
      <c r="K137" s="191">
        <f t="shared" si="62"/>
        <v>0</v>
      </c>
    </row>
    <row r="138" spans="1:13" ht="15" hidden="1" customHeight="1" outlineLevel="2">
      <c r="A138">
        <v>4</v>
      </c>
      <c r="B138" s="191">
        <f t="shared" ref="B138:K138" si="63">B$33*(B90)*B$133</f>
        <v>5.5895658955092653</v>
      </c>
      <c r="C138" s="319">
        <f t="shared" si="63"/>
        <v>0</v>
      </c>
      <c r="D138" s="191">
        <f t="shared" si="63"/>
        <v>0</v>
      </c>
      <c r="F138" s="191">
        <f t="shared" si="63"/>
        <v>0</v>
      </c>
      <c r="G138" s="191">
        <f t="shared" si="63"/>
        <v>0</v>
      </c>
      <c r="H138" s="191">
        <f t="shared" si="63"/>
        <v>0</v>
      </c>
      <c r="I138" s="191">
        <f t="shared" si="63"/>
        <v>0</v>
      </c>
      <c r="J138" s="191">
        <f t="shared" si="63"/>
        <v>0</v>
      </c>
      <c r="K138" s="191">
        <f t="shared" si="63"/>
        <v>0</v>
      </c>
    </row>
    <row r="139" spans="1:13" ht="15" hidden="1" customHeight="1" outlineLevel="2">
      <c r="A139">
        <v>5</v>
      </c>
      <c r="B139" s="191">
        <f t="shared" ref="B139:K139" si="64">B$33*(B91)*B$133</f>
        <v>5.3968222439399796</v>
      </c>
      <c r="C139" s="319">
        <f t="shared" si="64"/>
        <v>0</v>
      </c>
      <c r="D139" s="191">
        <f t="shared" si="64"/>
        <v>0</v>
      </c>
      <c r="F139" s="191">
        <f t="shared" si="64"/>
        <v>0</v>
      </c>
      <c r="G139" s="191">
        <f t="shared" si="64"/>
        <v>0</v>
      </c>
      <c r="H139" s="191">
        <f t="shared" si="64"/>
        <v>0</v>
      </c>
      <c r="I139" s="191">
        <f t="shared" si="64"/>
        <v>0</v>
      </c>
      <c r="J139" s="191">
        <f t="shared" si="64"/>
        <v>0</v>
      </c>
      <c r="K139" s="191">
        <f t="shared" si="64"/>
        <v>0</v>
      </c>
    </row>
    <row r="140" spans="1:13" ht="15" hidden="1" customHeight="1" outlineLevel="2">
      <c r="A140">
        <v>6</v>
      </c>
      <c r="B140" s="191">
        <f t="shared" ref="B140:K140" si="65">B$33*(B92)*B$133</f>
        <v>5.2040785923706947</v>
      </c>
      <c r="C140" s="319">
        <f t="shared" si="65"/>
        <v>0</v>
      </c>
      <c r="D140" s="191">
        <f t="shared" si="65"/>
        <v>0</v>
      </c>
      <c r="F140" s="191">
        <f t="shared" si="65"/>
        <v>0</v>
      </c>
      <c r="G140" s="191">
        <f t="shared" si="65"/>
        <v>0</v>
      </c>
      <c r="H140" s="191">
        <f t="shared" si="65"/>
        <v>0</v>
      </c>
      <c r="I140" s="191">
        <f t="shared" si="65"/>
        <v>0</v>
      </c>
      <c r="J140" s="191">
        <f t="shared" si="65"/>
        <v>0</v>
      </c>
      <c r="K140" s="191">
        <f t="shared" si="65"/>
        <v>0</v>
      </c>
    </row>
    <row r="141" spans="1:13" ht="15" hidden="1" customHeight="1" outlineLevel="2">
      <c r="A141">
        <v>7</v>
      </c>
      <c r="B141" s="191">
        <f t="shared" ref="B141:K141" si="66">B$33*(B93)*B$133</f>
        <v>5.0113349408014098</v>
      </c>
      <c r="C141" s="319">
        <f t="shared" si="66"/>
        <v>0</v>
      </c>
      <c r="D141" s="191">
        <f t="shared" si="66"/>
        <v>0</v>
      </c>
      <c r="F141" s="191">
        <f t="shared" si="66"/>
        <v>0</v>
      </c>
      <c r="G141" s="191">
        <f t="shared" si="66"/>
        <v>0</v>
      </c>
      <c r="H141" s="191">
        <f t="shared" si="66"/>
        <v>0</v>
      </c>
      <c r="I141" s="191">
        <f t="shared" si="66"/>
        <v>0</v>
      </c>
      <c r="J141" s="191">
        <f t="shared" si="66"/>
        <v>0</v>
      </c>
      <c r="K141" s="191">
        <f t="shared" si="66"/>
        <v>0</v>
      </c>
    </row>
    <row r="142" spans="1:13" ht="15" hidden="1" customHeight="1" outlineLevel="2">
      <c r="A142">
        <v>8</v>
      </c>
      <c r="B142" s="191">
        <f t="shared" ref="B142:K142" si="67">B$33*(B94)*B$133</f>
        <v>4.818591289232125</v>
      </c>
      <c r="C142" s="319">
        <f t="shared" si="67"/>
        <v>0</v>
      </c>
      <c r="D142" s="191">
        <f t="shared" si="67"/>
        <v>0</v>
      </c>
      <c r="F142" s="191">
        <f t="shared" si="67"/>
        <v>0</v>
      </c>
      <c r="G142" s="191">
        <f t="shared" si="67"/>
        <v>0</v>
      </c>
      <c r="H142" s="191">
        <f t="shared" si="67"/>
        <v>0</v>
      </c>
      <c r="I142" s="191">
        <f t="shared" si="67"/>
        <v>0</v>
      </c>
      <c r="J142" s="191">
        <f t="shared" si="67"/>
        <v>0</v>
      </c>
      <c r="K142" s="191">
        <f t="shared" si="67"/>
        <v>0</v>
      </c>
    </row>
    <row r="143" spans="1:13" ht="15" hidden="1" customHeight="1" outlineLevel="2">
      <c r="A143">
        <v>9</v>
      </c>
      <c r="B143" s="191">
        <f t="shared" ref="B143:K143" si="68">B$33*(B95)*B$133</f>
        <v>4.6258476376628401</v>
      </c>
      <c r="C143" s="319">
        <f t="shared" si="68"/>
        <v>0</v>
      </c>
      <c r="D143" s="191">
        <f t="shared" si="68"/>
        <v>0</v>
      </c>
      <c r="F143" s="191">
        <f t="shared" si="68"/>
        <v>0</v>
      </c>
      <c r="G143" s="191">
        <f t="shared" si="68"/>
        <v>0</v>
      </c>
      <c r="H143" s="191">
        <f t="shared" si="68"/>
        <v>0</v>
      </c>
      <c r="I143" s="191">
        <f t="shared" si="68"/>
        <v>0</v>
      </c>
      <c r="J143" s="191">
        <f t="shared" si="68"/>
        <v>0</v>
      </c>
      <c r="K143" s="191">
        <f t="shared" si="68"/>
        <v>0</v>
      </c>
    </row>
    <row r="144" spans="1:13" ht="15" hidden="1" customHeight="1" outlineLevel="2">
      <c r="A144">
        <v>10</v>
      </c>
      <c r="B144" s="191">
        <f t="shared" ref="B144:K144" si="69">B$33*(B96)*B$133</f>
        <v>4.4331039860935544</v>
      </c>
      <c r="C144" s="319">
        <f t="shared" si="69"/>
        <v>0</v>
      </c>
      <c r="D144" s="191">
        <f t="shared" si="69"/>
        <v>0</v>
      </c>
      <c r="F144" s="191">
        <f t="shared" si="69"/>
        <v>0</v>
      </c>
      <c r="G144" s="191">
        <f t="shared" si="69"/>
        <v>0</v>
      </c>
      <c r="H144" s="191">
        <f t="shared" si="69"/>
        <v>0</v>
      </c>
      <c r="I144" s="191">
        <f t="shared" si="69"/>
        <v>0</v>
      </c>
      <c r="J144" s="191">
        <f t="shared" si="69"/>
        <v>0</v>
      </c>
      <c r="K144" s="191">
        <f t="shared" si="69"/>
        <v>0</v>
      </c>
    </row>
    <row r="145" spans="1:11" ht="15" hidden="1" customHeight="1" outlineLevel="1" collapsed="1">
      <c r="A145" t="s">
        <v>497</v>
      </c>
    </row>
    <row r="146" spans="1:11" ht="15" hidden="1" customHeight="1" outlineLevel="2">
      <c r="A146">
        <v>1</v>
      </c>
      <c r="B146" s="191">
        <f>B135*$A146*(B$54/11)</f>
        <v>8.4106320684778885E-2</v>
      </c>
      <c r="C146" s="319">
        <f t="shared" ref="C146:K155" si="70">C135*$A146*(C$54/11)</f>
        <v>0</v>
      </c>
      <c r="D146" s="191">
        <f t="shared" si="70"/>
        <v>0</v>
      </c>
      <c r="F146" s="191">
        <f t="shared" si="70"/>
        <v>0</v>
      </c>
      <c r="G146" s="191">
        <f t="shared" si="70"/>
        <v>0</v>
      </c>
      <c r="H146" s="191">
        <f t="shared" si="70"/>
        <v>0</v>
      </c>
      <c r="I146" s="191">
        <f t="shared" si="70"/>
        <v>0</v>
      </c>
      <c r="J146" s="191">
        <f t="shared" si="70"/>
        <v>0</v>
      </c>
      <c r="K146" s="191">
        <f t="shared" si="70"/>
        <v>0</v>
      </c>
    </row>
    <row r="147" spans="1:11" ht="15" hidden="1" customHeight="1" outlineLevel="2">
      <c r="A147">
        <v>2</v>
      </c>
      <c r="B147" s="191">
        <f t="shared" ref="B147:B155" si="71">B136*$A147*(B$54/11)</f>
        <v>0.16295599632675914</v>
      </c>
      <c r="C147" s="319">
        <f t="shared" si="70"/>
        <v>0</v>
      </c>
      <c r="D147" s="191">
        <f t="shared" si="70"/>
        <v>0</v>
      </c>
      <c r="F147" s="191">
        <f t="shared" si="70"/>
        <v>0</v>
      </c>
      <c r="G147" s="191">
        <f t="shared" si="70"/>
        <v>0</v>
      </c>
      <c r="H147" s="191">
        <f t="shared" si="70"/>
        <v>0</v>
      </c>
      <c r="I147" s="191">
        <f t="shared" si="70"/>
        <v>0</v>
      </c>
      <c r="J147" s="191">
        <f t="shared" si="70"/>
        <v>0</v>
      </c>
      <c r="K147" s="191">
        <f t="shared" si="70"/>
        <v>0</v>
      </c>
    </row>
    <row r="148" spans="1:11" ht="15" hidden="1" customHeight="1" outlineLevel="2">
      <c r="A148">
        <v>3</v>
      </c>
      <c r="B148" s="191">
        <f t="shared" si="71"/>
        <v>0.23654902692594065</v>
      </c>
      <c r="C148" s="319">
        <f t="shared" si="70"/>
        <v>0</v>
      </c>
      <c r="D148" s="191">
        <f t="shared" si="70"/>
        <v>0</v>
      </c>
      <c r="F148" s="191">
        <f t="shared" si="70"/>
        <v>0</v>
      </c>
      <c r="G148" s="191">
        <f t="shared" si="70"/>
        <v>0</v>
      </c>
      <c r="H148" s="191">
        <f t="shared" si="70"/>
        <v>0</v>
      </c>
      <c r="I148" s="191">
        <f t="shared" si="70"/>
        <v>0</v>
      </c>
      <c r="J148" s="191">
        <f t="shared" si="70"/>
        <v>0</v>
      </c>
      <c r="K148" s="191">
        <f t="shared" si="70"/>
        <v>0</v>
      </c>
    </row>
    <row r="149" spans="1:11" ht="15" hidden="1" customHeight="1" outlineLevel="2">
      <c r="A149">
        <v>4</v>
      </c>
      <c r="B149" s="191">
        <f t="shared" si="71"/>
        <v>0.30488541248232354</v>
      </c>
      <c r="C149" s="319">
        <f t="shared" si="70"/>
        <v>0</v>
      </c>
      <c r="D149" s="191">
        <f t="shared" si="70"/>
        <v>0</v>
      </c>
      <c r="F149" s="191">
        <f t="shared" si="70"/>
        <v>0</v>
      </c>
      <c r="G149" s="191">
        <f t="shared" si="70"/>
        <v>0</v>
      </c>
      <c r="H149" s="191">
        <f t="shared" si="70"/>
        <v>0</v>
      </c>
      <c r="I149" s="191">
        <f t="shared" si="70"/>
        <v>0</v>
      </c>
      <c r="J149" s="191">
        <f t="shared" si="70"/>
        <v>0</v>
      </c>
      <c r="K149" s="191">
        <f t="shared" si="70"/>
        <v>0</v>
      </c>
    </row>
    <row r="150" spans="1:11" ht="15" hidden="1" customHeight="1" outlineLevel="2">
      <c r="A150">
        <v>5</v>
      </c>
      <c r="B150" s="191">
        <f t="shared" si="71"/>
        <v>0.36796515299590765</v>
      </c>
      <c r="C150" s="319">
        <f t="shared" si="70"/>
        <v>0</v>
      </c>
      <c r="D150" s="191">
        <f t="shared" si="70"/>
        <v>0</v>
      </c>
      <c r="F150" s="191">
        <f t="shared" si="70"/>
        <v>0</v>
      </c>
      <c r="G150" s="191">
        <f t="shared" si="70"/>
        <v>0</v>
      </c>
      <c r="H150" s="191">
        <f t="shared" si="70"/>
        <v>0</v>
      </c>
      <c r="I150" s="191">
        <f t="shared" si="70"/>
        <v>0</v>
      </c>
      <c r="J150" s="191">
        <f t="shared" si="70"/>
        <v>0</v>
      </c>
      <c r="K150" s="191">
        <f t="shared" si="70"/>
        <v>0</v>
      </c>
    </row>
    <row r="151" spans="1:11" ht="15" hidden="1" customHeight="1" outlineLevel="2">
      <c r="A151">
        <v>6</v>
      </c>
      <c r="B151" s="191">
        <f t="shared" si="71"/>
        <v>0.42578824846669316</v>
      </c>
      <c r="C151" s="319">
        <f t="shared" si="70"/>
        <v>0</v>
      </c>
      <c r="D151" s="191">
        <f t="shared" si="70"/>
        <v>0</v>
      </c>
      <c r="F151" s="191">
        <f t="shared" si="70"/>
        <v>0</v>
      </c>
      <c r="G151" s="191">
        <f t="shared" si="70"/>
        <v>0</v>
      </c>
      <c r="H151" s="191">
        <f t="shared" si="70"/>
        <v>0</v>
      </c>
      <c r="I151" s="191">
        <f t="shared" si="70"/>
        <v>0</v>
      </c>
      <c r="J151" s="191">
        <f t="shared" si="70"/>
        <v>0</v>
      </c>
      <c r="K151" s="191">
        <f t="shared" si="70"/>
        <v>0</v>
      </c>
    </row>
    <row r="152" spans="1:11" ht="15" hidden="1" customHeight="1" outlineLevel="2">
      <c r="A152">
        <v>7</v>
      </c>
      <c r="B152" s="191">
        <f t="shared" si="71"/>
        <v>0.47835469889467996</v>
      </c>
      <c r="C152" s="319">
        <f t="shared" si="70"/>
        <v>0</v>
      </c>
      <c r="D152" s="191">
        <f t="shared" si="70"/>
        <v>0</v>
      </c>
      <c r="F152" s="191">
        <f t="shared" si="70"/>
        <v>0</v>
      </c>
      <c r="G152" s="191">
        <f t="shared" si="70"/>
        <v>0</v>
      </c>
      <c r="H152" s="191">
        <f t="shared" si="70"/>
        <v>0</v>
      </c>
      <c r="I152" s="191">
        <f t="shared" si="70"/>
        <v>0</v>
      </c>
      <c r="J152" s="191">
        <f t="shared" si="70"/>
        <v>0</v>
      </c>
      <c r="K152" s="191">
        <f t="shared" si="70"/>
        <v>0</v>
      </c>
    </row>
    <row r="153" spans="1:11" ht="15" hidden="1" customHeight="1" outlineLevel="2">
      <c r="A153">
        <v>8</v>
      </c>
      <c r="B153" s="191">
        <f t="shared" si="71"/>
        <v>0.52566450427986811</v>
      </c>
      <c r="C153" s="319">
        <f t="shared" si="70"/>
        <v>0</v>
      </c>
      <c r="D153" s="191">
        <f t="shared" si="70"/>
        <v>0</v>
      </c>
      <c r="F153" s="191">
        <f t="shared" si="70"/>
        <v>0</v>
      </c>
      <c r="G153" s="191">
        <f t="shared" si="70"/>
        <v>0</v>
      </c>
      <c r="H153" s="191">
        <f t="shared" si="70"/>
        <v>0</v>
      </c>
      <c r="I153" s="191">
        <f t="shared" si="70"/>
        <v>0</v>
      </c>
      <c r="J153" s="191">
        <f t="shared" si="70"/>
        <v>0</v>
      </c>
      <c r="K153" s="191">
        <f t="shared" si="70"/>
        <v>0</v>
      </c>
    </row>
    <row r="154" spans="1:11" ht="15" hidden="1" customHeight="1" outlineLevel="2">
      <c r="A154">
        <v>9</v>
      </c>
      <c r="B154" s="191">
        <f t="shared" si="71"/>
        <v>0.5677176646222577</v>
      </c>
      <c r="C154" s="319">
        <f t="shared" si="70"/>
        <v>0</v>
      </c>
      <c r="D154" s="191">
        <f t="shared" si="70"/>
        <v>0</v>
      </c>
      <c r="F154" s="191">
        <f t="shared" si="70"/>
        <v>0</v>
      </c>
      <c r="G154" s="191">
        <f t="shared" si="70"/>
        <v>0</v>
      </c>
      <c r="H154" s="191">
        <f t="shared" si="70"/>
        <v>0</v>
      </c>
      <c r="I154" s="191">
        <f t="shared" si="70"/>
        <v>0</v>
      </c>
      <c r="J154" s="191">
        <f t="shared" si="70"/>
        <v>0</v>
      </c>
      <c r="K154" s="191">
        <f t="shared" si="70"/>
        <v>0</v>
      </c>
    </row>
    <row r="155" spans="1:11" ht="15" hidden="1" customHeight="1" outlineLevel="2">
      <c r="A155">
        <v>10</v>
      </c>
      <c r="B155" s="191">
        <f t="shared" si="71"/>
        <v>0.6045141799218483</v>
      </c>
      <c r="C155" s="319">
        <f t="shared" si="70"/>
        <v>0</v>
      </c>
      <c r="D155" s="191">
        <f t="shared" si="70"/>
        <v>0</v>
      </c>
      <c r="F155" s="191">
        <f t="shared" si="70"/>
        <v>0</v>
      </c>
      <c r="G155" s="191">
        <f t="shared" si="70"/>
        <v>0</v>
      </c>
      <c r="H155" s="191">
        <f t="shared" si="70"/>
        <v>0</v>
      </c>
      <c r="I155" s="191">
        <f t="shared" si="70"/>
        <v>0</v>
      </c>
      <c r="J155" s="191">
        <f t="shared" si="70"/>
        <v>0</v>
      </c>
      <c r="K155" s="191">
        <f t="shared" si="70"/>
        <v>0</v>
      </c>
    </row>
    <row r="156" spans="1:11" ht="15" hidden="1" customHeight="1" outlineLevel="1" collapsed="1">
      <c r="A156" t="s">
        <v>499</v>
      </c>
      <c r="B156" s="191">
        <f>SUM(B135:B144)</f>
        <v>53.004504181553372</v>
      </c>
      <c r="C156" s="319">
        <f t="shared" ref="C156:K156" si="72">SUM(C135:C144)</f>
        <v>0</v>
      </c>
      <c r="D156" s="191">
        <f t="shared" si="72"/>
        <v>0</v>
      </c>
      <c r="F156" s="191">
        <f t="shared" si="72"/>
        <v>0</v>
      </c>
      <c r="G156" s="191">
        <f t="shared" si="72"/>
        <v>0</v>
      </c>
      <c r="H156" s="191">
        <f t="shared" si="72"/>
        <v>0</v>
      </c>
      <c r="I156" s="191">
        <f t="shared" si="72"/>
        <v>0</v>
      </c>
      <c r="J156" s="191">
        <f t="shared" si="72"/>
        <v>0</v>
      </c>
      <c r="K156" s="191">
        <f t="shared" si="72"/>
        <v>0</v>
      </c>
    </row>
    <row r="157" spans="1:11" ht="15" hidden="1" customHeight="1" outlineLevel="1">
      <c r="A157" t="s">
        <v>498</v>
      </c>
      <c r="B157" s="191">
        <f>SUM(B146:B155)</f>
        <v>3.7585012056010569</v>
      </c>
      <c r="C157" s="319">
        <f t="shared" ref="C157:K157" si="73">SUM(C146:C155)</f>
        <v>0</v>
      </c>
      <c r="D157" s="191">
        <f t="shared" si="73"/>
        <v>0</v>
      </c>
      <c r="F157" s="191">
        <f t="shared" si="73"/>
        <v>0</v>
      </c>
      <c r="G157" s="191">
        <f t="shared" si="73"/>
        <v>0</v>
      </c>
      <c r="H157" s="191">
        <f t="shared" si="73"/>
        <v>0</v>
      </c>
      <c r="I157" s="191">
        <f t="shared" si="73"/>
        <v>0</v>
      </c>
      <c r="J157" s="191">
        <f t="shared" si="73"/>
        <v>0</v>
      </c>
      <c r="K157" s="191">
        <f t="shared" si="73"/>
        <v>0</v>
      </c>
    </row>
    <row r="158" spans="1:11" ht="15" hidden="1" customHeight="1" outlineLevel="1">
      <c r="A158" s="275" t="s">
        <v>382</v>
      </c>
      <c r="B158" s="191">
        <f t="shared" ref="B158:K158" si="74">(2*B156)/(B33*B97)</f>
        <v>0.35124771357535201</v>
      </c>
      <c r="C158" s="319">
        <f t="shared" si="74"/>
        <v>0</v>
      </c>
      <c r="D158" s="191">
        <f t="shared" si="74"/>
        <v>0</v>
      </c>
      <c r="F158" s="191">
        <f t="shared" si="74"/>
        <v>0</v>
      </c>
      <c r="G158" s="191">
        <f t="shared" si="74"/>
        <v>0</v>
      </c>
      <c r="H158" s="191">
        <f t="shared" si="74"/>
        <v>0</v>
      </c>
      <c r="I158" s="191">
        <f t="shared" si="74"/>
        <v>0</v>
      </c>
      <c r="J158" s="191">
        <f t="shared" si="74"/>
        <v>0</v>
      </c>
      <c r="K158" s="191">
        <f t="shared" si="74"/>
        <v>0</v>
      </c>
    </row>
    <row r="159" spans="1:11" ht="15" hidden="1" customHeight="1" outlineLevel="1">
      <c r="A159" s="275" t="s">
        <v>623</v>
      </c>
      <c r="B159" s="191">
        <f>(B157/B156)*100</f>
        <v>7.0909090909090908</v>
      </c>
      <c r="C159" s="319" t="e">
        <f t="shared" ref="C159:K159" si="75">(C157/C156)*100</f>
        <v>#DIV/0!</v>
      </c>
      <c r="D159" s="191" t="e">
        <f t="shared" si="75"/>
        <v>#DIV/0!</v>
      </c>
      <c r="F159" s="191" t="e">
        <f t="shared" si="75"/>
        <v>#DIV/0!</v>
      </c>
      <c r="G159" s="191" t="e">
        <f t="shared" si="75"/>
        <v>#DIV/0!</v>
      </c>
      <c r="H159" s="191" t="e">
        <f t="shared" si="75"/>
        <v>#DIV/0!</v>
      </c>
      <c r="I159" s="191" t="e">
        <f t="shared" si="75"/>
        <v>#DIV/0!</v>
      </c>
      <c r="J159" s="191" t="e">
        <f t="shared" si="75"/>
        <v>#DIV/0!</v>
      </c>
      <c r="K159" s="191" t="e">
        <f t="shared" si="75"/>
        <v>#DIV/0!</v>
      </c>
    </row>
    <row r="160" spans="1:11" ht="15" hidden="1" customHeight="1" outlineLevel="1">
      <c r="A160" t="s">
        <v>383</v>
      </c>
    </row>
    <row r="161" spans="1:11" ht="15" hidden="1" customHeight="1" outlineLevel="2">
      <c r="A161">
        <v>0</v>
      </c>
      <c r="B161">
        <v>0</v>
      </c>
      <c r="C161" s="331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1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1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7">
        <v>15</v>
      </c>
      <c r="B164">
        <v>1.0678696292132142</v>
      </c>
      <c r="C164" s="331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4">
        <v>20</v>
      </c>
      <c r="B165">
        <v>1.4238261722842855</v>
      </c>
      <c r="C165" s="331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4">
        <v>25</v>
      </c>
      <c r="B166">
        <v>1.7797827153553569</v>
      </c>
      <c r="C166" s="331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4">
        <v>30</v>
      </c>
      <c r="B167">
        <v>2.1357392584264283</v>
      </c>
      <c r="C167" s="331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6" t="s">
        <v>487</v>
      </c>
      <c r="B168" s="263">
        <f>AVERAGE(B169:B173)</f>
        <v>7.1191308614214271E-2</v>
      </c>
      <c r="C168" s="332">
        <f t="shared" ref="C168:K168" si="76">AVERAGE(C169:C173)</f>
        <v>7.1191308614214271E-2</v>
      </c>
      <c r="D168" s="263">
        <f t="shared" si="76"/>
        <v>7.1191308614214271E-2</v>
      </c>
      <c r="E168" s="263"/>
      <c r="F168" s="263">
        <f t="shared" si="76"/>
        <v>7.1191308614214271E-2</v>
      </c>
      <c r="G168" s="263">
        <f t="shared" si="76"/>
        <v>7.1191308614214271E-2</v>
      </c>
      <c r="H168" s="263">
        <f t="shared" si="76"/>
        <v>7.1191308614214271E-2</v>
      </c>
      <c r="I168" s="263">
        <f t="shared" si="76"/>
        <v>7.1191308614214271E-2</v>
      </c>
      <c r="J168" s="263">
        <f t="shared" si="76"/>
        <v>7.1191308614214271E-2</v>
      </c>
      <c r="K168" s="263">
        <f t="shared" si="76"/>
        <v>7.1191308614214271E-2</v>
      </c>
    </row>
    <row r="169" spans="1:11" ht="15" hidden="1" customHeight="1" outlineLevel="2">
      <c r="A169">
        <v>0</v>
      </c>
      <c r="B169" s="263">
        <f t="shared" ref="B169:K173" si="77">(B162-B161)/($A162-$A161)</f>
        <v>7.1191308614214202E-2</v>
      </c>
      <c r="C169" s="332">
        <f t="shared" si="77"/>
        <v>7.1191308614214202E-2</v>
      </c>
      <c r="D169" s="263">
        <f t="shared" si="77"/>
        <v>7.1191308614214202E-2</v>
      </c>
      <c r="E169" s="263"/>
      <c r="F169" s="263">
        <f t="shared" si="77"/>
        <v>7.1191308614214202E-2</v>
      </c>
      <c r="G169" s="263">
        <f t="shared" si="77"/>
        <v>7.1191308614214202E-2</v>
      </c>
      <c r="H169" s="263">
        <f t="shared" si="77"/>
        <v>7.1191308614214202E-2</v>
      </c>
      <c r="I169" s="263">
        <f t="shared" si="77"/>
        <v>7.1191308614214202E-2</v>
      </c>
      <c r="J169" s="263">
        <f t="shared" si="77"/>
        <v>7.1191308614214202E-2</v>
      </c>
      <c r="K169" s="263">
        <f t="shared" si="77"/>
        <v>7.1191308614214202E-2</v>
      </c>
    </row>
    <row r="170" spans="1:11" ht="15" hidden="1" customHeight="1" outlineLevel="2">
      <c r="A170">
        <v>5</v>
      </c>
      <c r="B170" s="263">
        <f t="shared" si="77"/>
        <v>7.1191308614214355E-2</v>
      </c>
      <c r="C170" s="332">
        <f t="shared" si="77"/>
        <v>7.1191308614214355E-2</v>
      </c>
      <c r="D170" s="263">
        <f t="shared" si="77"/>
        <v>7.1191308614214355E-2</v>
      </c>
      <c r="E170" s="263"/>
      <c r="F170" s="263">
        <f t="shared" si="77"/>
        <v>7.1191308614214355E-2</v>
      </c>
      <c r="G170" s="263">
        <f t="shared" si="77"/>
        <v>7.1191308614214355E-2</v>
      </c>
      <c r="H170" s="263">
        <f t="shared" si="77"/>
        <v>7.1191308614214355E-2</v>
      </c>
      <c r="I170" s="263">
        <f t="shared" si="77"/>
        <v>7.1191308614214355E-2</v>
      </c>
      <c r="J170" s="263">
        <f t="shared" si="77"/>
        <v>7.1191308614214355E-2</v>
      </c>
      <c r="K170" s="263">
        <f t="shared" si="77"/>
        <v>7.1191308614214355E-2</v>
      </c>
    </row>
    <row r="171" spans="1:11" ht="15" hidden="1" customHeight="1" outlineLevel="2">
      <c r="A171">
        <v>10</v>
      </c>
      <c r="B171" s="263">
        <f t="shared" si="77"/>
        <v>7.1191308614214271E-2</v>
      </c>
      <c r="C171" s="332">
        <f t="shared" si="77"/>
        <v>7.1191308614214271E-2</v>
      </c>
      <c r="D171" s="263">
        <f t="shared" si="77"/>
        <v>7.1191308614214271E-2</v>
      </c>
      <c r="E171" s="263"/>
      <c r="F171" s="263">
        <f t="shared" si="77"/>
        <v>7.1191308614214271E-2</v>
      </c>
      <c r="G171" s="263">
        <f t="shared" si="77"/>
        <v>7.1191308614214271E-2</v>
      </c>
      <c r="H171" s="263">
        <f t="shared" si="77"/>
        <v>7.1191308614214271E-2</v>
      </c>
      <c r="I171" s="263">
        <f t="shared" si="77"/>
        <v>7.1191308614214271E-2</v>
      </c>
      <c r="J171" s="263">
        <f t="shared" si="77"/>
        <v>7.1191308614214271E-2</v>
      </c>
      <c r="K171" s="263">
        <f t="shared" si="77"/>
        <v>7.1191308614214271E-2</v>
      </c>
    </row>
    <row r="172" spans="1:11" ht="15" hidden="1" customHeight="1" outlineLevel="2">
      <c r="A172">
        <v>15</v>
      </c>
      <c r="B172" s="263">
        <f t="shared" si="77"/>
        <v>7.1191308614214271E-2</v>
      </c>
      <c r="C172" s="332">
        <f t="shared" si="77"/>
        <v>7.1191308614214271E-2</v>
      </c>
      <c r="D172" s="263">
        <f t="shared" si="77"/>
        <v>7.1191308614214271E-2</v>
      </c>
      <c r="E172" s="263"/>
      <c r="F172" s="263">
        <f t="shared" si="77"/>
        <v>7.1191308614214271E-2</v>
      </c>
      <c r="G172" s="263">
        <f t="shared" si="77"/>
        <v>7.1191308614214271E-2</v>
      </c>
      <c r="H172" s="263">
        <f t="shared" si="77"/>
        <v>7.1191308614214271E-2</v>
      </c>
      <c r="I172" s="263">
        <f t="shared" si="77"/>
        <v>7.1191308614214271E-2</v>
      </c>
      <c r="J172" s="263">
        <f t="shared" si="77"/>
        <v>7.1191308614214271E-2</v>
      </c>
      <c r="K172" s="263">
        <f t="shared" si="77"/>
        <v>7.1191308614214271E-2</v>
      </c>
    </row>
    <row r="173" spans="1:11" ht="15" hidden="1" customHeight="1" outlineLevel="2">
      <c r="A173">
        <v>20</v>
      </c>
      <c r="B173" s="263">
        <f t="shared" si="77"/>
        <v>7.1191308614214271E-2</v>
      </c>
      <c r="C173" s="332">
        <f t="shared" si="77"/>
        <v>7.1191308614214271E-2</v>
      </c>
      <c r="D173" s="263">
        <f t="shared" si="77"/>
        <v>7.1191308614214271E-2</v>
      </c>
      <c r="E173" s="263"/>
      <c r="F173" s="263">
        <f t="shared" si="77"/>
        <v>7.1191308614214271E-2</v>
      </c>
      <c r="G173" s="263">
        <f t="shared" si="77"/>
        <v>7.1191308614214271E-2</v>
      </c>
      <c r="H173" s="263">
        <f t="shared" si="77"/>
        <v>7.1191308614214271E-2</v>
      </c>
      <c r="I173" s="263">
        <f t="shared" si="77"/>
        <v>7.1191308614214271E-2</v>
      </c>
      <c r="J173" s="263">
        <f t="shared" si="77"/>
        <v>7.1191308614214271E-2</v>
      </c>
      <c r="K173" s="263">
        <f t="shared" si="77"/>
        <v>7.1191308614214271E-2</v>
      </c>
    </row>
    <row r="174" spans="1:11" ht="15" hidden="1" customHeight="1" outlineLevel="1" collapsed="1">
      <c r="A174" s="191"/>
    </row>
    <row r="175" spans="1:11" ht="15" hidden="1" customHeight="1" outlineLevel="1">
      <c r="A175" s="273" t="s">
        <v>493</v>
      </c>
    </row>
    <row r="176" spans="1:11" ht="15" hidden="1" customHeight="1" outlineLevel="1">
      <c r="A176" t="s">
        <v>523</v>
      </c>
    </row>
    <row r="177" spans="1:11" ht="15" hidden="1" customHeight="1" outlineLevel="2">
      <c r="A177">
        <v>0.06</v>
      </c>
      <c r="B177" s="263">
        <v>1.7811871342984904</v>
      </c>
      <c r="C177" s="332"/>
      <c r="D177" s="263"/>
      <c r="E177" s="263"/>
      <c r="F177" s="263"/>
      <c r="G177" s="263"/>
      <c r="H177" s="263"/>
      <c r="I177" s="263"/>
      <c r="J177" s="263"/>
      <c r="K177" s="263"/>
    </row>
    <row r="178" spans="1:11" ht="15" hidden="1" customHeight="1" outlineLevel="2">
      <c r="A178">
        <v>0.1</v>
      </c>
      <c r="B178" s="263">
        <v>1.7868999999999999</v>
      </c>
      <c r="C178" s="332"/>
      <c r="D178" s="263"/>
      <c r="E178" s="263"/>
      <c r="F178" s="263"/>
      <c r="G178" s="263"/>
      <c r="H178" s="263"/>
      <c r="I178" s="263"/>
      <c r="J178" s="263"/>
      <c r="K178" s="263"/>
    </row>
    <row r="179" spans="1:11" ht="15" hidden="1" customHeight="1" outlineLevel="2">
      <c r="A179">
        <v>0.3</v>
      </c>
      <c r="B179" s="263">
        <v>1.8637999999999999</v>
      </c>
      <c r="C179" s="332"/>
      <c r="D179" s="263"/>
      <c r="E179" s="263"/>
      <c r="F179" s="263"/>
      <c r="G179" s="263"/>
      <c r="H179" s="263"/>
      <c r="I179" s="263"/>
      <c r="J179" s="263"/>
      <c r="K179" s="263"/>
    </row>
    <row r="180" spans="1:11" ht="15" hidden="1" customHeight="1" outlineLevel="2">
      <c r="A180">
        <v>0.5</v>
      </c>
      <c r="B180" s="263">
        <v>2.0529999999999999</v>
      </c>
      <c r="C180" s="332"/>
      <c r="D180" s="263"/>
      <c r="E180" s="263"/>
      <c r="F180" s="263"/>
      <c r="G180" s="263"/>
      <c r="H180" s="263"/>
      <c r="I180" s="263"/>
      <c r="J180" s="263"/>
      <c r="K180" s="263"/>
    </row>
    <row r="181" spans="1:11" ht="15" hidden="1" customHeight="1" outlineLevel="2">
      <c r="A181">
        <v>0.7</v>
      </c>
      <c r="B181" s="263">
        <v>2.4897</v>
      </c>
      <c r="C181" s="332"/>
      <c r="D181" s="263"/>
      <c r="E181" s="263"/>
      <c r="F181" s="263"/>
      <c r="G181" s="263"/>
      <c r="H181" s="263"/>
      <c r="I181" s="263"/>
      <c r="J181" s="263"/>
      <c r="K181" s="263"/>
    </row>
    <row r="182" spans="1:11" ht="15" hidden="1" customHeight="1" outlineLevel="2">
      <c r="A182">
        <v>1</v>
      </c>
      <c r="B182" s="263">
        <v>28.213824634343929</v>
      </c>
      <c r="C182" s="332"/>
      <c r="D182" s="263"/>
      <c r="E182" s="263"/>
      <c r="F182" s="263"/>
      <c r="G182" s="263"/>
      <c r="H182" s="263"/>
      <c r="I182" s="263"/>
      <c r="J182" s="263"/>
      <c r="K182" s="263"/>
    </row>
    <row r="183" spans="1:11" ht="15" hidden="1" customHeight="1" outlineLevel="2">
      <c r="A183">
        <v>1.5</v>
      </c>
      <c r="B183" s="263">
        <v>3.5777000000000001</v>
      </c>
      <c r="C183" s="332"/>
      <c r="D183" s="263"/>
      <c r="E183" s="263"/>
      <c r="F183" s="263"/>
      <c r="G183" s="263"/>
      <c r="H183" s="263"/>
      <c r="I183" s="263"/>
      <c r="J183" s="263"/>
      <c r="K183" s="263"/>
    </row>
    <row r="184" spans="1:11" ht="15" hidden="1" customHeight="1" outlineLevel="2">
      <c r="A184">
        <v>2</v>
      </c>
      <c r="B184" s="263">
        <v>2.3094000000000001</v>
      </c>
      <c r="C184" s="332"/>
      <c r="D184" s="263"/>
      <c r="E184" s="263"/>
      <c r="F184" s="263"/>
      <c r="G184" s="263"/>
      <c r="H184" s="263"/>
      <c r="I184" s="263"/>
      <c r="J184" s="263"/>
      <c r="K184" s="263"/>
    </row>
    <row r="185" spans="1:11" ht="15" hidden="1" customHeight="1" outlineLevel="2">
      <c r="A185">
        <v>3</v>
      </c>
      <c r="B185" s="263">
        <v>1.4141999999999999</v>
      </c>
      <c r="C185" s="332"/>
      <c r="D185" s="263"/>
      <c r="E185" s="263"/>
      <c r="F185" s="263"/>
      <c r="G185" s="263"/>
      <c r="H185" s="263"/>
      <c r="I185" s="263"/>
      <c r="J185" s="263"/>
      <c r="K185" s="263"/>
    </row>
    <row r="186" spans="1:11" ht="15" hidden="1" customHeight="1" outlineLevel="2">
      <c r="A186">
        <v>5</v>
      </c>
      <c r="B186" s="263">
        <v>0.8165</v>
      </c>
      <c r="C186" s="332"/>
      <c r="D186" s="263"/>
      <c r="E186" s="263"/>
      <c r="F186" s="263"/>
      <c r="G186" s="263"/>
      <c r="H186" s="263"/>
      <c r="I186" s="263"/>
      <c r="J186" s="263"/>
      <c r="K186" s="263"/>
    </row>
    <row r="187" spans="1:11" ht="15" hidden="1" customHeight="1" outlineLevel="1" collapsed="1"/>
    <row r="188" spans="1:11" ht="15" hidden="1" customHeight="1" outlineLevel="1">
      <c r="A188" s="283" t="s">
        <v>507</v>
      </c>
    </row>
    <row r="189" spans="1:11" ht="15" hidden="1" customHeight="1" outlineLevel="1">
      <c r="A189" s="290" t="s">
        <v>508</v>
      </c>
    </row>
    <row r="190" spans="1:11" ht="15" hidden="1" customHeight="1" outlineLevel="1">
      <c r="A190" t="s">
        <v>513</v>
      </c>
      <c r="B190" s="191">
        <f t="shared" ref="B190:K190" si="78">IF(B10&lt;1,B99,B100)</f>
        <v>2.0125011551487666</v>
      </c>
      <c r="C190" s="319">
        <f t="shared" si="78"/>
        <v>1.7516574184821574</v>
      </c>
      <c r="D190" s="191">
        <f t="shared" si="78"/>
        <v>1.8270316629357042</v>
      </c>
      <c r="F190" s="191">
        <f t="shared" si="78"/>
        <v>2.4405161277517413</v>
      </c>
      <c r="G190" s="191">
        <f t="shared" si="78"/>
        <v>28.213824634343929</v>
      </c>
      <c r="H190" s="191">
        <f t="shared" si="78"/>
        <v>3.5777087639996634</v>
      </c>
      <c r="I190" s="191">
        <f t="shared" si="78"/>
        <v>2.3094010767585034</v>
      </c>
      <c r="J190" s="191">
        <f t="shared" si="78"/>
        <v>1.4142135623730949</v>
      </c>
      <c r="K190" s="191">
        <f t="shared" si="78"/>
        <v>0.81649658092772615</v>
      </c>
    </row>
    <row r="191" spans="1:11" ht="15" hidden="1" customHeight="1" outlineLevel="1">
      <c r="A191" t="s">
        <v>509</v>
      </c>
      <c r="B191" s="191">
        <v>1.5</v>
      </c>
      <c r="C191" s="319">
        <v>1.5</v>
      </c>
      <c r="D191" s="191">
        <v>1.5</v>
      </c>
      <c r="F191" s="191">
        <v>1.5</v>
      </c>
      <c r="G191" s="191">
        <v>1.5</v>
      </c>
      <c r="H191" s="191">
        <v>1.5</v>
      </c>
      <c r="I191" s="191">
        <v>1.5</v>
      </c>
      <c r="J191" s="191">
        <v>1.5</v>
      </c>
      <c r="K191" s="191">
        <v>1.5</v>
      </c>
    </row>
    <row r="192" spans="1:11" ht="15" hidden="1" customHeight="1" outlineLevel="1">
      <c r="A192" t="s">
        <v>510</v>
      </c>
      <c r="B192" s="191">
        <f t="shared" ref="B192:K192" si="79">B40*B191</f>
        <v>0.12</v>
      </c>
      <c r="C192" s="319">
        <f t="shared" si="79"/>
        <v>0.12</v>
      </c>
      <c r="D192" s="191">
        <f t="shared" si="79"/>
        <v>0.12</v>
      </c>
      <c r="F192" s="191">
        <f t="shared" si="79"/>
        <v>0.12</v>
      </c>
      <c r="G192" s="191">
        <f t="shared" si="79"/>
        <v>0.12</v>
      </c>
      <c r="H192" s="191">
        <f t="shared" si="79"/>
        <v>0.12</v>
      </c>
      <c r="I192" s="191">
        <f t="shared" si="79"/>
        <v>0.12</v>
      </c>
      <c r="J192" s="191">
        <f t="shared" si="79"/>
        <v>0.12</v>
      </c>
      <c r="K192" s="191">
        <f t="shared" si="79"/>
        <v>0.12</v>
      </c>
    </row>
    <row r="193" spans="1:11" ht="15" hidden="1" customHeight="1" outlineLevel="1">
      <c r="A193" t="s">
        <v>514</v>
      </c>
      <c r="B193" s="287">
        <v>2</v>
      </c>
      <c r="C193" s="333">
        <v>2</v>
      </c>
      <c r="D193" s="287">
        <v>2</v>
      </c>
      <c r="E193" s="287"/>
      <c r="F193" s="287">
        <v>2</v>
      </c>
      <c r="G193" s="287">
        <v>2</v>
      </c>
      <c r="H193" s="287">
        <v>2</v>
      </c>
      <c r="I193" s="287">
        <v>2</v>
      </c>
      <c r="J193" s="287">
        <v>2</v>
      </c>
      <c r="K193" s="287">
        <v>2</v>
      </c>
    </row>
    <row r="194" spans="1:11" ht="15" hidden="1" customHeight="1" outlineLevel="2">
      <c r="A194">
        <v>0.1</v>
      </c>
      <c r="B194" s="191">
        <f t="shared" ref="B194:D202" si="80">ATAN((-B$192*$A194)/B$3)</f>
        <v>-7.0821611541989566E-5</v>
      </c>
      <c r="C194" s="319">
        <f t="shared" si="80"/>
        <v>-3.5264425116361204E-4</v>
      </c>
      <c r="D194" s="191">
        <f t="shared" si="80"/>
        <v>-1.1754808805247553E-4</v>
      </c>
      <c r="F194" s="191">
        <f t="shared" ref="F194:K202" si="81">ATAN((-F$192*$A194)/F$3)</f>
        <v>-5.0377752211903743E-5</v>
      </c>
      <c r="G194" s="191">
        <f t="shared" si="81"/>
        <v>-3.5264426563547315E-5</v>
      </c>
      <c r="H194" s="191">
        <f t="shared" si="81"/>
        <v>-2.3509617714445632E-5</v>
      </c>
      <c r="I194" s="191">
        <f t="shared" si="81"/>
        <v>-1.7632213287255421E-5</v>
      </c>
      <c r="J194" s="191">
        <f t="shared" si="81"/>
        <v>-1.1754808858847044E-5</v>
      </c>
      <c r="K194" s="191">
        <f t="shared" si="81"/>
        <v>-7.052885315516126E-6</v>
      </c>
    </row>
    <row r="195" spans="1:11" ht="15" hidden="1" customHeight="1" outlineLevel="2">
      <c r="A195">
        <v>0.5</v>
      </c>
      <c r="B195" s="191">
        <f t="shared" si="80"/>
        <v>-3.5410804350114871E-4</v>
      </c>
      <c r="C195" s="319">
        <f t="shared" si="80"/>
        <v>-1.7632195016563466E-3</v>
      </c>
      <c r="D195" s="191">
        <f t="shared" si="80"/>
        <v>-5.8774037529331325E-4</v>
      </c>
      <c r="F195" s="191">
        <f t="shared" si="81"/>
        <v>-2.5188875594533489E-4</v>
      </c>
      <c r="G195" s="191">
        <f t="shared" si="81"/>
        <v>-1.7632213106357145E-4</v>
      </c>
      <c r="H195" s="191">
        <f t="shared" si="81"/>
        <v>-1.1754808805247553E-4</v>
      </c>
      <c r="I195" s="191">
        <f t="shared" si="81"/>
        <v>-8.8161066217006459E-5</v>
      </c>
      <c r="J195" s="191">
        <f t="shared" si="81"/>
        <v>-5.8774044229266134E-5</v>
      </c>
      <c r="K195" s="191">
        <f t="shared" si="81"/>
        <v>-3.5264426563547315E-5</v>
      </c>
    </row>
    <row r="196" spans="1:11" ht="15" hidden="1" customHeight="1" outlineLevel="2">
      <c r="A196">
        <v>0.8</v>
      </c>
      <c r="B196" s="191">
        <f t="shared" si="80"/>
        <v>-5.6657283265896727E-4</v>
      </c>
      <c r="C196" s="319">
        <f t="shared" si="80"/>
        <v>-2.8211466418511387E-3</v>
      </c>
      <c r="D196" s="191">
        <f t="shared" si="80"/>
        <v>-9.4038443154982208E-4</v>
      </c>
      <c r="F196" s="191">
        <f t="shared" si="81"/>
        <v>-4.0302199621565922E-4</v>
      </c>
      <c r="G196" s="191">
        <f t="shared" si="81"/>
        <v>-2.8211540514088535E-4</v>
      </c>
      <c r="H196" s="191">
        <f t="shared" si="81"/>
        <v>-1.8807693953260408E-4</v>
      </c>
      <c r="I196" s="191">
        <f t="shared" si="81"/>
        <v>-1.410577053771067E-4</v>
      </c>
      <c r="J196" s="191">
        <f t="shared" si="81"/>
        <v>-9.4038470597906221E-5</v>
      </c>
      <c r="K196" s="191">
        <f t="shared" si="81"/>
        <v>-5.6423082465189061E-5</v>
      </c>
    </row>
    <row r="197" spans="1:11" ht="15" hidden="1" customHeight="1" outlineLevel="2">
      <c r="A197">
        <v>1</v>
      </c>
      <c r="B197" s="191">
        <f t="shared" si="80"/>
        <v>-7.0821599819732937E-4</v>
      </c>
      <c r="C197" s="319">
        <f t="shared" si="80"/>
        <v>-3.5264280398829692E-3</v>
      </c>
      <c r="D197" s="191">
        <f t="shared" si="80"/>
        <v>-1.1754803445303073E-3</v>
      </c>
      <c r="F197" s="191">
        <f t="shared" si="81"/>
        <v>-5.0377747992702581E-4</v>
      </c>
      <c r="G197" s="191">
        <f t="shared" si="81"/>
        <v>-3.5264425116361198E-4</v>
      </c>
      <c r="H197" s="191">
        <f t="shared" si="81"/>
        <v>-2.3509617285649728E-4</v>
      </c>
      <c r="I197" s="191">
        <f t="shared" si="81"/>
        <v>-1.7632213106357145E-4</v>
      </c>
      <c r="J197" s="191">
        <f t="shared" si="81"/>
        <v>-1.1754808805247553E-4</v>
      </c>
      <c r="K197" s="191">
        <f t="shared" si="81"/>
        <v>-7.0528853039386374E-5</v>
      </c>
    </row>
    <row r="198" spans="1:11" ht="15" hidden="1" customHeight="1" outlineLevel="2">
      <c r="A198">
        <v>5</v>
      </c>
      <c r="B198" s="191">
        <f t="shared" si="80"/>
        <v>-3.5410657822975969E-3</v>
      </c>
      <c r="C198" s="319">
        <f t="shared" si="80"/>
        <v>-1.7630386374527986E-2</v>
      </c>
      <c r="D198" s="191">
        <f t="shared" si="80"/>
        <v>-5.8773367549735467E-3</v>
      </c>
      <c r="F198" s="191">
        <f t="shared" si="81"/>
        <v>-2.5188822854713636E-3</v>
      </c>
      <c r="G198" s="191">
        <f t="shared" si="81"/>
        <v>-1.7632195016563466E-3</v>
      </c>
      <c r="H198" s="191">
        <f t="shared" si="81"/>
        <v>-1.1754803445303075E-3</v>
      </c>
      <c r="I198" s="191">
        <f t="shared" si="81"/>
        <v>-8.8161043604732413E-4</v>
      </c>
      <c r="J198" s="191">
        <f t="shared" si="81"/>
        <v>-5.8774037529331336E-4</v>
      </c>
      <c r="K198" s="191">
        <f t="shared" si="81"/>
        <v>-3.5264425116361198E-4</v>
      </c>
    </row>
    <row r="199" spans="1:11" ht="15" hidden="1" customHeight="1" outlineLevel="2">
      <c r="A199">
        <v>10</v>
      </c>
      <c r="B199" s="191">
        <f t="shared" si="80"/>
        <v>-7.0820427629343045E-3</v>
      </c>
      <c r="C199" s="319">
        <f t="shared" si="80"/>
        <v>-3.5249819433070033E-2</v>
      </c>
      <c r="D199" s="191">
        <f t="shared" si="80"/>
        <v>-1.1754267495283133E-2</v>
      </c>
      <c r="F199" s="191">
        <f t="shared" si="81"/>
        <v>-5.0377326079010416E-3</v>
      </c>
      <c r="G199" s="191">
        <f t="shared" si="81"/>
        <v>-3.5264280398829692E-3</v>
      </c>
      <c r="H199" s="191">
        <f t="shared" si="81"/>
        <v>-2.3509574406201613E-3</v>
      </c>
      <c r="I199" s="191">
        <f t="shared" si="81"/>
        <v>-1.7632195016563466E-3</v>
      </c>
      <c r="J199" s="191">
        <f t="shared" si="81"/>
        <v>-1.1754803445303075E-3</v>
      </c>
      <c r="K199" s="191">
        <f t="shared" si="81"/>
        <v>-7.0528841461900079E-4</v>
      </c>
    </row>
    <row r="200" spans="1:11" ht="15" hidden="1" customHeight="1" outlineLevel="2">
      <c r="A200">
        <v>20</v>
      </c>
      <c r="B200" s="191">
        <f t="shared" si="80"/>
        <v>-1.4163375192741889E-2</v>
      </c>
      <c r="C200" s="319">
        <f t="shared" si="80"/>
        <v>-7.0412256610955959E-2</v>
      </c>
      <c r="D200" s="191">
        <f t="shared" si="80"/>
        <v>-2.3505287882659417E-2</v>
      </c>
      <c r="F200" s="191">
        <f t="shared" si="81"/>
        <v>-1.0075209526069015E-2</v>
      </c>
      <c r="G200" s="191">
        <f t="shared" si="81"/>
        <v>-7.0527683747821576E-3</v>
      </c>
      <c r="H200" s="191">
        <f t="shared" si="81"/>
        <v>-4.7018888940398625E-3</v>
      </c>
      <c r="I200" s="191">
        <f t="shared" si="81"/>
        <v>-3.5264280398829692E-3</v>
      </c>
      <c r="J200" s="191">
        <f t="shared" si="81"/>
        <v>-2.3509574406201613E-3</v>
      </c>
      <c r="K200" s="191">
        <f t="shared" si="81"/>
        <v>-1.4105761275730023E-3</v>
      </c>
    </row>
    <row r="201" spans="1:11" ht="15" hidden="1" customHeight="1" outlineLevel="2">
      <c r="A201">
        <v>50</v>
      </c>
      <c r="B201" s="191">
        <f t="shared" si="80"/>
        <v>-3.5396016122148752E-2</v>
      </c>
      <c r="C201" s="319">
        <f t="shared" si="80"/>
        <v>-0.17452822355748537</v>
      </c>
      <c r="D201" s="191">
        <f t="shared" si="80"/>
        <v>-5.8706508096212806E-2</v>
      </c>
      <c r="F201" s="191">
        <f t="shared" si="81"/>
        <v>-2.5183550879356673E-2</v>
      </c>
      <c r="G201" s="191">
        <f t="shared" si="81"/>
        <v>-1.7630386374527986E-2</v>
      </c>
      <c r="H201" s="191">
        <f t="shared" si="81"/>
        <v>-1.1754267495283134E-2</v>
      </c>
      <c r="I201" s="191">
        <f t="shared" si="81"/>
        <v>-8.8158782482761211E-3</v>
      </c>
      <c r="J201" s="191">
        <f t="shared" si="81"/>
        <v>-5.8773367549735476E-3</v>
      </c>
      <c r="K201" s="191">
        <f t="shared" si="81"/>
        <v>-3.5264280398829692E-3</v>
      </c>
    </row>
    <row r="202" spans="1:11" ht="15" hidden="1" customHeight="1" outlineLevel="2">
      <c r="A202">
        <v>100</v>
      </c>
      <c r="B202" s="191">
        <f t="shared" si="80"/>
        <v>-7.070356005563308E-2</v>
      </c>
      <c r="C202" s="319">
        <f t="shared" si="80"/>
        <v>-0.33902856773486362</v>
      </c>
      <c r="D202" s="191">
        <f t="shared" si="80"/>
        <v>-0.11701112434581525</v>
      </c>
      <c r="F202" s="191">
        <f t="shared" si="81"/>
        <v>-5.0335198833895742E-2</v>
      </c>
      <c r="G202" s="191">
        <f t="shared" si="81"/>
        <v>-3.5249819433070033E-2</v>
      </c>
      <c r="H202" s="191">
        <f t="shared" si="81"/>
        <v>-2.3505287882659421E-2</v>
      </c>
      <c r="I202" s="191">
        <f t="shared" si="81"/>
        <v>-1.7630386374527986E-2</v>
      </c>
      <c r="J202" s="191">
        <f t="shared" si="81"/>
        <v>-1.1754267495283134E-2</v>
      </c>
      <c r="K202" s="191">
        <f t="shared" si="81"/>
        <v>-7.0527683747821576E-3</v>
      </c>
    </row>
    <row r="203" spans="1:11" ht="15" hidden="1" customHeight="1" outlineLevel="1" collapsed="1">
      <c r="A203" t="s">
        <v>515</v>
      </c>
    </row>
    <row r="204" spans="1:11" ht="15" hidden="1" customHeight="1" outlineLevel="2">
      <c r="A204">
        <v>0.1</v>
      </c>
      <c r="B204" s="191">
        <f>DEGREES(B194)</f>
        <v>-4.0577794396710002E-3</v>
      </c>
      <c r="C204" s="319">
        <f t="shared" ref="C204:K212" si="82">DEGREES(C194)</f>
        <v>-2.020502726122634E-2</v>
      </c>
      <c r="D204" s="191">
        <f t="shared" si="82"/>
        <v>-6.7350093352390242E-3</v>
      </c>
      <c r="F204" s="191">
        <f t="shared" si="82"/>
        <v>-2.8864325830979323E-3</v>
      </c>
      <c r="G204" s="191">
        <f t="shared" si="82"/>
        <v>-2.0205028090402905E-3</v>
      </c>
      <c r="H204" s="191">
        <f t="shared" si="82"/>
        <v>-1.3470018730037314E-3</v>
      </c>
      <c r="I204" s="191">
        <f t="shared" si="82"/>
        <v>-1.0102514048342271E-3</v>
      </c>
      <c r="J204" s="191">
        <f t="shared" si="82"/>
        <v>-6.735009365949271E-4</v>
      </c>
      <c r="K204" s="191">
        <f t="shared" si="82"/>
        <v>-4.0410056196886799E-4</v>
      </c>
    </row>
    <row r="205" spans="1:11" ht="15" hidden="1" customHeight="1" outlineLevel="2">
      <c r="A205">
        <v>0.5</v>
      </c>
      <c r="B205" s="191">
        <f t="shared" ref="B205:B212" si="83">DEGREES(B195)</f>
        <v>-2.0288896384250781E-2</v>
      </c>
      <c r="C205" s="319">
        <f t="shared" si="82"/>
        <v>-0.10102503580006893</v>
      </c>
      <c r="D205" s="191">
        <f t="shared" si="82"/>
        <v>-3.3675042953741935E-2</v>
      </c>
      <c r="F205" s="191">
        <f t="shared" si="82"/>
        <v>-1.4432162622468513E-2</v>
      </c>
      <c r="G205" s="191">
        <f t="shared" si="82"/>
        <v>-1.0102513944695194E-2</v>
      </c>
      <c r="H205" s="191">
        <f t="shared" si="82"/>
        <v>-6.7350093352390242E-3</v>
      </c>
      <c r="I205" s="191">
        <f t="shared" si="82"/>
        <v>-5.0512570116078527E-3</v>
      </c>
      <c r="J205" s="191">
        <f t="shared" si="82"/>
        <v>-3.3675046792521809E-3</v>
      </c>
      <c r="K205" s="191">
        <f t="shared" si="82"/>
        <v>-2.0205028090402905E-3</v>
      </c>
    </row>
    <row r="206" spans="1:11" ht="15" hidden="1" customHeight="1" outlineLevel="2">
      <c r="A206">
        <v>0.8</v>
      </c>
      <c r="B206" s="191">
        <f t="shared" si="83"/>
        <v>-3.2462232098130678E-2</v>
      </c>
      <c r="C206" s="319">
        <f t="shared" si="82"/>
        <v>-0.16163979596557546</v>
      </c>
      <c r="D206" s="191">
        <f t="shared" si="82"/>
        <v>-5.3880059047613865E-2</v>
      </c>
      <c r="F206" s="191">
        <f t="shared" si="82"/>
        <v>-2.309145943409471E-2</v>
      </c>
      <c r="G206" s="191">
        <f t="shared" si="82"/>
        <v>-1.6164022050196059E-2</v>
      </c>
      <c r="H206" s="191">
        <f t="shared" si="82"/>
        <v>-1.07760148589554E-2</v>
      </c>
      <c r="I206" s="191">
        <f t="shared" si="82"/>
        <v>-8.0820111859080321E-3</v>
      </c>
      <c r="J206" s="191">
        <f t="shared" si="82"/>
        <v>-5.3880074771251096E-3</v>
      </c>
      <c r="K206" s="191">
        <f t="shared" si="82"/>
        <v>-3.2328044923739339E-3</v>
      </c>
    </row>
    <row r="207" spans="1:11" ht="15" hidden="1" customHeight="1" outlineLevel="2">
      <c r="A207">
        <v>1</v>
      </c>
      <c r="B207" s="191">
        <f t="shared" si="83"/>
        <v>-4.0577787680351689E-2</v>
      </c>
      <c r="C207" s="319">
        <f t="shared" si="82"/>
        <v>-0.20204944344188569</v>
      </c>
      <c r="D207" s="191">
        <f t="shared" si="82"/>
        <v>-6.7350062642170527E-2</v>
      </c>
      <c r="F207" s="191">
        <f t="shared" si="82"/>
        <v>-2.8864323413555128E-2</v>
      </c>
      <c r="G207" s="191">
        <f t="shared" si="82"/>
        <v>-2.0205027261226336E-2</v>
      </c>
      <c r="H207" s="191">
        <f t="shared" si="82"/>
        <v>-1.3470018484355356E-2</v>
      </c>
      <c r="I207" s="191">
        <f t="shared" si="82"/>
        <v>-1.0102513944695194E-2</v>
      </c>
      <c r="J207" s="191">
        <f t="shared" si="82"/>
        <v>-6.7350093352390242E-3</v>
      </c>
      <c r="K207" s="191">
        <f t="shared" si="82"/>
        <v>-4.0410056130552674E-3</v>
      </c>
    </row>
    <row r="208" spans="1:11" ht="15" hidden="1" customHeight="1" outlineLevel="2">
      <c r="A208">
        <v>5</v>
      </c>
      <c r="B208" s="191">
        <f t="shared" si="83"/>
        <v>-0.20288812430384348</v>
      </c>
      <c r="C208" s="319">
        <f t="shared" si="82"/>
        <v>-1.0101467304454064</v>
      </c>
      <c r="D208" s="191">
        <f t="shared" si="82"/>
        <v>-0.33674659083709907</v>
      </c>
      <c r="F208" s="191">
        <f t="shared" si="82"/>
        <v>-0.14432132404777614</v>
      </c>
      <c r="G208" s="191">
        <f t="shared" si="82"/>
        <v>-0.10102503580006893</v>
      </c>
      <c r="H208" s="191">
        <f t="shared" si="82"/>
        <v>-6.7350062642170541E-2</v>
      </c>
      <c r="I208" s="191">
        <f t="shared" si="82"/>
        <v>-5.0512557160199846E-2</v>
      </c>
      <c r="J208" s="191">
        <f t="shared" si="82"/>
        <v>-3.3675042953741942E-2</v>
      </c>
      <c r="K208" s="191">
        <f t="shared" si="82"/>
        <v>-2.0205027261226336E-2</v>
      </c>
    </row>
    <row r="209" spans="1:11" ht="15" hidden="1" customHeight="1" outlineLevel="2">
      <c r="A209">
        <v>10</v>
      </c>
      <c r="B209" s="191">
        <f t="shared" si="83"/>
        <v>-0.40577116064730423</v>
      </c>
      <c r="C209" s="319">
        <f t="shared" si="82"/>
        <v>-2.019665882113145</v>
      </c>
      <c r="D209" s="191">
        <f t="shared" si="82"/>
        <v>-0.67346991874753281</v>
      </c>
      <c r="F209" s="191">
        <f t="shared" si="82"/>
        <v>-0.28864081674816328</v>
      </c>
      <c r="G209" s="191">
        <f t="shared" si="82"/>
        <v>-0.20204944344188569</v>
      </c>
      <c r="H209" s="191">
        <f t="shared" si="82"/>
        <v>-0.1346999391624131</v>
      </c>
      <c r="I209" s="191">
        <f t="shared" si="82"/>
        <v>-0.10102503580006893</v>
      </c>
      <c r="J209" s="191">
        <f t="shared" si="82"/>
        <v>-6.7350062642170541E-2</v>
      </c>
      <c r="K209" s="191">
        <f t="shared" si="82"/>
        <v>-4.0410049497141658E-2</v>
      </c>
    </row>
    <row r="210" spans="1:11" ht="15" hidden="1" customHeight="1" outlineLevel="2">
      <c r="A210">
        <v>20</v>
      </c>
      <c r="B210" s="191">
        <f t="shared" si="83"/>
        <v>-0.81150162220439914</v>
      </c>
      <c r="C210" s="319">
        <f t="shared" si="82"/>
        <v>-4.0343251297999059</v>
      </c>
      <c r="D210" s="191">
        <f t="shared" si="82"/>
        <v>-1.3467537919163797</v>
      </c>
      <c r="F210" s="191">
        <f t="shared" si="82"/>
        <v>-0.57726698355375694</v>
      </c>
      <c r="G210" s="191">
        <f t="shared" si="82"/>
        <v>-0.40409386175835843</v>
      </c>
      <c r="H210" s="191">
        <f t="shared" si="82"/>
        <v>-0.26939838936791843</v>
      </c>
      <c r="I210" s="191">
        <f t="shared" si="82"/>
        <v>-0.20204944344188569</v>
      </c>
      <c r="J210" s="191">
        <f t="shared" si="82"/>
        <v>-0.1346999391624131</v>
      </c>
      <c r="K210" s="191">
        <f t="shared" si="82"/>
        <v>-8.0820058791840219E-2</v>
      </c>
    </row>
    <row r="211" spans="1:11" ht="15" hidden="1" customHeight="1" outlineLevel="2">
      <c r="A211">
        <v>50</v>
      </c>
      <c r="B211" s="191">
        <f t="shared" si="83"/>
        <v>-2.0280423353761421</v>
      </c>
      <c r="C211" s="319">
        <f t="shared" si="82"/>
        <v>-9.9997306157596224</v>
      </c>
      <c r="D211" s="191">
        <f t="shared" si="82"/>
        <v>-3.3636351438635912</v>
      </c>
      <c r="F211" s="191">
        <f t="shared" si="82"/>
        <v>-1.4429111785401103</v>
      </c>
      <c r="G211" s="191">
        <f t="shared" si="82"/>
        <v>-1.0101467304454064</v>
      </c>
      <c r="H211" s="191">
        <f t="shared" si="82"/>
        <v>-0.67346991874753293</v>
      </c>
      <c r="I211" s="191">
        <f t="shared" si="82"/>
        <v>-0.505112616327407</v>
      </c>
      <c r="J211" s="191">
        <f t="shared" si="82"/>
        <v>-0.33674659083709912</v>
      </c>
      <c r="K211" s="191">
        <f t="shared" si="82"/>
        <v>-0.20204944344188569</v>
      </c>
    </row>
    <row r="212" spans="1:11" ht="15" hidden="1" customHeight="1" outlineLevel="2">
      <c r="A212">
        <v>100</v>
      </c>
      <c r="B212" s="191">
        <f t="shared" si="83"/>
        <v>-4.0510155877375276</v>
      </c>
      <c r="C212" s="319">
        <f t="shared" si="82"/>
        <v>-19.424906065572841</v>
      </c>
      <c r="D212" s="191">
        <f t="shared" si="82"/>
        <v>-6.7042435810956897</v>
      </c>
      <c r="F212" s="191">
        <f t="shared" si="82"/>
        <v>-2.883994454134049</v>
      </c>
      <c r="G212" s="191">
        <f t="shared" si="82"/>
        <v>-2.019665882113145</v>
      </c>
      <c r="H212" s="191">
        <f t="shared" si="82"/>
        <v>-1.3467537919163799</v>
      </c>
      <c r="I212" s="191">
        <f t="shared" si="82"/>
        <v>-1.0101467304454064</v>
      </c>
      <c r="J212" s="191">
        <f t="shared" si="82"/>
        <v>-0.67346991874753293</v>
      </c>
      <c r="K212" s="191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512</v>
      </c>
      <c r="B214" s="191">
        <v>20</v>
      </c>
      <c r="C214" s="319">
        <v>20</v>
      </c>
      <c r="D214" s="191">
        <v>20</v>
      </c>
      <c r="F214" s="191">
        <v>20</v>
      </c>
      <c r="G214" s="191">
        <v>20</v>
      </c>
      <c r="H214" s="191">
        <v>20</v>
      </c>
      <c r="I214" s="191">
        <v>20</v>
      </c>
      <c r="J214" s="191">
        <v>20</v>
      </c>
      <c r="K214" s="191">
        <v>20</v>
      </c>
    </row>
    <row r="215" spans="1:11" ht="15" hidden="1" customHeight="1" outlineLevel="1">
      <c r="A215" t="s">
        <v>521</v>
      </c>
      <c r="B215" s="191">
        <f>B$190*VLOOKUP(B$214,$A$194:B$202,B$193,FALSE)</f>
        <v>-2.8503808936198437E-2</v>
      </c>
      <c r="C215" s="319">
        <f>C$190*VLOOKUP(C$214,$A$194:C$202,C$193,FALSE)</f>
        <v>-2.4809381227112487E-2</v>
      </c>
      <c r="D215" s="191">
        <f>D$190*VLOOKUP(D$214,$A$194:D$202,D$193,FALSE)</f>
        <v>-2.5876934931177514E-2</v>
      </c>
      <c r="F215" s="191">
        <f>F$190*VLOOKUP(F$214,$A$194:F$202,F$193,FALSE)</f>
        <v>-3.4565945581285507E-2</v>
      </c>
      <c r="G215" s="191">
        <f>G$190*VLOOKUP(G$214,$A$194:G$202,G$193,FALSE)</f>
        <v>-0.39960298391843679</v>
      </c>
      <c r="H215" s="191">
        <f>H$190*VLOOKUP(H$214,$A$194:H$202,H$193,FALSE)</f>
        <v>-5.0672431554888077E-2</v>
      </c>
      <c r="I215" s="191">
        <f>I$190*VLOOKUP(I$214,$A$194:I$202,I$193,FALSE)</f>
        <v>-3.2708913920652796E-2</v>
      </c>
      <c r="J215" s="191">
        <f>J$190*VLOOKUP(J$214,$A$194:J$202,J$193,FALSE)</f>
        <v>-2.0030037286554225E-2</v>
      </c>
      <c r="K215" s="191">
        <f>K$190*VLOOKUP(K$214,$A$194:K$202,K$193,FALSE)</f>
        <v>-1.1564347419270326E-2</v>
      </c>
    </row>
    <row r="216" spans="1:11" ht="15" hidden="1" customHeight="1" outlineLevel="1">
      <c r="A216" t="s">
        <v>381</v>
      </c>
    </row>
    <row r="217" spans="1:11" ht="15" hidden="1" customHeight="1" outlineLevel="2">
      <c r="A217">
        <v>1</v>
      </c>
      <c r="B217" s="191">
        <f t="shared" ref="B217:K217" si="84">B$33*(B87)*B$215</f>
        <v>-1.0010354298756752</v>
      </c>
      <c r="C217" s="319">
        <f t="shared" si="84"/>
        <v>-3.4972597865210647E-2</v>
      </c>
      <c r="D217" s="191">
        <f t="shared" si="84"/>
        <v>-0.32829729526223272</v>
      </c>
      <c r="F217" s="191">
        <f t="shared" si="84"/>
        <v>-2.3875720347621798</v>
      </c>
      <c r="G217" s="191">
        <f t="shared" si="84"/>
        <v>-56.33012099086627</v>
      </c>
      <c r="H217" s="191">
        <f t="shared" si="84"/>
        <v>-16.071863097459758</v>
      </c>
      <c r="I217" s="191">
        <f t="shared" si="84"/>
        <v>-18.443276479699914</v>
      </c>
      <c r="J217" s="191">
        <f t="shared" si="84"/>
        <v>-25.411846815190778</v>
      </c>
      <c r="K217" s="191">
        <f t="shared" si="84"/>
        <v>-40.754268331544267</v>
      </c>
    </row>
    <row r="218" spans="1:11" ht="15" hidden="1" customHeight="1" outlineLevel="2">
      <c r="A218">
        <v>2</v>
      </c>
      <c r="B218" s="191">
        <f t="shared" ref="B218:K218" si="85">B$33*(B88)*B$215</f>
        <v>-0.96975307269206068</v>
      </c>
      <c r="C218" s="319">
        <f t="shared" si="85"/>
        <v>-3.3879704181922821E-2</v>
      </c>
      <c r="D218" s="191">
        <f t="shared" si="85"/>
        <v>-0.31803800478528804</v>
      </c>
      <c r="F218" s="191">
        <f t="shared" si="85"/>
        <v>-2.3129604086758619</v>
      </c>
      <c r="G218" s="191">
        <f t="shared" si="85"/>
        <v>-54.56980470990171</v>
      </c>
      <c r="H218" s="191">
        <f t="shared" si="85"/>
        <v>-15.569617375664144</v>
      </c>
      <c r="I218" s="191">
        <f t="shared" si="85"/>
        <v>-17.866924089709293</v>
      </c>
      <c r="J218" s="191">
        <f t="shared" si="85"/>
        <v>-24.617726602216074</v>
      </c>
      <c r="K218" s="191">
        <f t="shared" si="85"/>
        <v>-39.480697446183513</v>
      </c>
    </row>
    <row r="219" spans="1:11" ht="15" hidden="1" customHeight="1" outlineLevel="2">
      <c r="A219">
        <v>3</v>
      </c>
      <c r="B219" s="191">
        <f t="shared" ref="B219:K219" si="86">B$33*(B89)*B$215</f>
        <v>-0.93847071550844563</v>
      </c>
      <c r="C219" s="319">
        <f t="shared" si="86"/>
        <v>-3.278681049863498E-2</v>
      </c>
      <c r="D219" s="191">
        <f t="shared" si="86"/>
        <v>-0.30777871430834319</v>
      </c>
      <c r="F219" s="191">
        <f t="shared" si="86"/>
        <v>-2.2383487825895436</v>
      </c>
      <c r="G219" s="191">
        <f t="shared" si="86"/>
        <v>-52.809488428937136</v>
      </c>
      <c r="H219" s="191">
        <f t="shared" si="86"/>
        <v>-15.067371653868523</v>
      </c>
      <c r="I219" s="191">
        <f t="shared" si="86"/>
        <v>-17.290571699718672</v>
      </c>
      <c r="J219" s="191">
        <f t="shared" si="86"/>
        <v>-23.823606389241355</v>
      </c>
      <c r="K219" s="191">
        <f t="shared" si="86"/>
        <v>-38.207126560822751</v>
      </c>
    </row>
    <row r="220" spans="1:11" ht="15" hidden="1" customHeight="1" outlineLevel="2">
      <c r="A220">
        <v>4</v>
      </c>
      <c r="B220" s="191">
        <f t="shared" ref="B220:K220" si="87">B$33*(B90)*B$215</f>
        <v>-0.9071883583248308</v>
      </c>
      <c r="C220" s="319">
        <f t="shared" si="87"/>
        <v>-3.169391681534716E-2</v>
      </c>
      <c r="D220" s="191">
        <f t="shared" si="87"/>
        <v>-0.29751942383139846</v>
      </c>
      <c r="F220" s="191">
        <f t="shared" si="87"/>
        <v>-2.1637371565032262</v>
      </c>
      <c r="G220" s="191">
        <f t="shared" si="87"/>
        <v>-51.04917214797257</v>
      </c>
      <c r="H220" s="191">
        <f t="shared" si="87"/>
        <v>-14.565125932072908</v>
      </c>
      <c r="I220" s="191">
        <f t="shared" si="87"/>
        <v>-16.714219309728051</v>
      </c>
      <c r="J220" s="191">
        <f t="shared" si="87"/>
        <v>-23.029486176266648</v>
      </c>
      <c r="K220" s="191">
        <f t="shared" si="87"/>
        <v>-36.933555675461996</v>
      </c>
    </row>
    <row r="221" spans="1:11" ht="15" hidden="1" customHeight="1" outlineLevel="2">
      <c r="A221">
        <v>5</v>
      </c>
      <c r="B221" s="191">
        <f t="shared" ref="B221:K221" si="88">B$33*(B91)*B$215</f>
        <v>-0.87590600114121586</v>
      </c>
      <c r="C221" s="319">
        <f t="shared" si="88"/>
        <v>-3.0601023132059316E-2</v>
      </c>
      <c r="D221" s="191">
        <f t="shared" si="88"/>
        <v>-0.28726013335445366</v>
      </c>
      <c r="F221" s="191">
        <f t="shared" si="88"/>
        <v>-2.0891255304169074</v>
      </c>
      <c r="G221" s="191">
        <f t="shared" si="88"/>
        <v>-49.288855867007982</v>
      </c>
      <c r="H221" s="191">
        <f t="shared" si="88"/>
        <v>-14.062880210277285</v>
      </c>
      <c r="I221" s="191">
        <f t="shared" si="88"/>
        <v>-16.137866919737423</v>
      </c>
      <c r="J221" s="191">
        <f t="shared" si="88"/>
        <v>-22.23536596329193</v>
      </c>
      <c r="K221" s="191">
        <f t="shared" si="88"/>
        <v>-35.659984790101234</v>
      </c>
    </row>
    <row r="222" spans="1:11" ht="15" hidden="1" customHeight="1" outlineLevel="2">
      <c r="A222">
        <v>6</v>
      </c>
      <c r="B222" s="191">
        <f t="shared" ref="B222:K222" si="89">B$33*(B92)*B$215</f>
        <v>-0.84462364395760092</v>
      </c>
      <c r="C222" s="319">
        <f t="shared" si="89"/>
        <v>-2.9508129448771486E-2</v>
      </c>
      <c r="D222" s="191">
        <f t="shared" si="89"/>
        <v>-0.27700084287750892</v>
      </c>
      <c r="F222" s="191">
        <f t="shared" si="89"/>
        <v>-2.0145139043305891</v>
      </c>
      <c r="G222" s="191">
        <f t="shared" si="89"/>
        <v>-47.528539586043415</v>
      </c>
      <c r="H222" s="191">
        <f t="shared" si="89"/>
        <v>-13.560634488481671</v>
      </c>
      <c r="I222" s="191">
        <f t="shared" si="89"/>
        <v>-15.561514529746804</v>
      </c>
      <c r="J222" s="191">
        <f t="shared" si="89"/>
        <v>-21.441245750317218</v>
      </c>
      <c r="K222" s="191">
        <f t="shared" si="89"/>
        <v>-34.386413904740472</v>
      </c>
    </row>
    <row r="223" spans="1:11" ht="15" hidden="1" customHeight="1" outlineLevel="2">
      <c r="A223">
        <v>7</v>
      </c>
      <c r="B223" s="191">
        <f t="shared" ref="B223:K223" si="90">B$33*(B93)*B$215</f>
        <v>-0.81334128677398621</v>
      </c>
      <c r="C223" s="319">
        <f t="shared" si="90"/>
        <v>-2.8415235765483653E-2</v>
      </c>
      <c r="D223" s="191">
        <f t="shared" si="90"/>
        <v>-0.26674155240056413</v>
      </c>
      <c r="F223" s="191">
        <f t="shared" si="90"/>
        <v>-1.9399022782442714</v>
      </c>
      <c r="G223" s="191">
        <f t="shared" si="90"/>
        <v>-45.768223305078848</v>
      </c>
      <c r="H223" s="191">
        <f t="shared" si="90"/>
        <v>-13.058388766686052</v>
      </c>
      <c r="I223" s="191">
        <f t="shared" si="90"/>
        <v>-14.985162139756182</v>
      </c>
      <c r="J223" s="191">
        <f t="shared" si="90"/>
        <v>-20.647125537342507</v>
      </c>
      <c r="K223" s="191">
        <f t="shared" si="90"/>
        <v>-33.112843019379717</v>
      </c>
    </row>
    <row r="224" spans="1:11" ht="15" hidden="1" customHeight="1" outlineLevel="2">
      <c r="A224">
        <v>8</v>
      </c>
      <c r="B224" s="191">
        <f t="shared" ref="B224:K224" si="91">B$33*(B94)*B$215</f>
        <v>-0.78205892959037138</v>
      </c>
      <c r="C224" s="319">
        <f t="shared" si="91"/>
        <v>-2.7322342082195816E-2</v>
      </c>
      <c r="D224" s="191">
        <f t="shared" si="91"/>
        <v>-0.25648226192361934</v>
      </c>
      <c r="F224" s="191">
        <f t="shared" si="91"/>
        <v>-1.8652906521579531</v>
      </c>
      <c r="G224" s="191">
        <f t="shared" si="91"/>
        <v>-44.007907024114274</v>
      </c>
      <c r="H224" s="191">
        <f t="shared" si="91"/>
        <v>-12.556143044890435</v>
      </c>
      <c r="I224" s="191">
        <f t="shared" si="91"/>
        <v>-14.40880974976556</v>
      </c>
      <c r="J224" s="191">
        <f t="shared" si="91"/>
        <v>-19.853005324367796</v>
      </c>
      <c r="K224" s="191">
        <f t="shared" si="91"/>
        <v>-31.839272134018959</v>
      </c>
    </row>
    <row r="225" spans="1:11" ht="15" hidden="1" customHeight="1" outlineLevel="2">
      <c r="A225">
        <v>9</v>
      </c>
      <c r="B225" s="191">
        <f t="shared" ref="B225:K225" si="92">B$33*(B95)*B$215</f>
        <v>-0.75077657240675644</v>
      </c>
      <c r="C225" s="319">
        <f t="shared" si="92"/>
        <v>-2.6229448398907989E-2</v>
      </c>
      <c r="D225" s="191">
        <f t="shared" si="92"/>
        <v>-0.2462229714466746</v>
      </c>
      <c r="F225" s="191">
        <f t="shared" si="92"/>
        <v>-1.7906790260716352</v>
      </c>
      <c r="G225" s="191">
        <f t="shared" si="92"/>
        <v>-42.247590743149708</v>
      </c>
      <c r="H225" s="191">
        <f t="shared" si="92"/>
        <v>-12.053897323094819</v>
      </c>
      <c r="I225" s="191">
        <f t="shared" si="92"/>
        <v>-13.832457359774937</v>
      </c>
      <c r="J225" s="191">
        <f t="shared" si="92"/>
        <v>-19.058885111393085</v>
      </c>
      <c r="K225" s="191">
        <f t="shared" si="92"/>
        <v>-30.565701248658204</v>
      </c>
    </row>
    <row r="226" spans="1:11" ht="15" hidden="1" customHeight="1" outlineLevel="2">
      <c r="A226">
        <v>10</v>
      </c>
      <c r="B226" s="191">
        <f t="shared" ref="B226:K226" si="93">B$33*(B96)*B$215</f>
        <v>-0.71949421522314161</v>
      </c>
      <c r="C226" s="319">
        <f t="shared" si="93"/>
        <v>-2.5136554715620152E-2</v>
      </c>
      <c r="D226" s="191">
        <f t="shared" si="93"/>
        <v>-0.23596368096972978</v>
      </c>
      <c r="F226" s="191">
        <f t="shared" si="93"/>
        <v>-1.7160673999853169</v>
      </c>
      <c r="G226" s="191">
        <f t="shared" si="93"/>
        <v>-40.487274462185134</v>
      </c>
      <c r="H226" s="191">
        <f t="shared" si="93"/>
        <v>-11.5516516012992</v>
      </c>
      <c r="I226" s="191">
        <f t="shared" si="93"/>
        <v>-13.256104969784314</v>
      </c>
      <c r="J226" s="191">
        <f t="shared" si="93"/>
        <v>-18.26476489841837</v>
      </c>
      <c r="K226" s="191">
        <f t="shared" si="93"/>
        <v>-29.292130363297439</v>
      </c>
    </row>
    <row r="227" spans="1:11" ht="15" hidden="1" customHeight="1" outlineLevel="1" collapsed="1">
      <c r="A227" t="s">
        <v>516</v>
      </c>
      <c r="B227" s="191">
        <f>SUM(B217:B226)</f>
        <v>-8.6026482254940841</v>
      </c>
      <c r="C227" s="319">
        <f t="shared" ref="C227:K227" si="94">SUM(C217:C226)</f>
        <v>-0.30054576290415402</v>
      </c>
      <c r="D227" s="191">
        <f t="shared" si="94"/>
        <v>-2.8213048811598127</v>
      </c>
      <c r="F227" s="191">
        <f t="shared" si="94"/>
        <v>-20.518197173737487</v>
      </c>
      <c r="G227" s="191">
        <f t="shared" si="94"/>
        <v>-484.08697726525702</v>
      </c>
      <c r="H227" s="191">
        <f t="shared" si="94"/>
        <v>-138.11757349379479</v>
      </c>
      <c r="I227" s="191">
        <f t="shared" si="94"/>
        <v>-158.49690724742112</v>
      </c>
      <c r="J227" s="191">
        <f t="shared" si="94"/>
        <v>-218.38305856804575</v>
      </c>
      <c r="K227" s="191">
        <f t="shared" si="94"/>
        <v>-350.23199347420859</v>
      </c>
    </row>
    <row r="228" spans="1:11" ht="15" hidden="1" customHeight="1" outlineLevel="1">
      <c r="A228" t="s">
        <v>517</v>
      </c>
      <c r="B228" s="191">
        <f>B227*B192</f>
        <v>-1.0323177870592901</v>
      </c>
      <c r="C228" s="319">
        <f t="shared" ref="C228:K228" si="95">C227*C192</f>
        <v>-3.6065491548498481E-2</v>
      </c>
      <c r="D228" s="191">
        <f t="shared" si="95"/>
        <v>-0.33855658573917752</v>
      </c>
      <c r="F228" s="191">
        <f t="shared" si="95"/>
        <v>-2.4621836608484986</v>
      </c>
      <c r="G228" s="191">
        <f t="shared" si="95"/>
        <v>-58.090437271830837</v>
      </c>
      <c r="H228" s="191">
        <f t="shared" si="95"/>
        <v>-16.574108819255375</v>
      </c>
      <c r="I228" s="191">
        <f t="shared" si="95"/>
        <v>-19.019628869690532</v>
      </c>
      <c r="J228" s="191">
        <f t="shared" si="95"/>
        <v>-26.205967028165489</v>
      </c>
      <c r="K228" s="191">
        <f t="shared" si="95"/>
        <v>-42.027839216905029</v>
      </c>
    </row>
    <row r="229" spans="1:11" ht="15" hidden="1" customHeight="1" outlineLevel="1">
      <c r="A229" t="s">
        <v>520</v>
      </c>
      <c r="B229" s="191">
        <f t="shared" ref="B229:K229" si="96">B44*(2/3)*((1+B50+B50^2)/(1+B50))</f>
        <v>0.12666666666666665</v>
      </c>
      <c r="C229" s="319">
        <f t="shared" si="96"/>
        <v>0.12666666666666665</v>
      </c>
      <c r="D229" s="191">
        <f t="shared" si="96"/>
        <v>0.12666666666666665</v>
      </c>
      <c r="F229" s="191">
        <f t="shared" si="96"/>
        <v>0.12666666666666665</v>
      </c>
      <c r="G229" s="191">
        <f t="shared" si="96"/>
        <v>0.12666666666666665</v>
      </c>
      <c r="H229" s="191">
        <f t="shared" si="96"/>
        <v>0.12666666666666665</v>
      </c>
      <c r="I229" s="191">
        <f t="shared" si="96"/>
        <v>0.12666666666666665</v>
      </c>
      <c r="J229" s="191">
        <f t="shared" si="96"/>
        <v>0.12666666666666665</v>
      </c>
      <c r="K229" s="191">
        <f t="shared" si="96"/>
        <v>0.12666666666666665</v>
      </c>
    </row>
    <row r="230" spans="1:11" ht="15" hidden="1" customHeight="1" outlineLevel="1">
      <c r="A230" t="s">
        <v>522</v>
      </c>
      <c r="B230" s="191">
        <v>0.8</v>
      </c>
      <c r="C230" s="319">
        <v>0.8</v>
      </c>
      <c r="D230" s="191">
        <v>0.8</v>
      </c>
      <c r="F230" s="191">
        <v>0.8</v>
      </c>
      <c r="G230" s="191">
        <v>0.8</v>
      </c>
      <c r="H230" s="191">
        <v>0.8</v>
      </c>
      <c r="I230" s="191">
        <v>0.8</v>
      </c>
      <c r="J230" s="191">
        <v>0.8</v>
      </c>
      <c r="K230" s="191">
        <v>0.8</v>
      </c>
    </row>
    <row r="231" spans="1:11" ht="15" hidden="1" customHeight="1" outlineLevel="1">
      <c r="A231" t="s">
        <v>519</v>
      </c>
      <c r="B231" s="191">
        <f t="shared" ref="B231:K231" si="97">B228/(B33*B97*B229)</f>
        <v>-2.7003608465872204E-2</v>
      </c>
      <c r="C231" s="319">
        <f t="shared" si="97"/>
        <v>-2.3503624320422356E-2</v>
      </c>
      <c r="D231" s="191">
        <f t="shared" si="97"/>
        <v>-2.4514990987431332E-2</v>
      </c>
      <c r="F231" s="191">
        <f t="shared" si="97"/>
        <v>-3.2746685287533654E-2</v>
      </c>
      <c r="G231" s="191">
        <f t="shared" si="97"/>
        <v>-0.37857124792272956</v>
      </c>
      <c r="H231" s="191">
        <f t="shared" si="97"/>
        <v>-4.8005461473051868E-2</v>
      </c>
      <c r="I231" s="191">
        <f t="shared" si="97"/>
        <v>-3.0987392135355275E-2</v>
      </c>
      <c r="J231" s="191">
        <f t="shared" si="97"/>
        <v>-1.8975824797788213E-2</v>
      </c>
      <c r="K231" s="191">
        <f t="shared" si="97"/>
        <v>-1.0955697555098207E-2</v>
      </c>
    </row>
    <row r="232" spans="1:11" ht="15" hidden="1" customHeight="1" outlineLevel="1">
      <c r="A232" s="291" t="s">
        <v>524</v>
      </c>
      <c r="B232" s="289">
        <f t="shared" ref="B232:K232" si="98">(-B190*B192^2)/(B230*B3)</f>
        <v>-2.1379286291406711E-4</v>
      </c>
      <c r="C232" s="334">
        <f t="shared" si="98"/>
        <v>-9.2656791636244057E-4</v>
      </c>
      <c r="D232" s="289">
        <f t="shared" si="98"/>
        <v>-3.2214611966789743E-4</v>
      </c>
      <c r="E232" s="289"/>
      <c r="F232" s="289">
        <f t="shared" si="98"/>
        <v>-1.8442157528556364E-4</v>
      </c>
      <c r="G232" s="289">
        <f t="shared" si="98"/>
        <v>-1.4924165209605816E-3</v>
      </c>
      <c r="H232" s="289">
        <f t="shared" si="98"/>
        <v>-1.2616584802612485E-4</v>
      </c>
      <c r="I232" s="289">
        <f t="shared" si="98"/>
        <v>-6.1079778533164696E-5</v>
      </c>
      <c r="J232" s="289">
        <f t="shared" si="98"/>
        <v>-2.4935715168075836E-5</v>
      </c>
      <c r="K232" s="289">
        <f t="shared" si="98"/>
        <v>-8.6379851188346516E-6</v>
      </c>
    </row>
    <row r="233" spans="1:11" ht="15" hidden="1" customHeight="1" outlineLevel="2">
      <c r="A233">
        <v>0.06</v>
      </c>
      <c r="B233" s="289">
        <v>-3.957435565420617E-3</v>
      </c>
      <c r="C233" s="334"/>
      <c r="D233" s="289"/>
      <c r="E233" s="289"/>
      <c r="F233" s="289"/>
      <c r="G233" s="289"/>
      <c r="H233" s="289"/>
      <c r="I233" s="289"/>
      <c r="J233" s="289"/>
      <c r="K233" s="289"/>
    </row>
    <row r="234" spans="1:11" ht="15" hidden="1" customHeight="1" outlineLevel="2">
      <c r="A234">
        <v>0.1</v>
      </c>
      <c r="B234" s="289">
        <v>-1.0587217785124063E-3</v>
      </c>
      <c r="C234" s="334"/>
      <c r="D234" s="289"/>
      <c r="E234" s="289"/>
      <c r="F234" s="289"/>
      <c r="G234" s="289"/>
      <c r="H234" s="289"/>
      <c r="I234" s="289"/>
      <c r="J234" s="289"/>
      <c r="K234" s="289"/>
    </row>
    <row r="235" spans="1:11" ht="15" hidden="1" customHeight="1" outlineLevel="2">
      <c r="A235">
        <v>0.3</v>
      </c>
      <c r="B235" s="289">
        <v>-2.3663117870606997E-4</v>
      </c>
      <c r="C235" s="334"/>
      <c r="D235" s="289"/>
      <c r="E235" s="289"/>
      <c r="F235" s="289"/>
      <c r="G235" s="289"/>
      <c r="H235" s="289"/>
      <c r="I235" s="289"/>
      <c r="J235" s="289"/>
      <c r="K235" s="289"/>
    </row>
    <row r="236" spans="1:11" ht="15" hidden="1" customHeight="1" outlineLevel="2">
      <c r="A236">
        <v>0.5</v>
      </c>
      <c r="B236" s="289">
        <v>-1.1523587839424864E-4</v>
      </c>
      <c r="C236" s="334"/>
      <c r="D236" s="289"/>
      <c r="E236" s="289"/>
      <c r="F236" s="289"/>
      <c r="G236" s="289"/>
      <c r="H236" s="289"/>
      <c r="I236" s="289"/>
      <c r="J236" s="289"/>
      <c r="K236" s="289"/>
    </row>
    <row r="237" spans="1:11" ht="15" hidden="1" customHeight="1" outlineLevel="2">
      <c r="A237">
        <v>0.7</v>
      </c>
      <c r="B237" s="289">
        <v>-7.9021921140809409E-5</v>
      </c>
      <c r="C237" s="334"/>
      <c r="D237" s="289"/>
      <c r="E237" s="289"/>
      <c r="F237" s="289"/>
      <c r="G237" s="289"/>
      <c r="H237" s="289"/>
      <c r="I237" s="289"/>
      <c r="J237" s="289"/>
      <c r="K237" s="289"/>
    </row>
    <row r="238" spans="1:11" ht="15" hidden="1" customHeight="1" outlineLevel="2">
      <c r="A238">
        <v>1</v>
      </c>
      <c r="B238" s="289">
        <v>-5.1877556177959536E-4</v>
      </c>
      <c r="C238" s="334"/>
      <c r="D238" s="289"/>
      <c r="E238" s="289"/>
      <c r="F238" s="289"/>
      <c r="G238" s="289"/>
      <c r="H238" s="289"/>
      <c r="I238" s="289"/>
      <c r="J238" s="289"/>
      <c r="K238" s="289"/>
    </row>
    <row r="239" spans="1:11" ht="15" hidden="1" customHeight="1" outlineLevel="2">
      <c r="A239">
        <v>1.5</v>
      </c>
      <c r="B239" s="289">
        <v>-3.1795765043958875E-4</v>
      </c>
      <c r="C239" s="334"/>
      <c r="D239" s="289"/>
      <c r="E239" s="289"/>
      <c r="F239" s="289"/>
      <c r="G239" s="289"/>
      <c r="H239" s="289"/>
      <c r="I239" s="289"/>
      <c r="J239" s="289"/>
      <c r="K239" s="289"/>
    </row>
    <row r="240" spans="1:11" ht="15" hidden="1" customHeight="1" outlineLevel="2">
      <c r="A240">
        <v>2</v>
      </c>
      <c r="B240" s="289">
        <v>-6.841359360843149E-5</v>
      </c>
      <c r="C240" s="334"/>
      <c r="D240" s="289"/>
      <c r="E240" s="289"/>
      <c r="F240" s="289"/>
      <c r="G240" s="289"/>
      <c r="H240" s="289"/>
      <c r="I240" s="289"/>
      <c r="J240" s="289"/>
      <c r="K240" s="289"/>
    </row>
    <row r="241" spans="1:11" ht="15" hidden="1" customHeight="1" outlineLevel="2">
      <c r="A241">
        <v>3</v>
      </c>
      <c r="B241" s="289">
        <v>-1.795482812258461E-5</v>
      </c>
      <c r="C241" s="334"/>
      <c r="D241" s="289"/>
      <c r="E241" s="289"/>
      <c r="F241" s="289"/>
      <c r="G241" s="289"/>
      <c r="H241" s="289"/>
      <c r="I241" s="289"/>
      <c r="J241" s="289"/>
      <c r="K241" s="289"/>
    </row>
    <row r="242" spans="1:11" ht="15" hidden="1" customHeight="1" outlineLevel="2">
      <c r="A242">
        <v>5</v>
      </c>
      <c r="B242" s="289">
        <v>-4.5829625651869788E-6</v>
      </c>
      <c r="C242" s="334"/>
      <c r="D242" s="289"/>
      <c r="E242" s="289"/>
      <c r="F242" s="289"/>
      <c r="G242" s="289"/>
      <c r="H242" s="289"/>
      <c r="I242" s="289"/>
      <c r="J242" s="289"/>
      <c r="K242" s="289"/>
    </row>
    <row r="243" spans="1:11" ht="15" hidden="1" customHeight="1" outlineLevel="1" collapsed="1"/>
    <row r="244" spans="1:11" ht="15" hidden="1" customHeight="1" outlineLevel="1">
      <c r="A244" s="291" t="s">
        <v>525</v>
      </c>
      <c r="B244" s="191">
        <f>(B190*B192)/B230</f>
        <v>0.301875173272315</v>
      </c>
      <c r="C244" s="319">
        <f t="shared" ref="C244:K244" si="99">(C190*C192)/C230</f>
        <v>0.26274861277232359</v>
      </c>
      <c r="D244" s="191">
        <f t="shared" si="99"/>
        <v>0.27405474944035557</v>
      </c>
      <c r="F244" s="191">
        <f t="shared" si="99"/>
        <v>0.36607741916276115</v>
      </c>
      <c r="G244" s="191">
        <f t="shared" si="99"/>
        <v>4.2320736951515885</v>
      </c>
      <c r="H244" s="191">
        <f t="shared" si="99"/>
        <v>0.53665631459994945</v>
      </c>
      <c r="I244" s="191">
        <f t="shared" si="99"/>
        <v>0.34641016151377546</v>
      </c>
      <c r="J244" s="191">
        <f t="shared" si="99"/>
        <v>0.21213203435596423</v>
      </c>
      <c r="K244" s="191">
        <f t="shared" si="99"/>
        <v>0.1224744871391589</v>
      </c>
    </row>
    <row r="245" spans="1:11" ht="15" hidden="1" customHeight="1" outlineLevel="2">
      <c r="A245">
        <v>0.06</v>
      </c>
      <c r="B245" s="191">
        <v>0.42414518635482801</v>
      </c>
    </row>
    <row r="246" spans="1:11" ht="15" hidden="1" customHeight="1" outlineLevel="2">
      <c r="A246">
        <v>0.1</v>
      </c>
      <c r="B246" s="191">
        <v>0.42551395211156007</v>
      </c>
    </row>
    <row r="247" spans="1:11" ht="15" hidden="1" customHeight="1" outlineLevel="2">
      <c r="A247">
        <v>0.3</v>
      </c>
      <c r="B247" s="191">
        <v>0.4438239208910964</v>
      </c>
    </row>
    <row r="248" spans="1:11" ht="15" hidden="1" customHeight="1" outlineLevel="2">
      <c r="A248">
        <v>0.5</v>
      </c>
      <c r="B248" s="191">
        <v>0.48887831097616802</v>
      </c>
    </row>
    <row r="249" spans="1:11" ht="15" hidden="1" customHeight="1" outlineLevel="2">
      <c r="A249">
        <v>0.7</v>
      </c>
      <c r="B249" s="191">
        <v>0.59285203359655836</v>
      </c>
    </row>
    <row r="250" spans="1:11" ht="15" hidden="1" customHeight="1" outlineLevel="2">
      <c r="A250">
        <v>1</v>
      </c>
      <c r="B250" s="191">
        <v>6.7184169910531475</v>
      </c>
    </row>
    <row r="251" spans="1:11" ht="15" hidden="1" customHeight="1" outlineLevel="2">
      <c r="A251">
        <v>1.5</v>
      </c>
      <c r="B251" s="191">
        <v>0.85194189942741982</v>
      </c>
    </row>
    <row r="252" spans="1:11" ht="15" hidden="1" customHeight="1" outlineLevel="2">
      <c r="A252">
        <v>2</v>
      </c>
      <c r="B252" s="191">
        <v>0.54992613140311863</v>
      </c>
    </row>
    <row r="253" spans="1:11" ht="15" hidden="1" customHeight="1" outlineLevel="2">
      <c r="A253">
        <v>3</v>
      </c>
      <c r="B253" s="191">
        <v>0.33675960454009318</v>
      </c>
    </row>
    <row r="254" spans="1:11" ht="15" hidden="1" customHeight="1" outlineLevel="2">
      <c r="A254">
        <v>5</v>
      </c>
      <c r="B254" s="191">
        <v>0.19442824833341479</v>
      </c>
    </row>
    <row r="255" spans="1:11" ht="15" hidden="1" customHeight="1" outlineLevel="1" collapsed="1"/>
    <row r="256" spans="1:11" ht="15" hidden="1" customHeight="1" outlineLevel="1"/>
    <row r="257" spans="1:13" s="97" customFormat="1" ht="14.25" customHeight="1" collapsed="1">
      <c r="A257" s="318" t="s">
        <v>610</v>
      </c>
      <c r="B257" s="317"/>
      <c r="C257" s="324"/>
      <c r="D257" s="317"/>
      <c r="E257" s="317"/>
      <c r="F257" s="317"/>
      <c r="G257" s="317"/>
      <c r="H257" s="317"/>
      <c r="I257" s="317"/>
      <c r="J257" s="317"/>
      <c r="K257" s="317"/>
      <c r="M257" s="336"/>
    </row>
    <row r="258" spans="1:13" ht="15" customHeight="1" thickBot="1"/>
    <row r="259" spans="1:13" ht="15" customHeight="1" thickBot="1">
      <c r="A259" s="306" t="s">
        <v>561</v>
      </c>
    </row>
    <row r="260" spans="1:13" ht="15" customHeight="1">
      <c r="A260" t="s">
        <v>353</v>
      </c>
      <c r="B260" s="191">
        <f t="shared" ref="B260" si="100">DiameterRocket</f>
        <v>8</v>
      </c>
    </row>
    <row r="261" spans="1:13" ht="15" customHeight="1">
      <c r="A261" t="s">
        <v>354</v>
      </c>
      <c r="B261" s="191">
        <f t="shared" ref="B261" si="101">B260/100</f>
        <v>0.08</v>
      </c>
    </row>
    <row r="262" spans="1:13" ht="15" customHeight="1">
      <c r="A262" s="308" t="s">
        <v>574</v>
      </c>
      <c r="B262" s="261">
        <v>30</v>
      </c>
    </row>
    <row r="263" spans="1:13" ht="15" customHeight="1">
      <c r="A263" t="s">
        <v>356</v>
      </c>
      <c r="B263" s="191">
        <f>B262/100</f>
        <v>0.3</v>
      </c>
    </row>
    <row r="264" spans="1:13" ht="15" customHeight="1">
      <c r="A264" t="s">
        <v>569</v>
      </c>
      <c r="B264" s="191">
        <f>B262/B260</f>
        <v>3.75</v>
      </c>
    </row>
    <row r="265" spans="1:13" ht="15" customHeight="1">
      <c r="A265" s="308" t="s">
        <v>570</v>
      </c>
      <c r="B265" s="191">
        <v>120</v>
      </c>
    </row>
    <row r="266" spans="1:13" ht="15" customHeight="1">
      <c r="A266" t="s">
        <v>356</v>
      </c>
      <c r="B266" s="191">
        <f>B265/100</f>
        <v>1.2</v>
      </c>
    </row>
    <row r="267" spans="1:13" ht="15" customHeight="1">
      <c r="A267" s="308" t="s">
        <v>571</v>
      </c>
      <c r="B267" s="191">
        <v>0</v>
      </c>
    </row>
    <row r="268" spans="1:13" ht="15" customHeight="1">
      <c r="A268" t="s">
        <v>356</v>
      </c>
      <c r="B268" s="191">
        <f>B267/100</f>
        <v>0</v>
      </c>
    </row>
    <row r="269" spans="1:13" ht="15" customHeight="1">
      <c r="A269" s="308" t="s">
        <v>572</v>
      </c>
      <c r="B269" s="191">
        <v>0</v>
      </c>
    </row>
    <row r="270" spans="1:13" ht="15" customHeight="1">
      <c r="A270" t="s">
        <v>356</v>
      </c>
      <c r="B270" s="191">
        <f>B269/100</f>
        <v>0</v>
      </c>
    </row>
    <row r="271" spans="1:13" ht="15" customHeight="1">
      <c r="A271" s="307" t="s">
        <v>573</v>
      </c>
      <c r="B271" s="191">
        <f>B262+B265+B267</f>
        <v>150</v>
      </c>
    </row>
    <row r="272" spans="1:13" ht="15" customHeight="1">
      <c r="A272" t="s">
        <v>356</v>
      </c>
      <c r="B272" s="191">
        <f>B271/100</f>
        <v>1.5</v>
      </c>
    </row>
    <row r="273" spans="1:2" ht="15" customHeight="1">
      <c r="A273" t="s">
        <v>601</v>
      </c>
      <c r="B273" s="191">
        <f t="shared" ref="B273" si="102">CrossSecAreaRocket</f>
        <v>5.0265482457436689E-3</v>
      </c>
    </row>
    <row r="275" spans="1:2" ht="15" customHeight="1">
      <c r="A275" s="265" t="s">
        <v>373</v>
      </c>
    </row>
    <row r="276" spans="1:2" ht="15" customHeight="1">
      <c r="A276" t="s">
        <v>611</v>
      </c>
      <c r="B276" s="186">
        <f>(B20*B3*B271)/B23</f>
        <v>1695281468.7357903</v>
      </c>
    </row>
    <row r="277" spans="1:2" ht="15" customHeight="1">
      <c r="A277" s="275" t="s">
        <v>488</v>
      </c>
      <c r="B277" s="277">
        <v>-3355.4331999999999</v>
      </c>
    </row>
    <row r="278" spans="1:2" ht="15" customHeight="1">
      <c r="A278" s="275" t="s">
        <v>489</v>
      </c>
      <c r="B278" s="186">
        <f>B277/1000</f>
        <v>-3.3554331999999998</v>
      </c>
    </row>
    <row r="279" spans="1:2" ht="15" customHeight="1">
      <c r="A279" t="s">
        <v>490</v>
      </c>
      <c r="B279" s="191">
        <f>(B108*B3)/B23</f>
        <v>171.40568390848762</v>
      </c>
    </row>
    <row r="280" spans="1:2" ht="15" customHeight="1">
      <c r="A280" s="272" t="s">
        <v>495</v>
      </c>
      <c r="B280" s="278">
        <f>B292</f>
        <v>3.4737397769582792</v>
      </c>
    </row>
    <row r="281" spans="1:2" ht="15" hidden="1" customHeight="1" outlineLevel="1">
      <c r="A281" s="271" t="s">
        <v>527</v>
      </c>
      <c r="B281" s="191">
        <f>B271/$A286</f>
        <v>30</v>
      </c>
    </row>
    <row r="282" spans="1:2" ht="15" hidden="1" customHeight="1" outlineLevel="1">
      <c r="A282">
        <v>1</v>
      </c>
      <c r="B282" s="186">
        <f>(B$20*B$3*($A282*B$281))/B$23</f>
        <v>339056293.74715805</v>
      </c>
    </row>
    <row r="283" spans="1:2" ht="15" hidden="1" customHeight="1" outlineLevel="1">
      <c r="A283">
        <v>2</v>
      </c>
      <c r="B283" s="186">
        <f>(B$20*B$3*($A283*B$281))/B$23</f>
        <v>678112587.4943161</v>
      </c>
    </row>
    <row r="284" spans="1:2" ht="15" hidden="1" customHeight="1" outlineLevel="1">
      <c r="A284">
        <v>3</v>
      </c>
      <c r="B284" s="186">
        <f>(B$20*B$3*($A284*B$281))/B$23</f>
        <v>1017168881.2414742</v>
      </c>
    </row>
    <row r="285" spans="1:2" ht="15" hidden="1" customHeight="1" outlineLevel="1">
      <c r="A285">
        <v>4</v>
      </c>
      <c r="B285" s="186">
        <f>(B$20*B$3*($A285*B$281))/B$23</f>
        <v>1356225174.9886322</v>
      </c>
    </row>
    <row r="286" spans="1:2" ht="15" hidden="1" customHeight="1" outlineLevel="1">
      <c r="A286">
        <v>5</v>
      </c>
      <c r="B286" s="186">
        <f>(B$20*B$3*($A286*B$281))/B$23</f>
        <v>1695281468.7357903</v>
      </c>
    </row>
    <row r="287" spans="1:2" ht="15" hidden="1" customHeight="1" outlineLevel="1">
      <c r="A287" s="271" t="s">
        <v>491</v>
      </c>
      <c r="B287" s="186"/>
    </row>
    <row r="288" spans="1:2" ht="15" hidden="1" customHeight="1" outlineLevel="1">
      <c r="A288">
        <v>1</v>
      </c>
      <c r="B288" s="186">
        <f>B$279*(SQRT(0.0576/(2*($B282^(1/5)))))</f>
        <v>4.0803205453735458</v>
      </c>
    </row>
    <row r="289" spans="1:2" ht="15" hidden="1" customHeight="1" outlineLevel="1">
      <c r="A289">
        <v>2</v>
      </c>
      <c r="B289" s="186">
        <f t="shared" ref="B289:B292" si="103">B$279*(SQRT(0.0576/(2*($B283^(1/5)))))</f>
        <v>3.8070736848789779</v>
      </c>
    </row>
    <row r="290" spans="1:2" ht="15" hidden="1" customHeight="1" outlineLevel="1">
      <c r="A290">
        <v>3</v>
      </c>
      <c r="B290" s="186">
        <f t="shared" si="103"/>
        <v>3.6557977114895004</v>
      </c>
    </row>
    <row r="291" spans="1:2" ht="15" hidden="1" customHeight="1" outlineLevel="1">
      <c r="A291">
        <v>4</v>
      </c>
      <c r="B291" s="186">
        <f t="shared" si="103"/>
        <v>3.5521253492036875</v>
      </c>
    </row>
    <row r="292" spans="1:2" ht="15" hidden="1" customHeight="1" outlineLevel="1">
      <c r="A292">
        <v>5</v>
      </c>
      <c r="B292" s="186">
        <f t="shared" si="103"/>
        <v>3.4737397769582792</v>
      </c>
    </row>
    <row r="293" spans="1:2" ht="15" customHeight="1" collapsed="1">
      <c r="A293" s="272" t="s">
        <v>494</v>
      </c>
      <c r="B293" s="278">
        <f>B299</f>
        <v>3.4343897581788925</v>
      </c>
    </row>
    <row r="294" spans="1:2" ht="15" hidden="1" customHeight="1" outlineLevel="1">
      <c r="A294" s="271" t="s">
        <v>528</v>
      </c>
    </row>
    <row r="295" spans="1:2" ht="15" hidden="1" customHeight="1" outlineLevel="1">
      <c r="A295">
        <v>1</v>
      </c>
      <c r="B295" s="186">
        <f>B288*SQRT((1+0.2*B$11^2)^(-0.467))</f>
        <v>4.0340992679044092</v>
      </c>
    </row>
    <row r="296" spans="1:2" ht="15" hidden="1" customHeight="1" outlineLevel="1">
      <c r="A296">
        <v>2</v>
      </c>
      <c r="B296" s="186">
        <f t="shared" ref="B296:B299" si="104">B289*SQRT((1+0.2*B$11^2)^(-0.467))</f>
        <v>3.763947708089296</v>
      </c>
    </row>
    <row r="297" spans="1:2" ht="15" hidden="1" customHeight="1" outlineLevel="1">
      <c r="A297">
        <v>3</v>
      </c>
      <c r="B297" s="186">
        <f t="shared" si="104"/>
        <v>3.6143853669163799</v>
      </c>
    </row>
    <row r="298" spans="1:2" ht="15" hidden="1" customHeight="1" outlineLevel="1">
      <c r="A298">
        <v>4</v>
      </c>
      <c r="B298" s="186">
        <f t="shared" si="104"/>
        <v>3.5118873900666636</v>
      </c>
    </row>
    <row r="299" spans="1:2" ht="15" hidden="1" customHeight="1" outlineLevel="1">
      <c r="A299">
        <v>5</v>
      </c>
      <c r="B299" s="186">
        <f t="shared" si="104"/>
        <v>3.4343897581788925</v>
      </c>
    </row>
    <row r="300" spans="1:2" ht="15" customHeight="1" collapsed="1"/>
    <row r="301" spans="1:2" ht="15" customHeight="1">
      <c r="A301" s="267" t="s">
        <v>674</v>
      </c>
      <c r="B301" s="191">
        <f>B8*B7*B302</f>
        <v>24.290672238575272</v>
      </c>
    </row>
    <row r="302" spans="1:2" ht="15" customHeight="1">
      <c r="A302" s="308" t="s">
        <v>580</v>
      </c>
      <c r="B302" s="311">
        <f>B304*B303+(4/PI())*(B265/B260)*B306*B310</f>
        <v>0.27292856979605018</v>
      </c>
    </row>
    <row r="303" spans="1:2" ht="15" customHeight="1">
      <c r="A303" t="s">
        <v>588</v>
      </c>
      <c r="B303" s="191">
        <f>SIN(RADIANS(B13))*COS(RADIANS(B13))</f>
        <v>8.6824088833465166E-2</v>
      </c>
    </row>
    <row r="304" spans="1:2" ht="15" customHeight="1">
      <c r="A304" t="s">
        <v>583</v>
      </c>
      <c r="B304" s="191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579</v>
      </c>
      <c r="B305" s="191">
        <f>0.5 *(4*(B264^2)-1)</f>
        <v>27.625</v>
      </c>
    </row>
    <row r="306" spans="1:2" ht="15" customHeight="1">
      <c r="A306" t="s">
        <v>581</v>
      </c>
      <c r="B306" s="191">
        <f>IF(B10&lt;0.5,VLOOKUP(B13,$A$433:$B$439,2,TRUE),RADIANS(B13)*VLOOKUP(B10,A441:B453,2,TRUE))</f>
        <v>5.9341194567807207E-3</v>
      </c>
    </row>
    <row r="307" spans="1:2" ht="15" customHeight="1">
      <c r="A307" t="s">
        <v>584</v>
      </c>
      <c r="B307" s="191">
        <f>0.5*(B308*B309-B305)</f>
        <v>0.66903105243725491</v>
      </c>
    </row>
    <row r="308" spans="1:2" ht="15" customHeight="1">
      <c r="A308" t="s">
        <v>585</v>
      </c>
      <c r="B308" s="191">
        <f>((B305+1)^2)/(SQRT(2*B305+1))</f>
        <v>109.25208333333333</v>
      </c>
    </row>
    <row r="309" spans="1:2" ht="15" customHeight="1">
      <c r="A309" t="s">
        <v>586</v>
      </c>
      <c r="B309" s="191">
        <f>ASIN((SQRT(2*B305+1))/(B305+1))</f>
        <v>0.26510306459334804</v>
      </c>
    </row>
    <row r="310" spans="1:2" ht="15" customHeight="1">
      <c r="A310" t="s">
        <v>587</v>
      </c>
      <c r="B310" s="191">
        <f>B309*(B262/B271)+(B267+B265)/B271</f>
        <v>0.85302061291866971</v>
      </c>
    </row>
    <row r="312" spans="1:2" ht="15" customHeight="1">
      <c r="A312" s="267" t="s">
        <v>600</v>
      </c>
      <c r="B312" s="191">
        <f>B313-B315</f>
        <v>-73.362903908042213</v>
      </c>
    </row>
    <row r="313" spans="1:2" ht="15" customHeight="1">
      <c r="A313" t="s">
        <v>599</v>
      </c>
      <c r="B313" s="191">
        <f>B314*B262</f>
        <v>13.98</v>
      </c>
    </row>
    <row r="314" spans="1:2" ht="15" customHeight="1">
      <c r="A314" t="s">
        <v>595</v>
      </c>
      <c r="B314" s="191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591</v>
      </c>
      <c r="B315" s="191">
        <f>(B271/2)*B318</f>
        <v>87.342903908042217</v>
      </c>
    </row>
    <row r="316" spans="1:2" ht="15" customHeight="1">
      <c r="A316" t="s">
        <v>590</v>
      </c>
      <c r="B316" s="191">
        <f>(1/B307)*(B308*B309-B317)</f>
        <v>1.2482217960875066</v>
      </c>
    </row>
    <row r="317" spans="1:2" ht="15" customHeight="1">
      <c r="A317" t="s">
        <v>586</v>
      </c>
      <c r="B317" s="191">
        <f>(2/(2*B305+1))*(B305^2+B305+1/3)</f>
        <v>28.127962962962965</v>
      </c>
    </row>
    <row r="318" spans="1:2" ht="15" customHeight="1">
      <c r="A318" t="s">
        <v>589</v>
      </c>
      <c r="B318" s="191">
        <f>(1/B310)*(B319+B320+B321+B322-B323)</f>
        <v>1.1645720521072296</v>
      </c>
    </row>
    <row r="319" spans="1:2" ht="15" customHeight="1">
      <c r="A319" t="s">
        <v>585</v>
      </c>
      <c r="B319" s="191">
        <f>B307*B316*((B262/B271)^2)</f>
        <v>3.3403965676461811E-2</v>
      </c>
    </row>
    <row r="320" spans="1:2" ht="15" customHeight="1">
      <c r="A320" t="s">
        <v>586</v>
      </c>
      <c r="B320" s="191">
        <f>(B265/B271)^2</f>
        <v>0.64000000000000012</v>
      </c>
    </row>
    <row r="321" spans="1:2" ht="15" customHeight="1">
      <c r="A321" t="s">
        <v>592</v>
      </c>
      <c r="B321" s="191">
        <f>2*(B265*B262)/B271^2</f>
        <v>0.32</v>
      </c>
    </row>
    <row r="322" spans="1:2" ht="15" customHeight="1">
      <c r="A322" t="s">
        <v>593</v>
      </c>
      <c r="B322" s="191">
        <f>2*(B267/B271)</f>
        <v>0</v>
      </c>
    </row>
    <row r="323" spans="1:2" ht="15" customHeight="1">
      <c r="A323" t="s">
        <v>594</v>
      </c>
      <c r="B323" s="191">
        <f>(B267/B271)^2</f>
        <v>0</v>
      </c>
    </row>
    <row r="325" spans="1:2" ht="15" customHeight="1">
      <c r="A325" s="309" t="s">
        <v>576</v>
      </c>
    </row>
    <row r="326" spans="1:2" ht="15" customHeight="1">
      <c r="A326" s="266" t="s">
        <v>582</v>
      </c>
    </row>
    <row r="327" spans="1:2" ht="15" hidden="1" customHeight="1" outlineLevel="1">
      <c r="A327" t="s">
        <v>578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7">
        <v>5</v>
      </c>
      <c r="B352" s="187">
        <v>2.57</v>
      </c>
    </row>
    <row r="353" spans="1:2" ht="15" hidden="1" customHeight="1" outlineLevel="1">
      <c r="A353" s="310" t="s">
        <v>577</v>
      </c>
      <c r="B353" s="310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7">
        <v>5</v>
      </c>
      <c r="B378" s="187">
        <v>2.7</v>
      </c>
    </row>
    <row r="379" spans="1:2" ht="15" hidden="1" customHeight="1" outlineLevel="1">
      <c r="A379" s="310" t="s">
        <v>577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7">
        <v>5</v>
      </c>
      <c r="B404" s="187">
        <v>2.4300000000000002</v>
      </c>
    </row>
    <row r="405" spans="1:2" ht="15" hidden="1" customHeight="1" outlineLevel="1">
      <c r="A405" t="s">
        <v>577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7">
        <v>5</v>
      </c>
      <c r="B430" s="187">
        <v>2.2400000000000002</v>
      </c>
    </row>
    <row r="431" spans="1:2" ht="15" customHeight="1" collapsed="1">
      <c r="A431" s="307" t="s">
        <v>596</v>
      </c>
    </row>
    <row r="432" spans="1:2" ht="15" hidden="1" customHeight="1" outlineLevel="1">
      <c r="A432" t="s">
        <v>84</v>
      </c>
      <c r="B432" t="s">
        <v>391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7" t="s">
        <v>597</v>
      </c>
      <c r="B440" s="307" t="s">
        <v>396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6" t="s">
        <v>598</v>
      </c>
    </row>
    <row r="456" spans="1:2" ht="15" hidden="1" customHeight="1" outlineLevel="1">
      <c r="A456" t="s">
        <v>386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7">
        <v>5</v>
      </c>
      <c r="B462" s="187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7">
        <v>5</v>
      </c>
      <c r="B469" s="187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7">
        <v>5</v>
      </c>
      <c r="B476" s="187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7">
        <v>5</v>
      </c>
      <c r="B483" s="187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7">
        <v>5</v>
      </c>
      <c r="B490" s="187">
        <v>3.43</v>
      </c>
    </row>
    <row r="491" spans="1:2" ht="15" customHeight="1" collapsed="1">
      <c r="B491"/>
    </row>
    <row r="492" spans="1:2" ht="15" customHeight="1">
      <c r="A492" s="266" t="s">
        <v>602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603</v>
      </c>
    </row>
    <row r="501" spans="1:2" ht="15" hidden="1" customHeight="1" outlineLevel="1">
      <c r="A501">
        <v>0</v>
      </c>
      <c r="B501" s="191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1">
        <f t="shared" si="105"/>
        <v>2.9346478558409799</v>
      </c>
    </row>
    <row r="503" spans="1:2" ht="15" hidden="1" customHeight="1" outlineLevel="1">
      <c r="A503">
        <v>10</v>
      </c>
      <c r="B503" s="191">
        <f t="shared" si="105"/>
        <v>2.797104915295237</v>
      </c>
    </row>
    <row r="504" spans="1:2" ht="15" hidden="1" customHeight="1" outlineLevel="1">
      <c r="A504">
        <v>15</v>
      </c>
      <c r="B504" s="191">
        <f t="shared" si="105"/>
        <v>2.5960305879057297</v>
      </c>
    </row>
    <row r="505" spans="1:2" ht="15" hidden="1" customHeight="1" outlineLevel="1">
      <c r="A505">
        <v>20</v>
      </c>
      <c r="B505" s="191">
        <f t="shared" si="105"/>
        <v>2.337534415361664</v>
      </c>
    </row>
    <row r="506" spans="1:2" ht="15" hidden="1" customHeight="1" outlineLevel="1">
      <c r="A506">
        <v>25</v>
      </c>
      <c r="B506" s="191">
        <f t="shared" si="105"/>
        <v>2.0294706730604291</v>
      </c>
    </row>
    <row r="507" spans="1:2" ht="15" hidden="1" customHeight="1" outlineLevel="1">
      <c r="A507" s="167">
        <v>30</v>
      </c>
      <c r="B507" s="311">
        <f>(B499-B493)/(RADIANS(A499-A493))</f>
        <v>2.6165447807264344</v>
      </c>
    </row>
    <row r="508" spans="1:2" ht="15" hidden="1" customHeight="1" outlineLevel="1">
      <c r="A508" s="315" t="s">
        <v>605</v>
      </c>
      <c r="B508" s="316">
        <f>(B496-B493)/(RADIANS(A496-A493))</f>
        <v>2.9120776693435939</v>
      </c>
    </row>
    <row r="509" spans="1:2" ht="15" hidden="1" customHeight="1" outlineLevel="1">
      <c r="A509" s="312" t="s">
        <v>608</v>
      </c>
      <c r="B509" s="311">
        <f>(B499-B496)/(RADIANS(A499-A496))</f>
        <v>2.3210118921092744</v>
      </c>
    </row>
    <row r="510" spans="1:2" ht="15" hidden="1" customHeight="1" outlineLevel="1">
      <c r="A510" t="s">
        <v>604</v>
      </c>
    </row>
    <row r="511" spans="1:2" ht="15" hidden="1" customHeight="1" outlineLevel="1">
      <c r="A511">
        <v>0</v>
      </c>
      <c r="B511" s="191">
        <f>B$289*RADIANS(A511)</f>
        <v>0</v>
      </c>
    </row>
    <row r="512" spans="1:2" ht="15" hidden="1" customHeight="1" outlineLevel="1">
      <c r="A512">
        <v>5</v>
      </c>
      <c r="B512" s="191">
        <f>B$289*RADIANS(A512)</f>
        <v>0.33222985333585608</v>
      </c>
    </row>
    <row r="513" spans="1:2" ht="15" hidden="1" customHeight="1" outlineLevel="1">
      <c r="A513">
        <v>10</v>
      </c>
      <c r="B513" s="191">
        <f t="shared" ref="B513:B517" si="106">B$289*RADIANS(A513)</f>
        <v>0.66445970667171217</v>
      </c>
    </row>
    <row r="514" spans="1:2" ht="15" hidden="1" customHeight="1" outlineLevel="1">
      <c r="A514">
        <v>15</v>
      </c>
      <c r="B514" s="191">
        <f t="shared" si="106"/>
        <v>0.99668956000756825</v>
      </c>
    </row>
    <row r="515" spans="1:2" ht="15" hidden="1" customHeight="1" outlineLevel="1">
      <c r="A515">
        <v>20</v>
      </c>
      <c r="B515" s="191">
        <f t="shared" si="106"/>
        <v>1.3289194133434243</v>
      </c>
    </row>
    <row r="516" spans="1:2" ht="15" hidden="1" customHeight="1" outlineLevel="1">
      <c r="A516">
        <v>25</v>
      </c>
      <c r="B516" s="191">
        <f t="shared" si="106"/>
        <v>1.6611492666792806</v>
      </c>
    </row>
    <row r="517" spans="1:2" ht="15" hidden="1" customHeight="1" outlineLevel="1">
      <c r="A517">
        <v>30</v>
      </c>
      <c r="B517" s="191">
        <f t="shared" si="106"/>
        <v>1.9933791200151365</v>
      </c>
    </row>
    <row r="518" spans="1:2" ht="15" hidden="1" customHeight="1" outlineLevel="1">
      <c r="A518" t="s">
        <v>606</v>
      </c>
    </row>
    <row r="519" spans="1:2" ht="15" hidden="1" customHeight="1" outlineLevel="1">
      <c r="A519">
        <v>0</v>
      </c>
      <c r="B519" s="191">
        <f>B$290*RADIANS(A519)</f>
        <v>0</v>
      </c>
    </row>
    <row r="520" spans="1:2" ht="15" hidden="1" customHeight="1" outlineLevel="1">
      <c r="A520">
        <v>5</v>
      </c>
      <c r="B520" s="191">
        <f t="shared" ref="B520:B522" si="107">B$290*RADIANS(A520)</f>
        <v>0.31902853426182753</v>
      </c>
    </row>
    <row r="521" spans="1:2" ht="15" hidden="1" customHeight="1" outlineLevel="1">
      <c r="A521">
        <v>10</v>
      </c>
      <c r="B521" s="191">
        <f t="shared" si="107"/>
        <v>0.63805706852365507</v>
      </c>
    </row>
    <row r="522" spans="1:2" ht="15" hidden="1" customHeight="1" outlineLevel="1">
      <c r="A522">
        <v>15</v>
      </c>
      <c r="B522" s="191">
        <f t="shared" si="107"/>
        <v>0.9570856027854826</v>
      </c>
    </row>
    <row r="523" spans="1:2" ht="15" hidden="1" customHeight="1" outlineLevel="1">
      <c r="A523" s="313" t="s">
        <v>607</v>
      </c>
      <c r="B523" s="314"/>
    </row>
    <row r="524" spans="1:2" ht="15" hidden="1" customHeight="1" outlineLevel="1">
      <c r="A524" s="313">
        <v>15</v>
      </c>
      <c r="B524" s="314">
        <f>B$291*RADIANS(A524)</f>
        <v>0.92994424180736523</v>
      </c>
    </row>
    <row r="525" spans="1:2" ht="15" hidden="1" customHeight="1" outlineLevel="1">
      <c r="A525" s="313">
        <v>20</v>
      </c>
      <c r="B525" s="314">
        <f t="shared" ref="B525:B527" si="108">B$291*RADIANS(A525)</f>
        <v>1.2399256557431537</v>
      </c>
    </row>
    <row r="526" spans="1:2" ht="15" hidden="1" customHeight="1" outlineLevel="1">
      <c r="A526" s="313">
        <v>25</v>
      </c>
      <c r="B526" s="314">
        <f t="shared" si="108"/>
        <v>1.5499070696789421</v>
      </c>
    </row>
    <row r="527" spans="1:2" ht="15" hidden="1" customHeight="1" outlineLevel="1">
      <c r="A527" s="313">
        <v>30</v>
      </c>
      <c r="B527" s="314">
        <f t="shared" si="108"/>
        <v>1.8598884836147305</v>
      </c>
    </row>
    <row r="528" spans="1:2" ht="15" customHeight="1" collapsed="1"/>
    <row r="529" spans="1:26" ht="15" customHeight="1">
      <c r="A529" t="s">
        <v>609</v>
      </c>
    </row>
    <row r="530" spans="1:26" ht="15" hidden="1" customHeight="1" outlineLevel="1">
      <c r="A530">
        <v>0.06</v>
      </c>
      <c r="B530" s="191">
        <v>3.4833704790227635</v>
      </c>
    </row>
    <row r="531" spans="1:26" ht="15" hidden="1" customHeight="1" outlineLevel="1">
      <c r="A531">
        <v>0.1</v>
      </c>
      <c r="B531" s="191">
        <v>3.4833704790227635</v>
      </c>
    </row>
    <row r="532" spans="1:26" ht="15" hidden="1" customHeight="1" outlineLevel="1">
      <c r="A532">
        <v>0.3</v>
      </c>
      <c r="B532" s="191">
        <v>3.4929197756082773</v>
      </c>
    </row>
    <row r="533" spans="1:26" ht="15" hidden="1" customHeight="1" outlineLevel="1">
      <c r="A533">
        <v>0.5</v>
      </c>
      <c r="B533" s="191">
        <v>2.7388560526945325</v>
      </c>
    </row>
    <row r="534" spans="1:26" ht="15" hidden="1" customHeight="1" outlineLevel="1">
      <c r="A534">
        <v>0.7</v>
      </c>
      <c r="B534" s="191">
        <v>2.7792737784192396</v>
      </c>
    </row>
    <row r="535" spans="1:26" ht="15" hidden="1" customHeight="1" outlineLevel="1">
      <c r="A535">
        <v>1</v>
      </c>
      <c r="B535" s="191">
        <v>2.9731473885670701</v>
      </c>
    </row>
    <row r="536" spans="1:26" ht="15" hidden="1" customHeight="1" outlineLevel="1">
      <c r="A536">
        <v>1.5</v>
      </c>
      <c r="B536" s="191">
        <v>2.8099230853405017</v>
      </c>
    </row>
    <row r="537" spans="1:26" ht="15" hidden="1" customHeight="1" outlineLevel="1">
      <c r="A537">
        <v>2</v>
      </c>
      <c r="B537" s="191">
        <v>2.9120776693435939</v>
      </c>
    </row>
    <row r="538" spans="1:26" ht="15" customHeight="1" collapsed="1"/>
    <row r="540" spans="1:26" s="97" customFormat="1" ht="15" customHeight="1">
      <c r="A540" s="318" t="s">
        <v>620</v>
      </c>
      <c r="B540" s="317"/>
      <c r="C540" s="324"/>
      <c r="D540" s="317"/>
      <c r="E540" s="317"/>
      <c r="F540" s="317"/>
      <c r="G540" s="317"/>
      <c r="H540" s="317"/>
      <c r="I540" s="317"/>
      <c r="J540" s="317"/>
      <c r="K540" s="317"/>
      <c r="M540" s="336"/>
    </row>
    <row r="542" spans="1:26" ht="15" customHeight="1" thickBot="1">
      <c r="A542" t="s">
        <v>617</v>
      </c>
      <c r="B542" s="191">
        <v>15</v>
      </c>
      <c r="N542" t="s">
        <v>252</v>
      </c>
      <c r="R542" t="s">
        <v>627</v>
      </c>
    </row>
    <row r="543" spans="1:26" ht="15" customHeight="1">
      <c r="A543" t="s">
        <v>356</v>
      </c>
      <c r="B543" s="191">
        <f>B542/100</f>
        <v>0.15</v>
      </c>
      <c r="N543" s="31" t="s">
        <v>271</v>
      </c>
      <c r="O543" s="32" t="s">
        <v>272</v>
      </c>
      <c r="P543" s="33" t="s">
        <v>273</v>
      </c>
      <c r="R543" s="345" t="s">
        <v>626</v>
      </c>
      <c r="S543" s="345" t="s">
        <v>628</v>
      </c>
      <c r="T543" s="345" t="s">
        <v>629</v>
      </c>
      <c r="U543" s="345" t="s">
        <v>630</v>
      </c>
      <c r="W543" s="30" t="s">
        <v>634</v>
      </c>
      <c r="X543" s="345" t="s">
        <v>671</v>
      </c>
      <c r="Z543" t="s">
        <v>632</v>
      </c>
    </row>
    <row r="544" spans="1:26" ht="15" customHeight="1">
      <c r="A544" s="266" t="s">
        <v>616</v>
      </c>
      <c r="B544" s="191">
        <f>B271-B542</f>
        <v>135</v>
      </c>
      <c r="N544" s="34" t="s">
        <v>275</v>
      </c>
      <c r="O544" s="30" t="s">
        <v>276</v>
      </c>
      <c r="P544" s="35" t="s">
        <v>277</v>
      </c>
      <c r="R544" s="345" t="s">
        <v>635</v>
      </c>
      <c r="S544" s="345" t="s">
        <v>636</v>
      </c>
      <c r="T544" s="345" t="s">
        <v>637</v>
      </c>
      <c r="U544" s="345" t="s">
        <v>638</v>
      </c>
      <c r="W544" s="30" t="s">
        <v>644</v>
      </c>
      <c r="X544" s="345" t="s">
        <v>672</v>
      </c>
      <c r="Z544" t="s">
        <v>631</v>
      </c>
    </row>
    <row r="545" spans="1:26" ht="15" customHeight="1" thickBot="1">
      <c r="A545" s="271" t="s">
        <v>356</v>
      </c>
      <c r="B545" s="191">
        <f>B544/100</f>
        <v>1.35</v>
      </c>
      <c r="N545" s="36" t="s">
        <v>280</v>
      </c>
      <c r="O545" s="37" t="s">
        <v>277</v>
      </c>
      <c r="P545" s="38" t="s">
        <v>281</v>
      </c>
      <c r="R545" s="345" t="s">
        <v>639</v>
      </c>
      <c r="S545" s="345" t="s">
        <v>640</v>
      </c>
      <c r="T545" s="345" t="s">
        <v>641</v>
      </c>
      <c r="U545" s="345" t="s">
        <v>642</v>
      </c>
      <c r="W545" s="30" t="s">
        <v>645</v>
      </c>
      <c r="X545" s="345" t="s">
        <v>673</v>
      </c>
      <c r="Z545" s="343" t="s">
        <v>633</v>
      </c>
    </row>
    <row r="546" spans="1:26" ht="15" customHeight="1">
      <c r="N546" s="342"/>
      <c r="O546" s="342"/>
      <c r="P546" s="342"/>
      <c r="R546" s="341">
        <v>0</v>
      </c>
      <c r="S546" s="341">
        <v>0</v>
      </c>
      <c r="T546" s="346" t="s">
        <v>643</v>
      </c>
      <c r="U546" s="341">
        <v>0</v>
      </c>
      <c r="W546" s="341">
        <v>0</v>
      </c>
      <c r="X546" s="341">
        <v>0</v>
      </c>
    </row>
    <row r="547" spans="1:26" ht="15" customHeight="1">
      <c r="A547" t="s">
        <v>618</v>
      </c>
      <c r="N547" s="341"/>
      <c r="O547" s="341"/>
      <c r="P547" s="341"/>
    </row>
    <row r="548" spans="1:26" ht="15" customHeight="1">
      <c r="A548" t="s">
        <v>622</v>
      </c>
      <c r="N548" s="341"/>
      <c r="O548" s="341"/>
      <c r="P548" s="341"/>
      <c r="R548" s="341"/>
      <c r="S548" s="341"/>
      <c r="T548" s="341"/>
      <c r="U548" s="341"/>
      <c r="W548" s="341"/>
    </row>
    <row r="549" spans="1:26" ht="15" customHeight="1">
      <c r="A549" t="s">
        <v>621</v>
      </c>
      <c r="R549" s="341"/>
      <c r="S549" s="341"/>
      <c r="T549" s="341"/>
      <c r="U549" s="341"/>
      <c r="W549" s="341"/>
    </row>
    <row r="550" spans="1:26" ht="15" customHeight="1">
      <c r="A550" t="s">
        <v>619</v>
      </c>
      <c r="R550" s="341"/>
      <c r="S550" s="341"/>
      <c r="T550" s="341"/>
      <c r="U550" s="341"/>
      <c r="W550" s="341"/>
    </row>
    <row r="551" spans="1:26" ht="15" customHeight="1">
      <c r="A551" t="s">
        <v>356</v>
      </c>
      <c r="R551" s="341"/>
      <c r="S551" s="341"/>
      <c r="T551" s="341"/>
      <c r="U551" s="341"/>
      <c r="W551" s="341"/>
    </row>
    <row r="552" spans="1:26" ht="15" customHeight="1">
      <c r="A552" t="s">
        <v>624</v>
      </c>
    </row>
    <row r="553" spans="1:26" ht="15" customHeight="1">
      <c r="A553" t="s">
        <v>356</v>
      </c>
    </row>
    <row r="574" spans="28:28" ht="15" customHeight="1">
      <c r="AB574" t="s">
        <v>632</v>
      </c>
    </row>
    <row r="575" spans="28:28" ht="15" customHeight="1">
      <c r="AB575" s="344" t="s">
        <v>658</v>
      </c>
    </row>
    <row r="576" spans="28:28" ht="15" customHeight="1">
      <c r="AB576" t="s">
        <v>659</v>
      </c>
    </row>
    <row r="577" spans="14:28" ht="15" customHeight="1">
      <c r="AB577" t="s">
        <v>631</v>
      </c>
    </row>
    <row r="578" spans="14:28" ht="15" customHeight="1">
      <c r="AB578" s="343" t="s">
        <v>633</v>
      </c>
    </row>
    <row r="579" spans="14:28" ht="15" customHeight="1">
      <c r="N579" t="s">
        <v>646</v>
      </c>
    </row>
    <row r="581" spans="14:28" ht="15" customHeight="1">
      <c r="N581" s="341" t="s">
        <v>647</v>
      </c>
      <c r="O581" s="341" t="s">
        <v>650</v>
      </c>
      <c r="P581" s="341" t="s">
        <v>653</v>
      </c>
      <c r="Q581" s="341" t="s">
        <v>660</v>
      </c>
      <c r="R581" s="341" t="s">
        <v>661</v>
      </c>
      <c r="T581" s="341" t="s">
        <v>666</v>
      </c>
      <c r="U581" s="341">
        <v>0</v>
      </c>
    </row>
    <row r="582" spans="14:28" ht="15" customHeight="1">
      <c r="N582" s="341" t="s">
        <v>648</v>
      </c>
      <c r="O582" s="341" t="s">
        <v>651</v>
      </c>
      <c r="P582" s="341" t="s">
        <v>654</v>
      </c>
      <c r="Q582" s="341" t="s">
        <v>662</v>
      </c>
      <c r="R582" s="341" t="s">
        <v>664</v>
      </c>
      <c r="T582" s="341" t="s">
        <v>667</v>
      </c>
      <c r="U582" s="341" t="s">
        <v>669</v>
      </c>
    </row>
    <row r="583" spans="14:28" ht="15" customHeight="1">
      <c r="N583" s="341" t="s">
        <v>649</v>
      </c>
      <c r="O583" s="341" t="s">
        <v>652</v>
      </c>
      <c r="P583" s="341" t="s">
        <v>655</v>
      </c>
      <c r="Q583" s="341" t="s">
        <v>663</v>
      </c>
      <c r="R583" s="341" t="s">
        <v>665</v>
      </c>
      <c r="T583" s="341" t="s">
        <v>668</v>
      </c>
      <c r="U583" s="341" t="s">
        <v>670</v>
      </c>
    </row>
    <row r="584" spans="14:28" ht="15" customHeight="1">
      <c r="N584" s="341">
        <v>0</v>
      </c>
      <c r="O584" s="341">
        <v>1</v>
      </c>
      <c r="P584" s="341" t="s">
        <v>656</v>
      </c>
      <c r="Q584" s="341">
        <v>0</v>
      </c>
      <c r="R584" s="341">
        <v>0</v>
      </c>
      <c r="T584" s="341">
        <v>0</v>
      </c>
      <c r="U584" s="341">
        <v>0</v>
      </c>
    </row>
    <row r="585" spans="14:28" ht="15" customHeight="1">
      <c r="N585" s="341">
        <v>0</v>
      </c>
      <c r="O585" s="341">
        <v>0</v>
      </c>
      <c r="P585" s="341" t="s">
        <v>657</v>
      </c>
      <c r="Q585" s="341">
        <v>0</v>
      </c>
      <c r="R585" s="341">
        <v>0</v>
      </c>
      <c r="T585" s="341">
        <v>0</v>
      </c>
      <c r="U585" s="341">
        <v>0</v>
      </c>
    </row>
    <row r="587" spans="14:28" ht="15" customHeight="1">
      <c r="N587" s="341"/>
      <c r="O587" s="341"/>
      <c r="P587" s="341"/>
      <c r="Q587" s="341"/>
      <c r="R587" s="341"/>
      <c r="T587" s="341"/>
      <c r="U587" s="341"/>
    </row>
    <row r="588" spans="14:28" ht="15" customHeight="1">
      <c r="N588" s="341"/>
      <c r="O588" s="341"/>
      <c r="P588" s="341"/>
      <c r="Q588" s="341"/>
      <c r="R588" s="341"/>
      <c r="T588" s="341"/>
      <c r="U588" s="341"/>
    </row>
    <row r="589" spans="14:28" ht="15" customHeight="1">
      <c r="N589" s="341"/>
      <c r="O589" s="341"/>
      <c r="P589" s="341"/>
      <c r="Q589" s="341"/>
      <c r="R589" s="341"/>
      <c r="T589" s="341"/>
      <c r="U589" s="341"/>
    </row>
    <row r="590" spans="14:28" ht="15" customHeight="1">
      <c r="N590" s="341"/>
      <c r="O590" s="341"/>
      <c r="P590" s="341"/>
      <c r="Q590" s="341"/>
      <c r="R590" s="341"/>
      <c r="T590" s="341"/>
      <c r="U590" s="341"/>
    </row>
    <row r="591" spans="14:28" ht="15" customHeight="1">
      <c r="N591" s="341"/>
      <c r="O591" s="341"/>
      <c r="P591" s="341"/>
      <c r="Q591" s="341"/>
      <c r="R591" s="341"/>
      <c r="T591" s="341"/>
      <c r="U591" s="341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21"/>
  <sheetViews>
    <sheetView tabSelected="1" zoomScale="85" zoomScaleNormal="85" workbookViewId="0">
      <pane ySplit="3" topLeftCell="A53" activePane="bottomLeft" state="frozen"/>
      <selection pane="bottomLeft" activeCell="E62" sqref="E62"/>
    </sheetView>
  </sheetViews>
  <sheetFormatPr defaultColWidth="9.08984375" defaultRowHeight="14.5"/>
  <cols>
    <col min="1" max="1" width="44.7265625" style="280" customWidth="1"/>
    <col min="2" max="4" width="9.36328125" style="281" customWidth="1"/>
    <col min="5" max="5" width="12.54296875" style="281" customWidth="1"/>
    <col min="6" max="6" width="13.36328125" style="281" bestFit="1" customWidth="1"/>
    <col min="7" max="7" width="9.36328125" style="281" customWidth="1"/>
    <col min="8" max="8" width="13.36328125" style="281" bestFit="1" customWidth="1"/>
    <col min="9" max="9" width="12.26953125" style="281" customWidth="1"/>
    <col min="10" max="12" width="9.36328125" style="281" customWidth="1"/>
    <col min="14" max="14" width="17.08984375" customWidth="1"/>
  </cols>
  <sheetData>
    <row r="1" spans="1:14">
      <c r="A1" s="279" t="s">
        <v>505</v>
      </c>
      <c r="B1" s="281">
        <v>0.06</v>
      </c>
      <c r="C1" s="281">
        <v>0.1</v>
      </c>
      <c r="D1" s="281">
        <v>0.3</v>
      </c>
      <c r="E1" s="281">
        <v>0.5</v>
      </c>
      <c r="F1" s="281">
        <v>0.7</v>
      </c>
      <c r="G1" s="281">
        <v>0.85</v>
      </c>
      <c r="H1" s="281">
        <v>1</v>
      </c>
      <c r="I1" s="281">
        <v>1.5</v>
      </c>
      <c r="J1" s="281">
        <v>2</v>
      </c>
      <c r="K1" s="281">
        <v>3</v>
      </c>
      <c r="L1" s="281">
        <v>5</v>
      </c>
    </row>
    <row r="2" spans="1:14">
      <c r="A2" s="280" t="s">
        <v>526</v>
      </c>
      <c r="B2" s="281">
        <f t="shared" ref="B2:L2" si="0">B1*$O$22</f>
        <v>20.435320012174994</v>
      </c>
      <c r="C2" s="281">
        <f t="shared" si="0"/>
        <v>34.058866686958332</v>
      </c>
      <c r="D2" s="281">
        <f t="shared" si="0"/>
        <v>102.17660006087497</v>
      </c>
      <c r="E2" s="281">
        <f t="shared" si="0"/>
        <v>170.29433343479164</v>
      </c>
      <c r="F2" s="281">
        <f t="shared" si="0"/>
        <v>238.41206680870829</v>
      </c>
      <c r="G2" s="281">
        <f t="shared" si="0"/>
        <v>289.50036683914578</v>
      </c>
      <c r="H2" s="281">
        <f t="shared" si="0"/>
        <v>340.58866686958328</v>
      </c>
      <c r="I2" s="281">
        <f t="shared" si="0"/>
        <v>510.88300030437495</v>
      </c>
      <c r="J2" s="281">
        <f t="shared" si="0"/>
        <v>681.17733373916656</v>
      </c>
      <c r="K2" s="281">
        <f t="shared" si="0"/>
        <v>1021.7660006087499</v>
      </c>
      <c r="L2" s="281">
        <f t="shared" si="0"/>
        <v>1702.9433343479163</v>
      </c>
      <c r="N2" t="s">
        <v>504</v>
      </c>
    </row>
    <row r="3" spans="1:14">
      <c r="A3" s="280" t="s">
        <v>536</v>
      </c>
      <c r="B3" s="281">
        <f t="shared" ref="B3:L3" si="1">0.5*$O$25*B2^2</f>
        <v>255.57261004799989</v>
      </c>
      <c r="C3" s="281">
        <f t="shared" si="1"/>
        <v>709.92391680000003</v>
      </c>
      <c r="D3" s="281">
        <f t="shared" si="1"/>
        <v>6389.3152511999979</v>
      </c>
      <c r="E3" s="281">
        <f t="shared" si="1"/>
        <v>17748.097919999997</v>
      </c>
      <c r="F3" s="281">
        <f t="shared" si="1"/>
        <v>34786.271923199994</v>
      </c>
      <c r="G3" s="281">
        <f t="shared" si="1"/>
        <v>51292.002988799984</v>
      </c>
      <c r="H3" s="281">
        <f t="shared" si="1"/>
        <v>70992.391679999986</v>
      </c>
      <c r="I3" s="281">
        <f t="shared" si="1"/>
        <v>159732.88127999997</v>
      </c>
      <c r="J3" s="281">
        <f t="shared" si="1"/>
        <v>283969.56671999994</v>
      </c>
      <c r="K3" s="281">
        <f t="shared" si="1"/>
        <v>638931.52511999989</v>
      </c>
      <c r="L3" s="281">
        <f t="shared" si="1"/>
        <v>1774809.7919999994</v>
      </c>
    </row>
    <row r="4" spans="1:14">
      <c r="A4" s="280" t="s">
        <v>501</v>
      </c>
      <c r="B4" s="293"/>
      <c r="C4" s="293"/>
      <c r="D4" s="293"/>
      <c r="E4" s="293"/>
      <c r="F4" s="293"/>
      <c r="G4" s="293"/>
      <c r="H4" s="293"/>
      <c r="I4" s="293"/>
      <c r="J4" s="293"/>
      <c r="K4" s="293"/>
      <c r="L4" s="293"/>
    </row>
    <row r="5" spans="1:14">
      <c r="A5" s="280">
        <v>0</v>
      </c>
      <c r="B5" s="293">
        <v>7.8450769E-4</v>
      </c>
      <c r="C5">
        <v>3.1759599999999999E-2</v>
      </c>
      <c r="D5" s="293">
        <v>0.26043301000000002</v>
      </c>
      <c r="E5" s="293">
        <v>0.56825183999999995</v>
      </c>
      <c r="F5" s="293">
        <v>0.82876609000000001</v>
      </c>
      <c r="G5" s="293"/>
      <c r="H5" s="293">
        <v>5.2529211999999999E-3</v>
      </c>
      <c r="I5" s="293">
        <v>3.6308104999999999</v>
      </c>
      <c r="J5" s="293"/>
      <c r="K5" s="293"/>
      <c r="L5" s="293"/>
    </row>
    <row r="6" spans="1:14">
      <c r="A6" s="280">
        <v>5</v>
      </c>
      <c r="B6" s="293">
        <v>0.19458151000000001</v>
      </c>
      <c r="C6">
        <v>0.52755589000000003</v>
      </c>
      <c r="D6" s="293">
        <v>4.5966256000000003</v>
      </c>
      <c r="E6" s="293">
        <v>12.268511</v>
      </c>
      <c r="F6" s="293">
        <v>29.241693999999999</v>
      </c>
      <c r="G6" s="293"/>
      <c r="H6" s="293"/>
      <c r="I6" s="293"/>
      <c r="J6" s="293"/>
      <c r="K6" s="293"/>
      <c r="L6" s="293"/>
    </row>
    <row r="7" spans="1:14">
      <c r="A7" s="280">
        <v>10</v>
      </c>
      <c r="B7" s="293">
        <v>0.42862950999999999</v>
      </c>
      <c r="C7">
        <v>1.1841634999999999</v>
      </c>
      <c r="D7" s="293">
        <v>9.8018798999999994</v>
      </c>
      <c r="E7" s="293">
        <v>26.248533999999999</v>
      </c>
      <c r="F7" s="293">
        <v>64.390786000000006</v>
      </c>
      <c r="G7" s="293"/>
      <c r="H7" s="293"/>
      <c r="I7" s="293"/>
      <c r="J7" s="293"/>
      <c r="K7" s="293"/>
      <c r="L7" s="293"/>
    </row>
    <row r="8" spans="1:14">
      <c r="A8" s="280">
        <v>15</v>
      </c>
      <c r="B8" s="293">
        <v>0.79119804999999999</v>
      </c>
      <c r="C8">
        <v>2.1524812999999998</v>
      </c>
      <c r="D8" s="293">
        <v>17.881902</v>
      </c>
      <c r="E8" s="293">
        <v>47.922269999999997</v>
      </c>
      <c r="F8" s="293">
        <v>119.26938</v>
      </c>
      <c r="G8" s="293"/>
      <c r="H8" s="293"/>
      <c r="I8" s="293"/>
      <c r="J8" s="293"/>
      <c r="K8" s="293"/>
      <c r="L8" s="293"/>
    </row>
    <row r="9" spans="1:14">
      <c r="A9" s="280">
        <v>20</v>
      </c>
      <c r="B9" s="293">
        <v>1.2914511</v>
      </c>
      <c r="C9">
        <v>3.5853510000000002</v>
      </c>
      <c r="D9" s="293">
        <v>29.276669999999999</v>
      </c>
      <c r="E9" s="293">
        <v>78.625001999999995</v>
      </c>
      <c r="F9" s="293">
        <v>198.89642000000001</v>
      </c>
      <c r="G9" s="293"/>
      <c r="H9" s="293"/>
      <c r="I9" s="293"/>
      <c r="J9" s="293"/>
      <c r="K9" s="293"/>
      <c r="L9" s="293"/>
    </row>
    <row r="10" spans="1:14">
      <c r="A10" s="280">
        <v>25</v>
      </c>
      <c r="B10" s="293">
        <v>1.8725259999999999</v>
      </c>
      <c r="C10">
        <v>5.1210000999999998</v>
      </c>
      <c r="D10" s="293">
        <v>41.888305000000003</v>
      </c>
      <c r="E10" s="293">
        <v>113.86475</v>
      </c>
      <c r="F10" s="293">
        <v>293.72726</v>
      </c>
      <c r="G10" s="293"/>
      <c r="H10" s="293"/>
      <c r="I10" s="293"/>
      <c r="J10" s="293"/>
      <c r="K10" s="293"/>
      <c r="L10" s="293"/>
    </row>
    <row r="11" spans="1:14">
      <c r="A11" s="280">
        <v>30</v>
      </c>
      <c r="B11" s="293"/>
      <c r="C11" s="293"/>
      <c r="D11" s="293"/>
      <c r="E11" s="293"/>
      <c r="F11" s="293"/>
      <c r="G11" s="293"/>
      <c r="H11" s="293"/>
      <c r="I11" s="293"/>
      <c r="J11" s="293"/>
      <c r="K11" s="293"/>
      <c r="L11" s="293"/>
    </row>
    <row r="12" spans="1:14">
      <c r="A12" s="280" t="s">
        <v>502</v>
      </c>
      <c r="B12" s="293"/>
      <c r="C12" s="293"/>
      <c r="D12" s="293"/>
      <c r="E12" s="293"/>
      <c r="F12" s="293"/>
      <c r="G12" s="293"/>
      <c r="H12" s="293"/>
      <c r="I12" s="293"/>
      <c r="J12" s="293"/>
      <c r="K12" s="293"/>
      <c r="L12" s="293"/>
    </row>
    <row r="13" spans="1:14">
      <c r="A13" s="280">
        <v>0</v>
      </c>
      <c r="B13" s="281">
        <v>3.0247540000000002E-3</v>
      </c>
      <c r="C13" s="281">
        <v>7.5993731999999996E-3</v>
      </c>
      <c r="D13" s="281">
        <v>4.7434295999999997E-3</v>
      </c>
      <c r="E13" s="281">
        <v>8.7547752000000003E-3</v>
      </c>
      <c r="F13" s="281">
        <v>4.0891260000000002E-3</v>
      </c>
      <c r="H13" s="281">
        <v>3.6209692000000002E-2</v>
      </c>
      <c r="I13" s="281">
        <v>1.7392082</v>
      </c>
      <c r="J13" s="293"/>
      <c r="K13" s="293"/>
      <c r="L13" s="293"/>
    </row>
    <row r="14" spans="1:14">
      <c r="A14" s="280">
        <v>5</v>
      </c>
      <c r="B14" s="293"/>
      <c r="C14" s="293"/>
      <c r="D14" s="293"/>
      <c r="E14" s="293"/>
      <c r="F14" s="293"/>
      <c r="G14" s="293"/>
      <c r="H14" s="293"/>
      <c r="I14" s="293"/>
      <c r="J14" s="293"/>
      <c r="K14" s="293"/>
      <c r="L14" s="293"/>
    </row>
    <row r="15" spans="1:14">
      <c r="A15" s="280">
        <v>10</v>
      </c>
      <c r="B15" s="293"/>
      <c r="C15" s="293"/>
      <c r="D15" s="293"/>
      <c r="E15" s="293"/>
      <c r="F15" s="293"/>
      <c r="G15" s="293"/>
      <c r="H15" s="293"/>
      <c r="I15" s="293"/>
      <c r="J15" s="293"/>
      <c r="K15" s="293"/>
      <c r="L15" s="293"/>
    </row>
    <row r="16" spans="1:14">
      <c r="A16" s="280">
        <v>15</v>
      </c>
      <c r="B16" s="293"/>
      <c r="C16" s="293"/>
      <c r="D16" s="293"/>
      <c r="E16" s="293"/>
      <c r="F16" s="293"/>
      <c r="G16" s="293"/>
      <c r="H16" s="293"/>
      <c r="I16" s="293"/>
      <c r="J16" s="293"/>
      <c r="K16" s="293"/>
      <c r="L16" s="293"/>
    </row>
    <row r="17" spans="1:16">
      <c r="A17" s="280">
        <v>20</v>
      </c>
      <c r="B17" s="293"/>
      <c r="C17" s="293"/>
      <c r="D17" s="293"/>
      <c r="E17" s="293"/>
      <c r="F17" s="293"/>
      <c r="G17" s="293"/>
      <c r="H17" s="293"/>
      <c r="I17" s="293"/>
      <c r="J17" s="293"/>
      <c r="K17" s="293"/>
      <c r="L17" s="293"/>
    </row>
    <row r="18" spans="1:16">
      <c r="A18" s="280">
        <v>25</v>
      </c>
      <c r="B18" s="293"/>
      <c r="C18" s="293"/>
      <c r="D18" s="293"/>
      <c r="E18" s="293"/>
      <c r="F18" s="293"/>
      <c r="G18" s="293"/>
      <c r="H18" s="293"/>
      <c r="I18" s="293"/>
      <c r="J18" s="293"/>
      <c r="K18" s="293"/>
      <c r="L18" s="293"/>
    </row>
    <row r="19" spans="1:16">
      <c r="A19" s="280">
        <v>30</v>
      </c>
      <c r="B19" s="293"/>
      <c r="C19" s="293"/>
      <c r="D19" s="293"/>
      <c r="E19" s="293"/>
      <c r="F19" s="293"/>
      <c r="G19" s="293"/>
      <c r="H19" s="293"/>
      <c r="I19" s="293"/>
      <c r="J19" s="293"/>
      <c r="K19" s="293"/>
      <c r="L19" s="293"/>
    </row>
    <row r="20" spans="1:16">
      <c r="A20" s="280" t="s">
        <v>503</v>
      </c>
      <c r="B20" s="293"/>
      <c r="C20" s="293"/>
      <c r="D20" s="293"/>
      <c r="E20" s="293"/>
      <c r="F20" s="293"/>
      <c r="G20" s="293"/>
      <c r="H20" s="293"/>
      <c r="I20" s="293"/>
      <c r="J20" s="293"/>
      <c r="K20" s="293"/>
      <c r="L20" s="293"/>
    </row>
    <row r="21" spans="1:16">
      <c r="A21" s="280">
        <v>0</v>
      </c>
      <c r="B21" s="293">
        <v>0.29641506000000001</v>
      </c>
      <c r="C21" s="293">
        <v>0.81477829999999996</v>
      </c>
      <c r="D21" s="293">
        <v>6.9074483999999998</v>
      </c>
      <c r="E21" s="293">
        <v>17.254064</v>
      </c>
      <c r="F21" s="293">
        <v>54.863151999999999</v>
      </c>
      <c r="G21" s="293"/>
      <c r="H21" s="293">
        <v>188.40852000000001</v>
      </c>
      <c r="I21" s="293">
        <v>573.49603999999999</v>
      </c>
      <c r="J21" s="293"/>
      <c r="K21" s="293"/>
      <c r="L21" s="293"/>
    </row>
    <row r="22" spans="1:16">
      <c r="A22" s="280">
        <v>5</v>
      </c>
      <c r="B22" s="293">
        <v>0.37801504000000002</v>
      </c>
      <c r="C22" s="293">
        <v>0.98497402000000001</v>
      </c>
      <c r="D22" s="293">
        <v>8.5914915999999995</v>
      </c>
      <c r="E22" s="293">
        <v>21.475949</v>
      </c>
      <c r="F22" s="293">
        <v>63.763761000000002</v>
      </c>
      <c r="G22" s="293"/>
      <c r="H22" s="293"/>
      <c r="I22" s="293"/>
      <c r="J22" s="293"/>
      <c r="K22" s="293"/>
      <c r="L22" s="293"/>
      <c r="N22" t="s">
        <v>530</v>
      </c>
      <c r="O22">
        <f>SQRT(1.4*287.7*O23)</f>
        <v>340.58866686958328</v>
      </c>
      <c r="P22" t="s">
        <v>116</v>
      </c>
    </row>
    <row r="23" spans="1:16">
      <c r="A23" s="280">
        <v>10</v>
      </c>
      <c r="B23" s="293">
        <v>0.48563795999999998</v>
      </c>
      <c r="C23" s="293">
        <v>1.2745839000000001</v>
      </c>
      <c r="D23" s="293">
        <v>10.927485000000001</v>
      </c>
      <c r="E23" s="293">
        <v>27.565342999999999</v>
      </c>
      <c r="F23" s="293">
        <v>77.973401999999993</v>
      </c>
      <c r="G23" s="293"/>
      <c r="H23" s="293"/>
      <c r="I23" s="293"/>
      <c r="J23" s="293"/>
      <c r="K23" s="293"/>
      <c r="L23" s="293"/>
      <c r="N23" t="s">
        <v>531</v>
      </c>
      <c r="O23">
        <v>288</v>
      </c>
      <c r="P23" t="s">
        <v>119</v>
      </c>
    </row>
    <row r="24" spans="1:16">
      <c r="A24" s="280">
        <v>15</v>
      </c>
      <c r="B24" s="293">
        <v>0.64891173999999996</v>
      </c>
      <c r="C24" s="293">
        <v>1.7166106999999999</v>
      </c>
      <c r="D24" s="293">
        <v>14.520640999999999</v>
      </c>
      <c r="E24" s="293">
        <v>37.188338000000002</v>
      </c>
      <c r="F24" s="293">
        <v>101.77215</v>
      </c>
      <c r="G24" s="293"/>
      <c r="H24" s="293"/>
      <c r="I24" s="293"/>
      <c r="J24" s="293"/>
      <c r="K24" s="293"/>
      <c r="L24" s="293"/>
      <c r="N24" t="s">
        <v>535</v>
      </c>
      <c r="O24">
        <f>CrossSecAreaRocket</f>
        <v>5.0265482457436689E-3</v>
      </c>
      <c r="P24" t="s">
        <v>223</v>
      </c>
    </row>
    <row r="25" spans="1:16">
      <c r="A25" s="280">
        <v>20</v>
      </c>
      <c r="B25" s="293">
        <v>0.91188782000000002</v>
      </c>
      <c r="C25" s="293">
        <v>2.4546416999999998</v>
      </c>
      <c r="D25" s="293">
        <v>20.384616999999999</v>
      </c>
      <c r="E25" s="293">
        <v>52.879199</v>
      </c>
      <c r="F25" s="293">
        <v>141.97888</v>
      </c>
      <c r="G25" s="293"/>
      <c r="H25" s="293"/>
      <c r="I25" s="293"/>
      <c r="J25" s="293"/>
      <c r="K25" s="293"/>
      <c r="L25" s="293"/>
      <c r="N25" t="s">
        <v>537</v>
      </c>
      <c r="O25">
        <v>1.224</v>
      </c>
      <c r="P25" t="s">
        <v>316</v>
      </c>
    </row>
    <row r="26" spans="1:16">
      <c r="A26" s="280">
        <v>25</v>
      </c>
      <c r="B26" s="293">
        <v>1.2971326000000001</v>
      </c>
      <c r="C26" s="293">
        <v>3.4645633999999998</v>
      </c>
      <c r="D26" s="293">
        <v>28.749558</v>
      </c>
      <c r="E26" s="293">
        <v>75.871988999999999</v>
      </c>
      <c r="F26" s="293">
        <v>202.97076999999999</v>
      </c>
      <c r="G26" s="293"/>
      <c r="H26" s="293"/>
      <c r="I26" s="293"/>
      <c r="J26" s="293"/>
      <c r="K26" s="293"/>
      <c r="L26" s="293"/>
      <c r="N26" t="s">
        <v>538</v>
      </c>
      <c r="O26">
        <f>'FinAeroDesign 2.0'!B225</f>
        <v>0.8</v>
      </c>
      <c r="P26" t="s">
        <v>197</v>
      </c>
    </row>
    <row r="27" spans="1:16">
      <c r="A27" s="280">
        <v>30</v>
      </c>
      <c r="B27" s="293"/>
      <c r="C27" s="293"/>
      <c r="D27" s="293"/>
      <c r="E27" s="293"/>
      <c r="F27" s="293"/>
      <c r="G27" s="293"/>
      <c r="H27" s="293"/>
      <c r="I27" s="293"/>
      <c r="J27" s="293"/>
      <c r="K27" s="293"/>
      <c r="L27" s="293"/>
    </row>
    <row r="28" spans="1:16">
      <c r="A28" s="280" t="s">
        <v>534</v>
      </c>
    </row>
    <row r="29" spans="1:16">
      <c r="A29" s="280">
        <v>0</v>
      </c>
      <c r="B29" s="294">
        <v>3.9376972E-7</v>
      </c>
      <c r="C29" s="294">
        <v>1.0719754999999999E-6</v>
      </c>
      <c r="D29" s="294">
        <v>3.4923999999999998E-6</v>
      </c>
      <c r="E29" s="294">
        <v>6.2106154000000003E-6</v>
      </c>
      <c r="F29" s="294">
        <v>1.0547894E-5</v>
      </c>
      <c r="G29" s="294">
        <v>1.0547894E-5</v>
      </c>
      <c r="H29" s="294">
        <v>3.5391137000000002E-5</v>
      </c>
      <c r="I29" s="294">
        <v>-4.6915793999999999E-5</v>
      </c>
    </row>
    <row r="30" spans="1:16">
      <c r="A30" s="280">
        <v>5</v>
      </c>
    </row>
    <row r="31" spans="1:16">
      <c r="A31" s="280">
        <v>10</v>
      </c>
    </row>
    <row r="32" spans="1:16">
      <c r="A32" s="280">
        <v>15</v>
      </c>
    </row>
    <row r="33" spans="1:16">
      <c r="A33" s="280">
        <v>20</v>
      </c>
    </row>
    <row r="34" spans="1:16">
      <c r="A34" s="280">
        <v>25</v>
      </c>
    </row>
    <row r="35" spans="1:16">
      <c r="A35" s="280">
        <v>30</v>
      </c>
    </row>
    <row r="36" spans="1:16">
      <c r="A36" s="280" t="s">
        <v>533</v>
      </c>
      <c r="P36">
        <f>42*3</f>
        <v>126</v>
      </c>
    </row>
    <row r="37" spans="1:16">
      <c r="A37" s="280">
        <v>0</v>
      </c>
      <c r="B37" s="281">
        <v>-8.4067850000000004E-4</v>
      </c>
      <c r="C37" s="294">
        <v>-9.9430001999999994E-6</v>
      </c>
      <c r="D37" s="281">
        <v>-2.8579856000000002E-3</v>
      </c>
      <c r="E37" s="281">
        <v>-2.7765043000000001E-3</v>
      </c>
      <c r="F37" s="281">
        <v>-3.5801428E-3</v>
      </c>
      <c r="G37" s="281">
        <v>-3.5801428E-3</v>
      </c>
      <c r="H37" s="281">
        <v>-1.2667222000000001E-2</v>
      </c>
      <c r="I37" s="281">
        <v>1.9839978</v>
      </c>
    </row>
    <row r="38" spans="1:16">
      <c r="A38" s="280">
        <v>5</v>
      </c>
    </row>
    <row r="39" spans="1:16">
      <c r="A39" s="280">
        <v>10</v>
      </c>
    </row>
    <row r="40" spans="1:16">
      <c r="A40" s="280">
        <v>15</v>
      </c>
    </row>
    <row r="41" spans="1:16">
      <c r="A41" s="280">
        <v>20</v>
      </c>
    </row>
    <row r="42" spans="1:16">
      <c r="A42" s="280">
        <v>25</v>
      </c>
    </row>
    <row r="43" spans="1:16">
      <c r="A43" s="280">
        <v>30</v>
      </c>
    </row>
    <row r="44" spans="1:16">
      <c r="A44" s="280" t="s">
        <v>532</v>
      </c>
    </row>
    <row r="45" spans="1:16">
      <c r="A45" s="280">
        <v>0</v>
      </c>
      <c r="B45" s="281">
        <v>-1.254186E-3</v>
      </c>
      <c r="C45" s="281">
        <v>-3.3242160000000001E-3</v>
      </c>
      <c r="D45" s="281">
        <v>-2.7258663000000001E-3</v>
      </c>
      <c r="E45" s="281">
        <v>-5.7863556000000002E-3</v>
      </c>
      <c r="F45" s="281">
        <v>-6.2785508000000002E-3</v>
      </c>
      <c r="H45" s="281">
        <v>2.9580740000000001E-2</v>
      </c>
      <c r="I45" s="281">
        <v>-1.2803529</v>
      </c>
    </row>
    <row r="46" spans="1:16">
      <c r="A46" s="280">
        <v>5</v>
      </c>
    </row>
    <row r="47" spans="1:16">
      <c r="A47" s="280">
        <v>10</v>
      </c>
    </row>
    <row r="48" spans="1:16">
      <c r="A48" s="280">
        <v>15</v>
      </c>
    </row>
    <row r="49" spans="1:12">
      <c r="A49" s="280">
        <v>20</v>
      </c>
    </row>
    <row r="50" spans="1:12">
      <c r="A50" s="280">
        <v>25</v>
      </c>
    </row>
    <row r="51" spans="1:12">
      <c r="A51" s="280">
        <v>30</v>
      </c>
    </row>
    <row r="52" spans="1:12">
      <c r="B52" s="293"/>
      <c r="C52" s="293"/>
      <c r="D52" s="293"/>
      <c r="E52" s="293"/>
      <c r="F52" s="293"/>
      <c r="G52" s="293"/>
      <c r="H52" s="293"/>
      <c r="I52" s="293"/>
      <c r="J52" s="293"/>
      <c r="K52" s="293"/>
      <c r="L52" s="293"/>
    </row>
    <row r="53" spans="1:12" s="298" customFormat="1">
      <c r="A53" s="279" t="s">
        <v>506</v>
      </c>
      <c r="B53" s="297"/>
      <c r="C53" s="297"/>
      <c r="D53" s="297"/>
      <c r="E53" s="297"/>
      <c r="F53" s="297"/>
      <c r="G53" s="297"/>
      <c r="H53" s="297"/>
      <c r="I53" s="297"/>
      <c r="J53" s="297"/>
      <c r="K53" s="297"/>
      <c r="L53" s="297"/>
    </row>
    <row r="54" spans="1:12">
      <c r="A54" s="280" t="s">
        <v>501</v>
      </c>
      <c r="B54" s="347"/>
      <c r="C54" s="347"/>
      <c r="D54" s="347"/>
      <c r="E54" s="347"/>
      <c r="F54" s="347"/>
      <c r="G54" s="347"/>
      <c r="H54" s="347"/>
      <c r="I54" s="347"/>
    </row>
    <row r="55" spans="1:12">
      <c r="A55" s="280">
        <v>0</v>
      </c>
      <c r="B55" s="347">
        <f t="shared" ref="B55:I55" si="2">B5/(B$3*$O$24)</f>
        <v>6.1067907831386086E-4</v>
      </c>
      <c r="C55" s="347">
        <f t="shared" si="2"/>
        <v>8.9000687450521716E-3</v>
      </c>
      <c r="D55" s="347">
        <f t="shared" si="2"/>
        <v>8.1090851007109693E-3</v>
      </c>
      <c r="E55" s="347">
        <f t="shared" si="2"/>
        <v>6.3697029439947466E-3</v>
      </c>
      <c r="F55" s="347">
        <f t="shared" si="2"/>
        <v>4.7397368486932169E-3</v>
      </c>
      <c r="G55" s="347">
        <f t="shared" si="2"/>
        <v>0</v>
      </c>
      <c r="H55" s="347">
        <f t="shared" si="2"/>
        <v>1.4720386841251768E-5</v>
      </c>
      <c r="I55" s="347">
        <f t="shared" si="2"/>
        <v>4.5220920848789391E-3</v>
      </c>
    </row>
    <row r="56" spans="1:12">
      <c r="A56" s="280">
        <v>5</v>
      </c>
      <c r="B56" s="347">
        <f t="shared" ref="B56:I56" si="3">B6/(B$3*$O$24)</f>
        <v>0.15146678445397943</v>
      </c>
      <c r="C56" s="347">
        <f t="shared" si="3"/>
        <v>0.14783825009940876</v>
      </c>
      <c r="D56" s="347">
        <f t="shared" si="3"/>
        <v>0.1431248218745643</v>
      </c>
      <c r="E56" s="347">
        <f t="shared" si="3"/>
        <v>0.13752136840442425</v>
      </c>
      <c r="F56" s="347">
        <f t="shared" si="3"/>
        <v>0.16723407996822282</v>
      </c>
      <c r="G56" s="347">
        <f t="shared" si="3"/>
        <v>0</v>
      </c>
      <c r="H56" s="347">
        <f t="shared" si="3"/>
        <v>0</v>
      </c>
      <c r="I56" s="347">
        <f t="shared" si="3"/>
        <v>0</v>
      </c>
    </row>
    <row r="57" spans="1:12">
      <c r="A57" s="280">
        <v>10</v>
      </c>
      <c r="B57" s="347">
        <f t="shared" ref="B57:I57" si="4">B7/(B$3*$O$24)</f>
        <v>0.33365520496672479</v>
      </c>
      <c r="C57" s="347">
        <f t="shared" si="4"/>
        <v>0.33184097266280393</v>
      </c>
      <c r="D57" s="347">
        <f t="shared" si="4"/>
        <v>0.3052004746097598</v>
      </c>
      <c r="E57" s="347">
        <f t="shared" si="4"/>
        <v>0.29422758102348812</v>
      </c>
      <c r="F57" s="347">
        <f t="shared" si="4"/>
        <v>0.36825273717523765</v>
      </c>
      <c r="G57" s="347">
        <f t="shared" si="4"/>
        <v>0</v>
      </c>
      <c r="H57" s="347">
        <f t="shared" si="4"/>
        <v>0</v>
      </c>
      <c r="I57" s="347">
        <f t="shared" si="4"/>
        <v>0</v>
      </c>
    </row>
    <row r="58" spans="1:12">
      <c r="A58" s="280">
        <v>15</v>
      </c>
      <c r="B58" s="347">
        <f t="shared" ref="B58:I58" si="5">B8/(B$3*$O$24)</f>
        <v>0.61588701053742889</v>
      </c>
      <c r="C58" s="347">
        <f t="shared" si="5"/>
        <v>0.60319498804894478</v>
      </c>
      <c r="D58" s="347">
        <f t="shared" si="5"/>
        <v>0.55678757881181684</v>
      </c>
      <c r="E58" s="347">
        <f t="shared" si="5"/>
        <v>0.53717489819638975</v>
      </c>
      <c r="F58" s="347">
        <f t="shared" si="5"/>
        <v>0.68210497766238698</v>
      </c>
      <c r="G58" s="347">
        <f t="shared" si="5"/>
        <v>0</v>
      </c>
      <c r="H58" s="347">
        <f t="shared" si="5"/>
        <v>0</v>
      </c>
      <c r="I58" s="347">
        <f t="shared" si="5"/>
        <v>0</v>
      </c>
    </row>
    <row r="59" spans="1:12">
      <c r="A59" s="280">
        <v>20</v>
      </c>
      <c r="B59" s="347">
        <f t="shared" ref="B59:I59" si="6">B9/(B$3*$O$24)</f>
        <v>1.0052956490909881</v>
      </c>
      <c r="C59" s="347">
        <f t="shared" si="6"/>
        <v>1.0047314945761772</v>
      </c>
      <c r="D59" s="347">
        <f t="shared" si="6"/>
        <v>0.91158570296227726</v>
      </c>
      <c r="E59" s="347">
        <f t="shared" si="6"/>
        <v>0.8813309020011143</v>
      </c>
      <c r="F59" s="347">
        <f t="shared" si="6"/>
        <v>1.1374942849642442</v>
      </c>
      <c r="G59" s="347">
        <f t="shared" si="6"/>
        <v>0</v>
      </c>
      <c r="H59" s="347">
        <f t="shared" si="6"/>
        <v>0</v>
      </c>
      <c r="I59" s="347">
        <f t="shared" si="6"/>
        <v>0</v>
      </c>
    </row>
    <row r="60" spans="1:12">
      <c r="A60" s="280">
        <v>25</v>
      </c>
      <c r="B60" s="347">
        <f t="shared" ref="B60:I60" si="7">B10/(B$3*$O$24)</f>
        <v>1.4576179002129865</v>
      </c>
      <c r="C60" s="347">
        <f t="shared" si="7"/>
        <v>1.4350701184340813</v>
      </c>
      <c r="D60" s="347">
        <f t="shared" si="7"/>
        <v>1.3042733329754812</v>
      </c>
      <c r="E60" s="347">
        <f t="shared" si="7"/>
        <v>1.2763436600438036</v>
      </c>
      <c r="F60" s="347">
        <f t="shared" si="7"/>
        <v>1.6798345570433428</v>
      </c>
      <c r="G60" s="347">
        <f t="shared" si="7"/>
        <v>0</v>
      </c>
      <c r="H60" s="347">
        <f t="shared" si="7"/>
        <v>0</v>
      </c>
      <c r="I60" s="347">
        <f t="shared" si="7"/>
        <v>0</v>
      </c>
    </row>
    <row r="61" spans="1:12">
      <c r="A61" s="280">
        <v>30</v>
      </c>
      <c r="B61" s="347">
        <f t="shared" ref="B61:I61" si="8">B11/(B$3*$O$24)</f>
        <v>0</v>
      </c>
      <c r="C61" s="347">
        <f t="shared" si="8"/>
        <v>0</v>
      </c>
      <c r="D61" s="347">
        <f t="shared" si="8"/>
        <v>0</v>
      </c>
      <c r="E61" s="347">
        <f t="shared" si="8"/>
        <v>0</v>
      </c>
      <c r="F61" s="347">
        <f t="shared" si="8"/>
        <v>0</v>
      </c>
      <c r="G61" s="347">
        <f t="shared" si="8"/>
        <v>0</v>
      </c>
      <c r="H61" s="347">
        <f t="shared" si="8"/>
        <v>0</v>
      </c>
      <c r="I61" s="347">
        <f t="shared" si="8"/>
        <v>0</v>
      </c>
    </row>
    <row r="62" spans="1:12" s="264" customFormat="1">
      <c r="A62" s="295" t="s">
        <v>675</v>
      </c>
      <c r="B62" s="296">
        <f>(B70-B64)/(RADIANS(A70))</f>
        <v>-35.202057862501682</v>
      </c>
      <c r="C62" s="296">
        <f t="shared" ref="C62:F62" si="9">(C70-C64)/(RADIANS(B70))</f>
        <v>61.87083218672209</v>
      </c>
      <c r="D62" s="296">
        <f t="shared" si="9"/>
        <v>57.464222923080257</v>
      </c>
      <c r="E62" s="296">
        <f t="shared" si="9"/>
        <v>61.830246618482832</v>
      </c>
      <c r="F62" s="296">
        <f>(F70-F64)/(RADIANS(E70))</f>
        <v>82.70317294535603</v>
      </c>
      <c r="G62" s="296"/>
      <c r="H62" s="296"/>
      <c r="I62" s="296"/>
      <c r="J62" s="296"/>
      <c r="K62" s="296"/>
      <c r="L62" s="296"/>
    </row>
    <row r="63" spans="1:12" s="264" customFormat="1">
      <c r="A63" s="295" t="s">
        <v>676</v>
      </c>
      <c r="B63" s="296">
        <f>MEDIAN(B64:B70)</f>
        <v>2.0877255143069968</v>
      </c>
      <c r="C63" s="296">
        <f t="shared" ref="C63:F63" si="10">MEDIAN(C64:C70)</f>
        <v>2.1085158843598295</v>
      </c>
      <c r="D63" s="296">
        <f t="shared" si="10"/>
        <v>1.8572501727109318</v>
      </c>
      <c r="E63" s="296">
        <f t="shared" si="10"/>
        <v>1.7957209213104164</v>
      </c>
      <c r="F63" s="296">
        <f t="shared" si="10"/>
        <v>2.3035041322697998</v>
      </c>
      <c r="G63" s="296"/>
      <c r="H63" s="296"/>
      <c r="I63" s="296"/>
      <c r="J63" s="296"/>
      <c r="K63" s="296"/>
      <c r="L63" s="296"/>
    </row>
    <row r="64" spans="1:12">
      <c r="A64" s="350">
        <v>0</v>
      </c>
      <c r="B64" s="293">
        <f t="shared" ref="B64:I65" si="11">(B56-B55)/(RADIANS($A56-$A55))</f>
        <v>1.7286836303612896</v>
      </c>
      <c r="C64" s="293">
        <f t="shared" si="11"/>
        <v>1.5921142809655722</v>
      </c>
      <c r="D64" s="293">
        <f t="shared" si="11"/>
        <v>1.547166376998212</v>
      </c>
      <c r="E64" s="293">
        <f t="shared" si="11"/>
        <v>1.5028873813988606</v>
      </c>
      <c r="F64" s="293">
        <f t="shared" si="11"/>
        <v>1.8620480110999427</v>
      </c>
      <c r="G64" s="293">
        <f t="shared" si="11"/>
        <v>0</v>
      </c>
      <c r="H64" s="293">
        <f t="shared" si="11"/>
        <v>-1.6868320776072793E-4</v>
      </c>
      <c r="I64" s="293">
        <f t="shared" si="11"/>
        <v>-5.1819358206615693E-2</v>
      </c>
      <c r="J64" s="293"/>
      <c r="K64" s="293"/>
      <c r="L64" s="293"/>
    </row>
    <row r="65" spans="1:12">
      <c r="A65" s="350">
        <v>5</v>
      </c>
      <c r="B65" s="293">
        <f t="shared" si="11"/>
        <v>2.0877255143069968</v>
      </c>
      <c r="C65" s="293">
        <f t="shared" si="11"/>
        <v>2.1085158843598295</v>
      </c>
      <c r="D65" s="293">
        <f t="shared" si="11"/>
        <v>1.8572501727109318</v>
      </c>
      <c r="E65" s="293">
        <f t="shared" si="11"/>
        <v>1.7957209213104164</v>
      </c>
      <c r="F65" s="293">
        <f t="shared" si="11"/>
        <v>2.3035041322697998</v>
      </c>
      <c r="G65" s="293">
        <f t="shared" si="11"/>
        <v>0</v>
      </c>
      <c r="H65" s="293">
        <f t="shared" si="11"/>
        <v>0</v>
      </c>
      <c r="I65" s="293">
        <f t="shared" si="11"/>
        <v>0</v>
      </c>
      <c r="J65" s="293"/>
      <c r="K65" s="293"/>
      <c r="L65" s="293"/>
    </row>
    <row r="66" spans="1:12">
      <c r="A66" s="350">
        <v>10</v>
      </c>
      <c r="B66" s="293">
        <f t="shared" ref="B66:I66" si="12">(B58-B57)/(RADIANS($A58-$A57))</f>
        <v>3.2341382607116365</v>
      </c>
      <c r="C66" s="293">
        <f t="shared" si="12"/>
        <v>3.1094879671107747</v>
      </c>
      <c r="D66" s="293">
        <f t="shared" si="12"/>
        <v>2.8829758501391858</v>
      </c>
      <c r="E66" s="293">
        <f t="shared" si="12"/>
        <v>2.78397118360669</v>
      </c>
      <c r="F66" s="293">
        <f t="shared" si="12"/>
        <v>3.5964817541277192</v>
      </c>
      <c r="G66" s="293">
        <f t="shared" si="12"/>
        <v>0</v>
      </c>
      <c r="H66" s="293">
        <f t="shared" si="12"/>
        <v>0</v>
      </c>
      <c r="I66" s="293">
        <f t="shared" si="12"/>
        <v>0</v>
      </c>
      <c r="J66" s="293"/>
      <c r="K66" s="293"/>
      <c r="L66" s="293"/>
    </row>
    <row r="67" spans="1:12">
      <c r="A67" s="350">
        <v>15</v>
      </c>
      <c r="B67" s="293">
        <f t="shared" ref="B67:I67" si="13">(B59-B58)/(RADIANS($A59-$A58))</f>
        <v>4.4622942990108596</v>
      </c>
      <c r="C67" s="293">
        <f t="shared" si="13"/>
        <v>4.6012694288875293</v>
      </c>
      <c r="D67" s="293">
        <f t="shared" si="13"/>
        <v>4.0656870185959981</v>
      </c>
      <c r="E67" s="293">
        <f t="shared" si="13"/>
        <v>3.9437373024198039</v>
      </c>
      <c r="F67" s="293">
        <f t="shared" si="13"/>
        <v>5.2183770687565003</v>
      </c>
      <c r="G67" s="293">
        <f t="shared" si="13"/>
        <v>0</v>
      </c>
      <c r="H67" s="293">
        <f t="shared" si="13"/>
        <v>0</v>
      </c>
      <c r="I67" s="293">
        <f t="shared" si="13"/>
        <v>0</v>
      </c>
      <c r="J67" s="293"/>
      <c r="K67" s="293"/>
      <c r="L67" s="293"/>
    </row>
    <row r="68" spans="1:12">
      <c r="A68" s="350">
        <v>20</v>
      </c>
      <c r="B68" s="293">
        <f t="shared" ref="B68:I68" si="14">(B60-B59)/(RADIANS($A60-$A59))</f>
        <v>5.1832311938294149</v>
      </c>
      <c r="C68" s="293">
        <f t="shared" si="14"/>
        <v>4.9313173817051483</v>
      </c>
      <c r="D68" s="293">
        <f t="shared" si="14"/>
        <v>4.4998687733502765</v>
      </c>
      <c r="E68" s="293">
        <f t="shared" si="14"/>
        <v>4.5265127779336929</v>
      </c>
      <c r="F68" s="293">
        <f t="shared" si="14"/>
        <v>6.2147617300218227</v>
      </c>
      <c r="G68" s="293">
        <f t="shared" si="14"/>
        <v>0</v>
      </c>
      <c r="H68" s="293">
        <f t="shared" si="14"/>
        <v>0</v>
      </c>
      <c r="I68" s="293">
        <f t="shared" si="14"/>
        <v>0</v>
      </c>
      <c r="J68" s="293"/>
      <c r="K68" s="293"/>
      <c r="L68" s="293"/>
    </row>
    <row r="69" spans="1:12">
      <c r="A69" s="350">
        <v>25</v>
      </c>
      <c r="B69" s="293">
        <f>(B61-B60)/(RADIANS($A61-$A60))</f>
        <v>-16.70307076498506</v>
      </c>
      <c r="C69" s="293">
        <f t="shared" ref="B69:I69" si="15">(C61-C60)/(RADIANS($A61-$A60))</f>
        <v>-16.444692218322412</v>
      </c>
      <c r="D69" s="293">
        <f t="shared" si="15"/>
        <v>-14.945871462191235</v>
      </c>
      <c r="E69" s="293">
        <f t="shared" si="15"/>
        <v>-14.625820985758056</v>
      </c>
      <c r="F69" s="293">
        <f t="shared" si="15"/>
        <v>-19.249486079762338</v>
      </c>
      <c r="G69" s="293">
        <f t="shared" si="15"/>
        <v>0</v>
      </c>
      <c r="H69" s="293">
        <f t="shared" si="15"/>
        <v>0</v>
      </c>
      <c r="I69" s="293">
        <f t="shared" si="15"/>
        <v>0</v>
      </c>
      <c r="J69" s="293"/>
      <c r="K69" s="293"/>
      <c r="L69" s="293"/>
    </row>
    <row r="70" spans="1:12">
      <c r="A70" s="350">
        <v>30</v>
      </c>
      <c r="B70" s="293">
        <f>IF($A70=30,B69,0)</f>
        <v>-16.70307076498506</v>
      </c>
      <c r="C70" s="293">
        <f t="shared" ref="C70:I70" si="16">IF($A70=30,C69,0)</f>
        <v>-16.444692218322412</v>
      </c>
      <c r="D70" s="293">
        <f t="shared" si="16"/>
        <v>-14.945871462191235</v>
      </c>
      <c r="E70" s="293">
        <f t="shared" si="16"/>
        <v>-14.625820985758056</v>
      </c>
      <c r="F70" s="293">
        <f t="shared" si="16"/>
        <v>-19.249486079762338</v>
      </c>
      <c r="G70" s="293">
        <f t="shared" si="16"/>
        <v>0</v>
      </c>
      <c r="H70" s="293">
        <f t="shared" si="16"/>
        <v>0</v>
      </c>
      <c r="I70" s="293">
        <f t="shared" si="16"/>
        <v>0</v>
      </c>
      <c r="J70" s="293"/>
      <c r="K70" s="293"/>
      <c r="L70" s="293"/>
    </row>
    <row r="71" spans="1:12">
      <c r="A71" s="280" t="s">
        <v>679</v>
      </c>
    </row>
    <row r="72" spans="1:12">
      <c r="A72" s="280">
        <v>0</v>
      </c>
      <c r="B72" s="281">
        <f t="shared" ref="B72:I72" si="17">B13/(B$3*$O$24)</f>
        <v>2.3545390419897148E-3</v>
      </c>
      <c r="C72" s="281">
        <f t="shared" si="17"/>
        <v>2.1295905458288866E-3</v>
      </c>
      <c r="D72" s="281">
        <f t="shared" si="17"/>
        <v>1.4769584814010862E-4</v>
      </c>
      <c r="E72" s="281">
        <f t="shared" si="17"/>
        <v>9.813486457950088E-5</v>
      </c>
      <c r="F72" s="281">
        <f t="shared" si="17"/>
        <v>2.3385827937469665E-5</v>
      </c>
      <c r="G72" s="281">
        <f t="shared" si="17"/>
        <v>0</v>
      </c>
      <c r="H72" s="281">
        <f t="shared" si="17"/>
        <v>1.0147128680372731E-4</v>
      </c>
      <c r="I72" s="281">
        <f t="shared" si="17"/>
        <v>2.1661443457807964E-3</v>
      </c>
    </row>
    <row r="73" spans="1:12">
      <c r="A73" s="280">
        <v>5</v>
      </c>
    </row>
    <row r="74" spans="1:12">
      <c r="A74" s="280">
        <v>10</v>
      </c>
    </row>
    <row r="75" spans="1:12">
      <c r="A75" s="280">
        <v>15</v>
      </c>
    </row>
    <row r="76" spans="1:12">
      <c r="A76" s="280">
        <v>20</v>
      </c>
    </row>
    <row r="77" spans="1:12">
      <c r="A77" s="280">
        <v>25</v>
      </c>
    </row>
    <row r="78" spans="1:12">
      <c r="A78" s="280">
        <v>30</v>
      </c>
    </row>
    <row r="79" spans="1:12" s="264" customFormat="1">
      <c r="A79" s="295" t="s">
        <v>677</v>
      </c>
      <c r="B79" s="296">
        <f>(B87-B81)/(RADIANS(A87))</f>
        <v>5.1529971455962699E-2</v>
      </c>
      <c r="C79" s="296"/>
      <c r="D79" s="296"/>
      <c r="E79" s="296"/>
      <c r="F79" s="296"/>
      <c r="G79" s="296"/>
      <c r="H79" s="296"/>
      <c r="I79" s="296"/>
      <c r="J79" s="296"/>
      <c r="K79" s="296"/>
      <c r="L79" s="296"/>
    </row>
    <row r="80" spans="1:12" s="264" customFormat="1">
      <c r="A80" s="295" t="s">
        <v>678</v>
      </c>
      <c r="B80" s="296">
        <f>MEDIAN(B81:B87)</f>
        <v>0</v>
      </c>
      <c r="C80" s="296"/>
      <c r="D80" s="296"/>
      <c r="E80" s="296"/>
      <c r="F80" s="296"/>
      <c r="G80" s="296"/>
      <c r="H80" s="296"/>
      <c r="I80" s="296"/>
      <c r="J80" s="296"/>
      <c r="K80" s="296"/>
      <c r="L80" s="296"/>
    </row>
    <row r="81" spans="1:12">
      <c r="A81" s="350">
        <v>0</v>
      </c>
      <c r="B81" s="293">
        <f t="shared" ref="B81:I82" si="18">(B73-B72)/(RADIANS($A73-$A72))</f>
        <v>-2.6981029960957355E-2</v>
      </c>
      <c r="C81" s="293">
        <f t="shared" si="18"/>
        <v>-2.4403310073391304E-2</v>
      </c>
      <c r="D81" s="293">
        <f t="shared" si="18"/>
        <v>-1.6924697500066707E-3</v>
      </c>
      <c r="E81" s="293">
        <f t="shared" si="18"/>
        <v>-1.1245427126986549E-3</v>
      </c>
      <c r="F81" s="293">
        <f t="shared" si="18"/>
        <v>-2.6798184824722851E-4</v>
      </c>
      <c r="G81" s="293">
        <f t="shared" si="18"/>
        <v>0</v>
      </c>
      <c r="H81" s="293">
        <f t="shared" si="18"/>
        <v>-1.16277529512302E-3</v>
      </c>
      <c r="I81" s="293">
        <f t="shared" si="18"/>
        <v>-2.4822185765873295E-2</v>
      </c>
      <c r="J81" s="293"/>
      <c r="K81" s="293"/>
      <c r="L81" s="293"/>
    </row>
    <row r="82" spans="1:12">
      <c r="A82" s="350">
        <v>5</v>
      </c>
      <c r="B82" s="293">
        <f t="shared" si="18"/>
        <v>0</v>
      </c>
      <c r="C82" s="293">
        <f t="shared" si="18"/>
        <v>0</v>
      </c>
      <c r="D82" s="293">
        <f t="shared" si="18"/>
        <v>0</v>
      </c>
      <c r="E82" s="293">
        <f t="shared" si="18"/>
        <v>0</v>
      </c>
      <c r="F82" s="293">
        <f t="shared" si="18"/>
        <v>0</v>
      </c>
      <c r="G82" s="293">
        <f t="shared" si="18"/>
        <v>0</v>
      </c>
      <c r="H82" s="293">
        <f t="shared" si="18"/>
        <v>0</v>
      </c>
      <c r="I82" s="293">
        <f t="shared" si="18"/>
        <v>0</v>
      </c>
      <c r="J82" s="293"/>
      <c r="K82" s="293"/>
      <c r="L82" s="293"/>
    </row>
    <row r="83" spans="1:12">
      <c r="A83" s="350">
        <v>10</v>
      </c>
      <c r="B83" s="293">
        <f t="shared" ref="B83:I83" si="19">(B75-B74)/(RADIANS($A75-$A74))</f>
        <v>0</v>
      </c>
      <c r="C83" s="293">
        <f t="shared" si="19"/>
        <v>0</v>
      </c>
      <c r="D83" s="293">
        <f t="shared" si="19"/>
        <v>0</v>
      </c>
      <c r="E83" s="293">
        <f t="shared" si="19"/>
        <v>0</v>
      </c>
      <c r="F83" s="293">
        <f t="shared" si="19"/>
        <v>0</v>
      </c>
      <c r="G83" s="293">
        <f t="shared" si="19"/>
        <v>0</v>
      </c>
      <c r="H83" s="293">
        <f t="shared" si="19"/>
        <v>0</v>
      </c>
      <c r="I83" s="293">
        <f t="shared" si="19"/>
        <v>0</v>
      </c>
      <c r="J83" s="293"/>
      <c r="K83" s="293"/>
      <c r="L83" s="293"/>
    </row>
    <row r="84" spans="1:12">
      <c r="A84" s="350">
        <v>15</v>
      </c>
      <c r="B84" s="293">
        <f t="shared" ref="B84:I84" si="20">(B76-B75)/(RADIANS($A76-$A75))</f>
        <v>0</v>
      </c>
      <c r="C84" s="293">
        <f t="shared" si="20"/>
        <v>0</v>
      </c>
      <c r="D84" s="293">
        <f t="shared" si="20"/>
        <v>0</v>
      </c>
      <c r="E84" s="293">
        <f t="shared" si="20"/>
        <v>0</v>
      </c>
      <c r="F84" s="293">
        <f t="shared" si="20"/>
        <v>0</v>
      </c>
      <c r="G84" s="293">
        <f t="shared" si="20"/>
        <v>0</v>
      </c>
      <c r="H84" s="293">
        <f t="shared" si="20"/>
        <v>0</v>
      </c>
      <c r="I84" s="293">
        <f t="shared" si="20"/>
        <v>0</v>
      </c>
      <c r="J84" s="293"/>
      <c r="K84" s="293"/>
      <c r="L84" s="293"/>
    </row>
    <row r="85" spans="1:12">
      <c r="A85" s="350">
        <v>20</v>
      </c>
      <c r="B85" s="293">
        <f t="shared" ref="B85:I85" si="21">(B77-B76)/(RADIANS($A77-$A76))</f>
        <v>0</v>
      </c>
      <c r="C85" s="293">
        <f t="shared" si="21"/>
        <v>0</v>
      </c>
      <c r="D85" s="293">
        <f t="shared" si="21"/>
        <v>0</v>
      </c>
      <c r="E85" s="293">
        <f t="shared" si="21"/>
        <v>0</v>
      </c>
      <c r="F85" s="293">
        <f t="shared" si="21"/>
        <v>0</v>
      </c>
      <c r="G85" s="293">
        <f t="shared" si="21"/>
        <v>0</v>
      </c>
      <c r="H85" s="293">
        <f t="shared" si="21"/>
        <v>0</v>
      </c>
      <c r="I85" s="293">
        <f t="shared" si="21"/>
        <v>0</v>
      </c>
      <c r="J85" s="293"/>
      <c r="K85" s="293"/>
      <c r="L85" s="293"/>
    </row>
    <row r="86" spans="1:12">
      <c r="A86" s="350">
        <v>25</v>
      </c>
      <c r="B86" s="293">
        <f t="shared" ref="B86:I86" si="22">(B78-B77)/(RADIANS($A78-$A77))</f>
        <v>0</v>
      </c>
      <c r="C86" s="293">
        <f t="shared" si="22"/>
        <v>0</v>
      </c>
      <c r="D86" s="293">
        <f t="shared" si="22"/>
        <v>0</v>
      </c>
      <c r="E86" s="293">
        <f t="shared" si="22"/>
        <v>0</v>
      </c>
      <c r="F86" s="293">
        <f t="shared" si="22"/>
        <v>0</v>
      </c>
      <c r="G86" s="293">
        <f t="shared" si="22"/>
        <v>0</v>
      </c>
      <c r="H86" s="293">
        <f t="shared" si="22"/>
        <v>0</v>
      </c>
      <c r="I86" s="293">
        <f t="shared" si="22"/>
        <v>0</v>
      </c>
      <c r="J86" s="293"/>
      <c r="K86" s="293"/>
      <c r="L86" s="293"/>
    </row>
    <row r="87" spans="1:12">
      <c r="A87" s="350">
        <v>30</v>
      </c>
      <c r="B87" s="293">
        <f>IF($A87=30,B86,0)</f>
        <v>0</v>
      </c>
      <c r="C87" s="293">
        <f t="shared" ref="C87" si="23">IF($A87=30,C86,0)</f>
        <v>0</v>
      </c>
      <c r="D87" s="293">
        <f t="shared" ref="D87" si="24">IF($A87=30,D86,0)</f>
        <v>0</v>
      </c>
      <c r="E87" s="293">
        <f t="shared" ref="E87" si="25">IF($A87=30,E86,0)</f>
        <v>0</v>
      </c>
      <c r="F87" s="293">
        <f t="shared" ref="F87" si="26">IF($A87=30,F86,0)</f>
        <v>0</v>
      </c>
      <c r="G87" s="293">
        <f t="shared" ref="G87" si="27">IF($A87=30,G86,0)</f>
        <v>0</v>
      </c>
      <c r="H87" s="293">
        <f t="shared" ref="H87" si="28">IF($A87=30,H86,0)</f>
        <v>0</v>
      </c>
      <c r="I87" s="293">
        <f t="shared" ref="I87" si="29">IF($A87=30,I86,0)</f>
        <v>0</v>
      </c>
      <c r="J87" s="293"/>
      <c r="K87" s="293"/>
      <c r="L87" s="293"/>
    </row>
    <row r="88" spans="1:12">
      <c r="A88" s="280" t="s">
        <v>503</v>
      </c>
    </row>
    <row r="89" spans="1:12">
      <c r="A89" s="280">
        <v>0</v>
      </c>
      <c r="B89" s="281">
        <f t="shared" ref="B89:I89" si="30">B21/(B$3*$O$24)</f>
        <v>0.23073639423362155</v>
      </c>
      <c r="C89" s="281">
        <f t="shared" si="30"/>
        <v>0.22832727370548564</v>
      </c>
      <c r="D89" s="281">
        <f t="shared" si="30"/>
        <v>0.21507675583970642</v>
      </c>
      <c r="E89" s="281">
        <f t="shared" si="30"/>
        <v>0.19340590653727366</v>
      </c>
      <c r="F89" s="281">
        <f t="shared" si="30"/>
        <v>0.31376392724979491</v>
      </c>
      <c r="G89" s="281">
        <f t="shared" si="30"/>
        <v>0</v>
      </c>
      <c r="H89" s="281">
        <f t="shared" si="30"/>
        <v>0.5279817063670631</v>
      </c>
      <c r="I89" s="281">
        <f t="shared" si="30"/>
        <v>0.71427630364994688</v>
      </c>
    </row>
    <row r="90" spans="1:12">
      <c r="A90" s="280">
        <v>5</v>
      </c>
    </row>
    <row r="91" spans="1:12">
      <c r="A91" s="280">
        <v>10</v>
      </c>
    </row>
    <row r="92" spans="1:12">
      <c r="A92" s="280">
        <v>15</v>
      </c>
    </row>
    <row r="93" spans="1:12">
      <c r="A93" s="280">
        <v>20</v>
      </c>
    </row>
    <row r="94" spans="1:12">
      <c r="A94" s="280">
        <v>25</v>
      </c>
    </row>
    <row r="95" spans="1:12">
      <c r="A95" s="280">
        <v>30</v>
      </c>
    </row>
    <row r="96" spans="1:12" s="264" customFormat="1">
      <c r="A96" s="295" t="s">
        <v>677</v>
      </c>
      <c r="B96" s="296">
        <f>(B104-B98)/(RADIANS(A104))</f>
        <v>5.0497526677929745</v>
      </c>
      <c r="C96" s="296"/>
      <c r="D96" s="296"/>
      <c r="E96" s="296"/>
      <c r="F96" s="296"/>
      <c r="G96" s="296"/>
      <c r="H96" s="296"/>
      <c r="I96" s="296"/>
      <c r="J96" s="296"/>
      <c r="K96" s="296"/>
      <c r="L96" s="296"/>
    </row>
    <row r="97" spans="1:12" s="264" customFormat="1">
      <c r="A97" s="295" t="s">
        <v>678</v>
      </c>
      <c r="B97" s="296">
        <f>MEDIAN(B98:B104)</f>
        <v>0</v>
      </c>
      <c r="C97" s="296"/>
      <c r="D97" s="296"/>
      <c r="E97" s="296"/>
      <c r="F97" s="296"/>
      <c r="G97" s="296"/>
      <c r="H97" s="296"/>
      <c r="I97" s="296"/>
      <c r="J97" s="296"/>
      <c r="K97" s="296"/>
      <c r="L97" s="296"/>
    </row>
    <row r="98" spans="1:12">
      <c r="A98" s="350">
        <v>0</v>
      </c>
      <c r="B98" s="293">
        <f t="shared" ref="B98:I99" si="31">(B90-B89)/(RADIANS($A90-$A89))</f>
        <v>-2.6440443139306442</v>
      </c>
      <c r="C98" s="293">
        <f t="shared" si="31"/>
        <v>-2.6164378262105408</v>
      </c>
      <c r="D98" s="293">
        <f t="shared" si="31"/>
        <v>-2.4645980761961721</v>
      </c>
      <c r="E98" s="293">
        <f t="shared" si="31"/>
        <v>-2.2162684354974878</v>
      </c>
      <c r="F98" s="293">
        <f t="shared" si="31"/>
        <v>-3.5954697589726101</v>
      </c>
      <c r="G98" s="293">
        <f t="shared" si="31"/>
        <v>0</v>
      </c>
      <c r="H98" s="293">
        <f t="shared" si="31"/>
        <v>-6.0502246869896439</v>
      </c>
      <c r="I98" s="293">
        <f t="shared" si="31"/>
        <v>-8.1850035210693584</v>
      </c>
      <c r="J98" s="293"/>
      <c r="K98" s="293"/>
      <c r="L98" s="293"/>
    </row>
    <row r="99" spans="1:12">
      <c r="A99" s="350">
        <v>5</v>
      </c>
      <c r="B99" s="293">
        <f t="shared" si="31"/>
        <v>0</v>
      </c>
      <c r="C99" s="293">
        <f t="shared" si="31"/>
        <v>0</v>
      </c>
      <c r="D99" s="293">
        <f t="shared" si="31"/>
        <v>0</v>
      </c>
      <c r="E99" s="293">
        <f t="shared" si="31"/>
        <v>0</v>
      </c>
      <c r="F99" s="293">
        <f t="shared" si="31"/>
        <v>0</v>
      </c>
      <c r="G99" s="293">
        <f t="shared" si="31"/>
        <v>0</v>
      </c>
      <c r="H99" s="293">
        <f t="shared" si="31"/>
        <v>0</v>
      </c>
      <c r="I99" s="293">
        <f t="shared" si="31"/>
        <v>0</v>
      </c>
      <c r="J99" s="293"/>
      <c r="K99" s="293"/>
      <c r="L99" s="293"/>
    </row>
    <row r="100" spans="1:12">
      <c r="A100" s="350">
        <v>10</v>
      </c>
      <c r="B100" s="293">
        <f t="shared" ref="B100:I100" si="32">(B92-B91)/(RADIANS($A92-$A91))</f>
        <v>0</v>
      </c>
      <c r="C100" s="293">
        <f t="shared" si="32"/>
        <v>0</v>
      </c>
      <c r="D100" s="293">
        <f t="shared" si="32"/>
        <v>0</v>
      </c>
      <c r="E100" s="293">
        <f t="shared" si="32"/>
        <v>0</v>
      </c>
      <c r="F100" s="293">
        <f t="shared" si="32"/>
        <v>0</v>
      </c>
      <c r="G100" s="293">
        <f t="shared" si="32"/>
        <v>0</v>
      </c>
      <c r="H100" s="293">
        <f t="shared" si="32"/>
        <v>0</v>
      </c>
      <c r="I100" s="293">
        <f t="shared" si="32"/>
        <v>0</v>
      </c>
      <c r="J100" s="293"/>
      <c r="K100" s="293"/>
      <c r="L100" s="293"/>
    </row>
    <row r="101" spans="1:12">
      <c r="A101" s="350">
        <v>15</v>
      </c>
      <c r="B101" s="293">
        <f t="shared" ref="B101:I101" si="33">(B93-B92)/(RADIANS($A93-$A92))</f>
        <v>0</v>
      </c>
      <c r="C101" s="293">
        <f t="shared" si="33"/>
        <v>0</v>
      </c>
      <c r="D101" s="293">
        <f t="shared" si="33"/>
        <v>0</v>
      </c>
      <c r="E101" s="293">
        <f t="shared" si="33"/>
        <v>0</v>
      </c>
      <c r="F101" s="293">
        <f t="shared" si="33"/>
        <v>0</v>
      </c>
      <c r="G101" s="293">
        <f t="shared" si="33"/>
        <v>0</v>
      </c>
      <c r="H101" s="293">
        <f t="shared" si="33"/>
        <v>0</v>
      </c>
      <c r="I101" s="293">
        <f t="shared" si="33"/>
        <v>0</v>
      </c>
      <c r="J101" s="293"/>
      <c r="K101" s="293"/>
      <c r="L101" s="293"/>
    </row>
    <row r="102" spans="1:12">
      <c r="A102" s="350">
        <v>20</v>
      </c>
      <c r="B102" s="293">
        <f t="shared" ref="B102:I102" si="34">(B94-B93)/(RADIANS($A94-$A93))</f>
        <v>0</v>
      </c>
      <c r="C102" s="293">
        <f t="shared" si="34"/>
        <v>0</v>
      </c>
      <c r="D102" s="293">
        <f t="shared" si="34"/>
        <v>0</v>
      </c>
      <c r="E102" s="293">
        <f t="shared" si="34"/>
        <v>0</v>
      </c>
      <c r="F102" s="293">
        <f t="shared" si="34"/>
        <v>0</v>
      </c>
      <c r="G102" s="293">
        <f t="shared" si="34"/>
        <v>0</v>
      </c>
      <c r="H102" s="293">
        <f t="shared" si="34"/>
        <v>0</v>
      </c>
      <c r="I102" s="293">
        <f t="shared" si="34"/>
        <v>0</v>
      </c>
      <c r="J102" s="293"/>
      <c r="K102" s="293"/>
      <c r="L102" s="293"/>
    </row>
    <row r="103" spans="1:12">
      <c r="A103" s="350">
        <v>25</v>
      </c>
      <c r="B103" s="293">
        <f t="shared" ref="B103:I103" si="35">(B95-B94)/(RADIANS($A95-$A94))</f>
        <v>0</v>
      </c>
      <c r="C103" s="293">
        <f t="shared" si="35"/>
        <v>0</v>
      </c>
      <c r="D103" s="293">
        <f t="shared" si="35"/>
        <v>0</v>
      </c>
      <c r="E103" s="293">
        <f t="shared" si="35"/>
        <v>0</v>
      </c>
      <c r="F103" s="293">
        <f t="shared" si="35"/>
        <v>0</v>
      </c>
      <c r="G103" s="293">
        <f t="shared" si="35"/>
        <v>0</v>
      </c>
      <c r="H103" s="293">
        <f t="shared" si="35"/>
        <v>0</v>
      </c>
      <c r="I103" s="293">
        <f t="shared" si="35"/>
        <v>0</v>
      </c>
      <c r="J103" s="293"/>
      <c r="K103" s="293"/>
      <c r="L103" s="293"/>
    </row>
    <row r="104" spans="1:12">
      <c r="A104" s="350">
        <v>30</v>
      </c>
      <c r="B104" s="293">
        <f>IF($A104=30,B103,0)</f>
        <v>0</v>
      </c>
      <c r="C104" s="293">
        <f t="shared" ref="C104" si="36">IF($A104=30,C103,0)</f>
        <v>0</v>
      </c>
      <c r="D104" s="293">
        <f t="shared" ref="D104" si="37">IF($A104=30,D103,0)</f>
        <v>0</v>
      </c>
      <c r="E104" s="293">
        <f t="shared" ref="E104" si="38">IF($A104=30,E103,0)</f>
        <v>0</v>
      </c>
      <c r="F104" s="293">
        <f t="shared" ref="F104" si="39">IF($A104=30,F103,0)</f>
        <v>0</v>
      </c>
      <c r="G104" s="293">
        <f t="shared" ref="G104" si="40">IF($A104=30,G103,0)</f>
        <v>0</v>
      </c>
      <c r="H104" s="293">
        <f t="shared" ref="H104" si="41">IF($A104=30,H103,0)</f>
        <v>0</v>
      </c>
      <c r="I104" s="293">
        <f t="shared" ref="I104" si="42">IF($A104=30,I103,0)</f>
        <v>0</v>
      </c>
      <c r="J104" s="293"/>
      <c r="K104" s="293"/>
      <c r="L104" s="293"/>
    </row>
    <row r="105" spans="1:12" s="97" customFormat="1" ht="6.75" customHeight="1">
      <c r="A105" s="348"/>
      <c r="B105" s="349"/>
      <c r="C105" s="349"/>
      <c r="D105" s="349"/>
      <c r="E105" s="349"/>
      <c r="F105" s="349"/>
      <c r="G105" s="349"/>
      <c r="H105" s="349"/>
      <c r="I105" s="349"/>
      <c r="J105" s="349"/>
      <c r="K105" s="349"/>
      <c r="L105" s="349"/>
    </row>
    <row r="106" spans="1:12">
      <c r="A106" s="280" t="s">
        <v>539</v>
      </c>
    </row>
    <row r="107" spans="1:12">
      <c r="A107" s="280">
        <v>0</v>
      </c>
      <c r="B107" s="281">
        <f t="shared" ref="B107:I107" si="43">B37/B5</f>
        <v>-1.0716000757111763</v>
      </c>
      <c r="C107" s="281">
        <f t="shared" si="43"/>
        <v>-3.1307069988287007E-4</v>
      </c>
      <c r="D107" s="281">
        <f t="shared" si="43"/>
        <v>-1.0973975994824926E-2</v>
      </c>
      <c r="E107" s="281">
        <f t="shared" si="43"/>
        <v>-4.8860454195801643E-3</v>
      </c>
      <c r="F107" s="281">
        <f t="shared" si="43"/>
        <v>-4.3198471115052503E-3</v>
      </c>
      <c r="H107" s="281">
        <f t="shared" si="43"/>
        <v>-2.4114624068603963</v>
      </c>
      <c r="I107" s="281">
        <f t="shared" si="43"/>
        <v>0.54643386097952507</v>
      </c>
    </row>
    <row r="108" spans="1:12">
      <c r="A108" s="280">
        <v>5</v>
      </c>
    </row>
    <row r="109" spans="1:12">
      <c r="A109" s="280">
        <v>10</v>
      </c>
    </row>
    <row r="110" spans="1:12">
      <c r="A110" s="280">
        <v>15</v>
      </c>
    </row>
    <row r="111" spans="1:12">
      <c r="A111" s="280">
        <v>20</v>
      </c>
    </row>
    <row r="112" spans="1:12">
      <c r="A112" s="280">
        <v>25</v>
      </c>
    </row>
    <row r="113" spans="1:9">
      <c r="A113" s="280">
        <v>30</v>
      </c>
    </row>
    <row r="114" spans="1:9">
      <c r="A114" s="280" t="s">
        <v>540</v>
      </c>
    </row>
    <row r="115" spans="1:9">
      <c r="A115" s="280">
        <v>0</v>
      </c>
      <c r="B115" s="281">
        <f t="shared" ref="B115:I115" si="44">B45/B13</f>
        <v>-0.41464066168686775</v>
      </c>
      <c r="C115" s="281">
        <f t="shared" si="44"/>
        <v>-0.43743291880967239</v>
      </c>
      <c r="D115" s="281">
        <f t="shared" si="44"/>
        <v>-0.57466148543661322</v>
      </c>
      <c r="E115" s="281">
        <f t="shared" si="44"/>
        <v>-0.66093708494079895</v>
      </c>
      <c r="F115" s="281">
        <f t="shared" si="44"/>
        <v>-1.5354261032797718</v>
      </c>
      <c r="H115" s="281">
        <f t="shared" si="44"/>
        <v>0.81692879353958603</v>
      </c>
      <c r="I115" s="281">
        <f t="shared" si="44"/>
        <v>-0.7361699996584653</v>
      </c>
    </row>
    <row r="116" spans="1:9">
      <c r="A116" s="280">
        <v>5</v>
      </c>
    </row>
    <row r="117" spans="1:9">
      <c r="A117" s="280">
        <v>10</v>
      </c>
    </row>
    <row r="118" spans="1:9">
      <c r="A118" s="280">
        <v>15</v>
      </c>
    </row>
    <row r="119" spans="1:9">
      <c r="A119" s="280">
        <v>20</v>
      </c>
    </row>
    <row r="120" spans="1:9">
      <c r="A120" s="280">
        <v>25</v>
      </c>
    </row>
    <row r="121" spans="1:9">
      <c r="A121" s="280">
        <v>30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9"/>
  <sheetViews>
    <sheetView workbookViewId="0">
      <selection activeCell="K14" sqref="K14"/>
    </sheetView>
  </sheetViews>
  <sheetFormatPr defaultRowHeight="14.5"/>
  <cols>
    <col min="1" max="1" width="10.453125" customWidth="1"/>
  </cols>
  <sheetData>
    <row r="1" spans="1:10" ht="42.75" customHeight="1">
      <c r="A1" s="405" t="s">
        <v>541</v>
      </c>
      <c r="B1" s="405"/>
      <c r="C1" s="299">
        <v>0.5</v>
      </c>
      <c r="D1" s="299">
        <v>1</v>
      </c>
      <c r="E1" s="299">
        <v>1.5</v>
      </c>
      <c r="F1" s="299">
        <v>3</v>
      </c>
      <c r="G1" s="299">
        <v>5</v>
      </c>
      <c r="H1" s="300" t="s">
        <v>176</v>
      </c>
      <c r="J1" t="s">
        <v>680</v>
      </c>
    </row>
    <row r="2" spans="1:10">
      <c r="A2" s="264">
        <v>3</v>
      </c>
      <c r="B2" s="264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4">
        <v>5</v>
      </c>
      <c r="B3" s="264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4">
        <v>8</v>
      </c>
      <c r="B4" s="264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05" t="s">
        <v>542</v>
      </c>
      <c r="B6" s="405"/>
      <c r="C6">
        <v>50</v>
      </c>
      <c r="D6">
        <v>100</v>
      </c>
      <c r="E6">
        <v>200</v>
      </c>
      <c r="F6">
        <v>300</v>
      </c>
    </row>
    <row r="7" spans="1:10">
      <c r="A7" s="264">
        <v>3</v>
      </c>
      <c r="B7" s="264">
        <f>A7*2.54</f>
        <v>7.62</v>
      </c>
      <c r="C7" s="299">
        <f>C$6/$B7</f>
        <v>6.5616797900262469</v>
      </c>
      <c r="D7" s="299">
        <f t="shared" ref="D7:F9" si="4">D$6/$B7</f>
        <v>13.123359580052494</v>
      </c>
      <c r="E7" s="299">
        <f t="shared" si="4"/>
        <v>26.246719160104988</v>
      </c>
      <c r="F7" s="299">
        <f t="shared" si="4"/>
        <v>39.370078740157481</v>
      </c>
      <c r="G7" s="406" t="s">
        <v>176</v>
      </c>
    </row>
    <row r="8" spans="1:10">
      <c r="A8" s="264">
        <v>5</v>
      </c>
      <c r="B8" s="264">
        <f t="shared" ref="B8:B9" si="5">A8*2.54</f>
        <v>12.7</v>
      </c>
      <c r="C8" s="299">
        <f>C$6/$B8</f>
        <v>3.9370078740157481</v>
      </c>
      <c r="D8" s="299">
        <f t="shared" si="4"/>
        <v>7.8740157480314963</v>
      </c>
      <c r="E8" s="299">
        <f t="shared" si="4"/>
        <v>15.748031496062993</v>
      </c>
      <c r="F8" s="299">
        <f>F$6/$B8</f>
        <v>23.622047244094489</v>
      </c>
      <c r="G8" s="406"/>
    </row>
    <row r="9" spans="1:10">
      <c r="A9" s="264">
        <v>8</v>
      </c>
      <c r="B9" s="264">
        <f t="shared" si="5"/>
        <v>20.32</v>
      </c>
      <c r="C9" s="299">
        <f t="shared" ref="C9" si="6">C$6/$B9</f>
        <v>2.4606299212598426</v>
      </c>
      <c r="D9" s="299">
        <f t="shared" si="4"/>
        <v>4.9212598425196852</v>
      </c>
      <c r="E9" s="299">
        <f t="shared" si="4"/>
        <v>9.8425196850393704</v>
      </c>
      <c r="F9" s="299">
        <f t="shared" si="4"/>
        <v>14.763779527559056</v>
      </c>
      <c r="G9" s="406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K30"/>
  <sheetViews>
    <sheetView zoomScale="70" zoomScaleNormal="70" workbookViewId="0">
      <selection activeCell="N27" sqref="N27"/>
    </sheetView>
  </sheetViews>
  <sheetFormatPr defaultColWidth="9.08984375" defaultRowHeight="14.5"/>
  <cols>
    <col min="1" max="1" width="30.90625" bestFit="1" customWidth="1"/>
    <col min="3" max="3" width="74" bestFit="1" customWidth="1"/>
    <col min="4" max="4" width="49.36328125" bestFit="1" customWidth="1"/>
  </cols>
  <sheetData>
    <row r="1" spans="1:4">
      <c r="A1" t="s">
        <v>407</v>
      </c>
      <c r="B1" t="s">
        <v>408</v>
      </c>
      <c r="C1">
        <v>18</v>
      </c>
    </row>
    <row r="2" spans="1:4" ht="15" thickBot="1">
      <c r="B2" t="s">
        <v>409</v>
      </c>
      <c r="C2" t="s">
        <v>410</v>
      </c>
      <c r="D2" t="s">
        <v>411</v>
      </c>
    </row>
    <row r="3" spans="1:4">
      <c r="A3" s="192" t="s">
        <v>326</v>
      </c>
      <c r="B3" s="193" t="s">
        <v>412</v>
      </c>
      <c r="C3" s="193" t="s">
        <v>413</v>
      </c>
      <c r="D3" s="194" t="s">
        <v>414</v>
      </c>
    </row>
    <row r="4" spans="1:4" ht="15" thickBot="1">
      <c r="A4" s="195"/>
      <c r="B4" s="196" t="s">
        <v>415</v>
      </c>
      <c r="C4" s="196" t="s">
        <v>416</v>
      </c>
      <c r="D4" s="197" t="s">
        <v>417</v>
      </c>
    </row>
    <row r="5" spans="1:4">
      <c r="A5" s="192"/>
      <c r="B5" s="193" t="s">
        <v>418</v>
      </c>
      <c r="C5" s="193" t="s">
        <v>419</v>
      </c>
      <c r="D5" s="194" t="s">
        <v>420</v>
      </c>
    </row>
    <row r="6" spans="1:4">
      <c r="A6" s="198" t="s">
        <v>421</v>
      </c>
      <c r="B6" t="s">
        <v>422</v>
      </c>
      <c r="C6" t="s">
        <v>423</v>
      </c>
      <c r="D6" s="199" t="s">
        <v>424</v>
      </c>
    </row>
    <row r="7" spans="1:4" ht="15" thickBot="1">
      <c r="A7" s="195"/>
      <c r="B7" s="196" t="s">
        <v>425</v>
      </c>
      <c r="C7" s="196" t="s">
        <v>426</v>
      </c>
      <c r="D7" s="197" t="s">
        <v>427</v>
      </c>
    </row>
    <row r="8" spans="1:4">
      <c r="A8" s="192"/>
      <c r="B8" s="193" t="s">
        <v>428</v>
      </c>
      <c r="C8" s="193" t="s">
        <v>429</v>
      </c>
      <c r="D8" s="194" t="s">
        <v>430</v>
      </c>
    </row>
    <row r="9" spans="1:4">
      <c r="A9" s="198" t="s">
        <v>431</v>
      </c>
      <c r="B9" t="s">
        <v>432</v>
      </c>
      <c r="C9" t="s">
        <v>433</v>
      </c>
      <c r="D9" s="199" t="s">
        <v>434</v>
      </c>
    </row>
    <row r="10" spans="1:4" ht="15" thickBot="1">
      <c r="A10" s="195"/>
      <c r="B10" s="196" t="s">
        <v>435</v>
      </c>
      <c r="C10" s="196" t="s">
        <v>436</v>
      </c>
      <c r="D10" s="197" t="s">
        <v>437</v>
      </c>
    </row>
    <row r="11" spans="1:4">
      <c r="A11" s="192"/>
      <c r="B11" s="193" t="s">
        <v>438</v>
      </c>
      <c r="C11" s="193" t="s">
        <v>439</v>
      </c>
      <c r="D11" s="194" t="s">
        <v>440</v>
      </c>
    </row>
    <row r="12" spans="1:4">
      <c r="A12" s="198" t="s">
        <v>441</v>
      </c>
      <c r="B12" t="s">
        <v>442</v>
      </c>
      <c r="C12" t="s">
        <v>443</v>
      </c>
      <c r="D12" s="199" t="s">
        <v>444</v>
      </c>
    </row>
    <row r="13" spans="1:4" ht="15" thickBot="1">
      <c r="A13" s="195"/>
      <c r="B13" s="196" t="s">
        <v>445</v>
      </c>
      <c r="C13" s="196" t="s">
        <v>446</v>
      </c>
      <c r="D13" s="197" t="s">
        <v>447</v>
      </c>
    </row>
    <row r="14" spans="1:4">
      <c r="A14" s="192"/>
      <c r="B14" s="193" t="s">
        <v>448</v>
      </c>
      <c r="C14" s="193" t="s">
        <v>449</v>
      </c>
      <c r="D14" s="194" t="s">
        <v>450</v>
      </c>
    </row>
    <row r="15" spans="1:4">
      <c r="A15" s="198" t="s">
        <v>451</v>
      </c>
      <c r="B15" t="s">
        <v>452</v>
      </c>
      <c r="C15" t="s">
        <v>453</v>
      </c>
      <c r="D15" s="199" t="s">
        <v>454</v>
      </c>
    </row>
    <row r="16" spans="1:4" ht="15" thickBot="1">
      <c r="A16" s="195"/>
      <c r="B16" s="196" t="s">
        <v>455</v>
      </c>
      <c r="C16" s="196" t="s">
        <v>456</v>
      </c>
      <c r="D16" s="197" t="s">
        <v>457</v>
      </c>
    </row>
    <row r="17" spans="1:11">
      <c r="A17" s="192"/>
      <c r="B17" s="193" t="s">
        <v>458</v>
      </c>
      <c r="C17" s="193" t="s">
        <v>459</v>
      </c>
      <c r="D17" s="194" t="s">
        <v>460</v>
      </c>
      <c r="K17">
        <f>DEGREES(ATAN(1/20))</f>
        <v>2.8624052261117479</v>
      </c>
    </row>
    <row r="18" spans="1:11">
      <c r="A18" s="198" t="s">
        <v>461</v>
      </c>
      <c r="B18" t="s">
        <v>462</v>
      </c>
      <c r="C18" t="s">
        <v>463</v>
      </c>
      <c r="D18" s="199" t="s">
        <v>464</v>
      </c>
    </row>
    <row r="19" spans="1:11" ht="15" thickBot="1">
      <c r="A19" s="195"/>
      <c r="B19" s="196" t="s">
        <v>465</v>
      </c>
      <c r="C19" s="196" t="s">
        <v>466</v>
      </c>
      <c r="D19" s="197" t="s">
        <v>467</v>
      </c>
    </row>
    <row r="20" spans="1:11">
      <c r="A20" s="192"/>
      <c r="B20" s="193" t="s">
        <v>468</v>
      </c>
      <c r="C20" s="193" t="s">
        <v>469</v>
      </c>
      <c r="D20" s="194" t="s">
        <v>470</v>
      </c>
    </row>
    <row r="21" spans="1:11">
      <c r="A21" s="198" t="s">
        <v>471</v>
      </c>
      <c r="B21" t="s">
        <v>472</v>
      </c>
      <c r="C21" t="s">
        <v>473</v>
      </c>
      <c r="D21" s="199" t="s">
        <v>474</v>
      </c>
    </row>
    <row r="22" spans="1:11" ht="15" thickBot="1">
      <c r="A22" s="195"/>
      <c r="B22" s="196" t="s">
        <v>475</v>
      </c>
      <c r="C22" s="196" t="s">
        <v>476</v>
      </c>
      <c r="D22" s="197" t="s">
        <v>477</v>
      </c>
    </row>
    <row r="24" spans="1:11">
      <c r="A24" t="s">
        <v>478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479</v>
      </c>
    </row>
    <row r="28" spans="1:11">
      <c r="A28" t="s">
        <v>480</v>
      </c>
    </row>
    <row r="29" spans="1:11">
      <c r="A29" t="s">
        <v>481</v>
      </c>
    </row>
    <row r="30" spans="1:11">
      <c r="A30" t="s">
        <v>482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7"/>
  <dimension ref="A2:R123"/>
  <sheetViews>
    <sheetView topLeftCell="A50" zoomScale="97" workbookViewId="0">
      <selection activeCell="J138" sqref="J138"/>
    </sheetView>
  </sheetViews>
  <sheetFormatPr defaultColWidth="9.08984375" defaultRowHeight="14.5"/>
  <cols>
    <col min="1" max="1" width="13" customWidth="1"/>
    <col min="2" max="2" width="11.08984375" customWidth="1"/>
  </cols>
  <sheetData>
    <row r="2" spans="1:5" ht="29">
      <c r="A2" s="188" t="s">
        <v>384</v>
      </c>
    </row>
    <row r="4" spans="1:5">
      <c r="A4" s="187" t="s">
        <v>385</v>
      </c>
    </row>
    <row r="5" spans="1:5">
      <c r="B5" s="407"/>
      <c r="C5" s="407"/>
      <c r="D5" s="407"/>
      <c r="E5" s="407"/>
    </row>
    <row r="6" spans="1:5">
      <c r="A6" s="302" t="s">
        <v>386</v>
      </c>
      <c r="B6" s="302">
        <v>1.5</v>
      </c>
      <c r="C6" s="302">
        <v>3</v>
      </c>
      <c r="D6" s="302">
        <v>5</v>
      </c>
      <c r="E6" s="302">
        <v>7</v>
      </c>
    </row>
    <row r="7" spans="1:5">
      <c r="A7" s="302">
        <v>0</v>
      </c>
      <c r="B7" s="302">
        <v>2</v>
      </c>
      <c r="C7" s="302">
        <v>2</v>
      </c>
      <c r="D7" s="302">
        <v>2</v>
      </c>
      <c r="E7" s="302">
        <v>2</v>
      </c>
    </row>
    <row r="8" spans="1:5">
      <c r="A8" s="302">
        <v>0.3</v>
      </c>
      <c r="B8" s="302">
        <v>2.0099999999999998</v>
      </c>
      <c r="C8" s="302">
        <v>2.0099999999999998</v>
      </c>
      <c r="D8" s="302">
        <v>2.0099999999999998</v>
      </c>
      <c r="E8" s="302">
        <v>2.0099999999999998</v>
      </c>
    </row>
    <row r="9" spans="1:5">
      <c r="A9" s="302">
        <v>0.4</v>
      </c>
      <c r="B9" s="302">
        <v>2.02</v>
      </c>
      <c r="C9" s="302">
        <v>2.02</v>
      </c>
      <c r="D9" s="302">
        <v>2.02</v>
      </c>
      <c r="E9" s="302">
        <v>2.02</v>
      </c>
    </row>
    <row r="10" spans="1:5">
      <c r="A10" s="302">
        <v>0.5</v>
      </c>
      <c r="B10" s="302">
        <v>2.0299999999999998</v>
      </c>
      <c r="C10" s="302">
        <v>2.0299999999999998</v>
      </c>
      <c r="D10" s="302">
        <v>2.0299999999999998</v>
      </c>
      <c r="E10" s="302">
        <v>2.0299999999999998</v>
      </c>
    </row>
    <row r="11" spans="1:5">
      <c r="A11" s="302">
        <v>0.6</v>
      </c>
      <c r="B11" s="302">
        <v>2.0499999999999998</v>
      </c>
      <c r="C11" s="302">
        <v>2.0499999999999998</v>
      </c>
      <c r="D11" s="302">
        <v>2.0499999999999998</v>
      </c>
      <c r="E11" s="302">
        <v>2.0499999999999998</v>
      </c>
    </row>
    <row r="12" spans="1:5">
      <c r="A12" s="302">
        <v>0.7</v>
      </c>
      <c r="B12" s="302">
        <v>2.06</v>
      </c>
      <c r="C12" s="302">
        <v>2.06</v>
      </c>
      <c r="D12" s="302">
        <v>2.06</v>
      </c>
      <c r="E12" s="302">
        <v>2.06</v>
      </c>
    </row>
    <row r="13" spans="1:5">
      <c r="A13" s="302">
        <v>0.8</v>
      </c>
      <c r="B13" s="302">
        <v>2.1</v>
      </c>
      <c r="C13" s="302">
        <v>2.1</v>
      </c>
      <c r="D13" s="302">
        <v>2.1</v>
      </c>
      <c r="E13" s="302">
        <v>2.1</v>
      </c>
    </row>
    <row r="14" spans="1:5">
      <c r="A14" s="302">
        <v>0.9</v>
      </c>
      <c r="B14" s="302">
        <v>2.16</v>
      </c>
      <c r="C14" s="302">
        <v>2.16</v>
      </c>
      <c r="D14" s="302">
        <v>2.16</v>
      </c>
      <c r="E14" s="302">
        <v>2.16</v>
      </c>
    </row>
    <row r="15" spans="1:5">
      <c r="A15" s="302">
        <v>1</v>
      </c>
      <c r="B15" s="302">
        <v>2.2999999999999998</v>
      </c>
      <c r="C15" s="302">
        <v>2.2999999999999998</v>
      </c>
      <c r="D15" s="302">
        <v>2.2999999999999998</v>
      </c>
      <c r="E15" s="302">
        <v>2.2999999999999998</v>
      </c>
    </row>
    <row r="16" spans="1:5">
      <c r="A16" s="302">
        <v>1.05</v>
      </c>
      <c r="B16" s="302">
        <v>2.36</v>
      </c>
      <c r="C16" s="302">
        <v>2.36</v>
      </c>
      <c r="D16" s="302">
        <v>2.36</v>
      </c>
      <c r="E16" s="302">
        <v>2.36</v>
      </c>
    </row>
    <row r="17" spans="1:5">
      <c r="A17" s="302">
        <v>1.1000000000000001</v>
      </c>
      <c r="B17" s="302">
        <v>2.4</v>
      </c>
      <c r="C17" s="302">
        <v>2.4</v>
      </c>
      <c r="D17" s="302">
        <v>2.4</v>
      </c>
      <c r="E17" s="302">
        <v>2.4</v>
      </c>
    </row>
    <row r="18" spans="1:5">
      <c r="A18" s="302">
        <v>1.1499999999999999</v>
      </c>
      <c r="B18" s="302">
        <v>2.38</v>
      </c>
      <c r="C18" s="302">
        <v>2.37</v>
      </c>
      <c r="D18" s="302">
        <v>2.37</v>
      </c>
      <c r="E18" s="302">
        <v>2.38</v>
      </c>
    </row>
    <row r="19" spans="1:5">
      <c r="A19" s="302">
        <v>1.2</v>
      </c>
      <c r="B19" s="302">
        <v>2.37</v>
      </c>
      <c r="C19" s="302">
        <v>2.3199999999999998</v>
      </c>
      <c r="D19" s="302">
        <v>2.2999999999999998</v>
      </c>
      <c r="E19" s="302">
        <v>2.2999999999999998</v>
      </c>
    </row>
    <row r="20" spans="1:5">
      <c r="A20" s="302">
        <v>1.3</v>
      </c>
      <c r="B20" s="302">
        <v>2.35</v>
      </c>
      <c r="C20" s="302">
        <v>2.27</v>
      </c>
      <c r="D20" s="302">
        <v>2.21</v>
      </c>
      <c r="E20" s="302">
        <v>2.21</v>
      </c>
    </row>
    <row r="21" spans="1:5">
      <c r="A21" s="302">
        <v>1.4</v>
      </c>
      <c r="B21" s="302">
        <v>2.35</v>
      </c>
      <c r="C21" s="302">
        <v>2.25</v>
      </c>
      <c r="D21" s="302">
        <v>2.16</v>
      </c>
      <c r="E21" s="302">
        <v>2.13</v>
      </c>
    </row>
    <row r="22" spans="1:5">
      <c r="A22" s="302">
        <v>1.5</v>
      </c>
      <c r="B22" s="302">
        <v>2.35</v>
      </c>
      <c r="C22" s="302">
        <v>2.2400000000000002</v>
      </c>
      <c r="D22" s="302">
        <v>2.12</v>
      </c>
      <c r="E22" s="302">
        <v>2.08</v>
      </c>
    </row>
    <row r="23" spans="1:5">
      <c r="A23" s="302">
        <v>1.75</v>
      </c>
      <c r="B23" s="302">
        <v>2.37</v>
      </c>
      <c r="C23" s="302">
        <v>2.2599999999999998</v>
      </c>
      <c r="D23" s="302">
        <v>2.08</v>
      </c>
      <c r="E23" s="302">
        <v>2.0299999999999998</v>
      </c>
    </row>
    <row r="24" spans="1:5">
      <c r="A24" s="302">
        <v>2</v>
      </c>
      <c r="B24" s="302">
        <v>2.4</v>
      </c>
      <c r="C24" s="302">
        <v>2.31</v>
      </c>
      <c r="D24" s="302">
        <v>2.08</v>
      </c>
      <c r="E24" s="302">
        <v>2.0099999999999998</v>
      </c>
    </row>
    <row r="25" spans="1:5">
      <c r="A25" s="302">
        <v>2.25</v>
      </c>
      <c r="B25" s="302">
        <v>2.42</v>
      </c>
      <c r="C25" s="302">
        <v>2.36</v>
      </c>
      <c r="D25" s="302">
        <v>2.12</v>
      </c>
      <c r="E25" s="302">
        <v>2.0299999999999998</v>
      </c>
    </row>
    <row r="26" spans="1:5">
      <c r="A26" s="302">
        <v>2.5</v>
      </c>
      <c r="B26" s="302">
        <v>2.4500000000000002</v>
      </c>
      <c r="C26" s="302">
        <v>2.4</v>
      </c>
      <c r="D26" s="302">
        <v>2.15</v>
      </c>
      <c r="E26" s="302">
        <v>2.06</v>
      </c>
    </row>
    <row r="27" spans="1:5">
      <c r="A27" s="302">
        <v>3</v>
      </c>
      <c r="B27" s="302">
        <v>2.48</v>
      </c>
      <c r="C27" s="302">
        <v>2.4900000000000002</v>
      </c>
      <c r="D27" s="302">
        <v>2.2200000000000002</v>
      </c>
      <c r="E27" s="302">
        <v>2.1</v>
      </c>
    </row>
    <row r="28" spans="1:5">
      <c r="A28" s="302">
        <v>3.5</v>
      </c>
      <c r="B28" s="302">
        <v>2.5099999999999998</v>
      </c>
      <c r="C28" s="302">
        <v>2.57</v>
      </c>
      <c r="D28" s="302">
        <v>2.2799999999999998</v>
      </c>
      <c r="E28" s="302">
        <v>2.14</v>
      </c>
    </row>
    <row r="29" spans="1:5">
      <c r="A29" s="302">
        <v>4</v>
      </c>
      <c r="B29" s="302">
        <v>2.5299999999999998</v>
      </c>
      <c r="C29" s="302">
        <v>2.63</v>
      </c>
      <c r="D29" s="302">
        <v>2.34</v>
      </c>
      <c r="E29" s="302">
        <v>2.1800000000000002</v>
      </c>
    </row>
    <row r="30" spans="1:5">
      <c r="A30" s="302">
        <v>4.5</v>
      </c>
      <c r="B30" s="302">
        <v>2.56</v>
      </c>
      <c r="C30" s="302">
        <v>2.67</v>
      </c>
      <c r="D30" s="302">
        <v>2.39</v>
      </c>
      <c r="E30" s="302">
        <v>2.21</v>
      </c>
    </row>
    <row r="31" spans="1:5">
      <c r="A31" s="302">
        <v>5</v>
      </c>
      <c r="B31" s="302">
        <v>2.57</v>
      </c>
      <c r="C31" s="302">
        <v>2.7</v>
      </c>
      <c r="D31" s="302">
        <v>2.4300000000000002</v>
      </c>
      <c r="E31" s="302">
        <v>2.2400000000000002</v>
      </c>
    </row>
    <row r="33" spans="1:7">
      <c r="A33" s="303" t="s">
        <v>551</v>
      </c>
      <c r="B33" s="302"/>
      <c r="C33" s="302"/>
      <c r="D33" s="302"/>
      <c r="E33" s="302"/>
      <c r="F33" s="302"/>
      <c r="G33" s="302"/>
    </row>
    <row r="34" spans="1:7">
      <c r="A34" s="302"/>
      <c r="B34" s="302" t="s">
        <v>387</v>
      </c>
      <c r="C34" s="302"/>
      <c r="D34" s="302"/>
      <c r="E34" s="302"/>
      <c r="F34" s="302"/>
      <c r="G34" s="302"/>
    </row>
    <row r="35" spans="1:7">
      <c r="A35" s="302" t="s">
        <v>386</v>
      </c>
      <c r="B35" s="302">
        <v>1.5</v>
      </c>
      <c r="C35" s="302">
        <v>2</v>
      </c>
      <c r="D35" s="302">
        <v>3</v>
      </c>
      <c r="E35" s="302">
        <v>5</v>
      </c>
      <c r="F35" s="302">
        <v>6</v>
      </c>
      <c r="G35" s="302">
        <v>7</v>
      </c>
    </row>
    <row r="36" spans="1:7">
      <c r="A36" s="302">
        <v>0</v>
      </c>
      <c r="B36" s="302">
        <v>0.46600000000000003</v>
      </c>
      <c r="C36" s="302">
        <v>0.46600000000000003</v>
      </c>
      <c r="D36" s="302">
        <v>0.46600000000000003</v>
      </c>
      <c r="E36" s="302">
        <v>0.46600000000000003</v>
      </c>
      <c r="F36" s="302">
        <v>0.46600000000000003</v>
      </c>
      <c r="G36" s="302">
        <v>0.46600000000000003</v>
      </c>
    </row>
    <row r="37" spans="1:7">
      <c r="A37" s="302">
        <v>1</v>
      </c>
      <c r="B37" s="302">
        <v>0.46600000000000003</v>
      </c>
      <c r="C37" s="302">
        <v>0.46600000000000003</v>
      </c>
      <c r="D37" s="302">
        <v>0.46600000000000003</v>
      </c>
      <c r="E37" s="302">
        <v>0.46600000000000003</v>
      </c>
      <c r="F37" s="302">
        <v>0.46600000000000003</v>
      </c>
      <c r="G37" s="302">
        <v>0.46600000000000003</v>
      </c>
    </row>
    <row r="38" spans="1:7">
      <c r="A38" s="302">
        <v>2</v>
      </c>
      <c r="B38" s="302">
        <v>0.75</v>
      </c>
      <c r="C38" s="302">
        <v>1.02</v>
      </c>
      <c r="D38" s="302">
        <v>1.59</v>
      </c>
      <c r="E38" s="302">
        <v>2.1</v>
      </c>
      <c r="F38" s="302">
        <v>3.02</v>
      </c>
      <c r="G38" s="302">
        <v>3.35</v>
      </c>
    </row>
    <row r="39" spans="1:7">
      <c r="A39" s="302">
        <v>3</v>
      </c>
      <c r="B39" s="302">
        <v>0.93</v>
      </c>
      <c r="C39" s="302">
        <v>1.25</v>
      </c>
      <c r="D39" s="302">
        <v>1.84</v>
      </c>
      <c r="E39" s="302">
        <v>2.4</v>
      </c>
      <c r="F39" s="302">
        <v>3.23</v>
      </c>
      <c r="G39" s="302">
        <v>3.43</v>
      </c>
    </row>
    <row r="40" spans="1:7">
      <c r="A40" s="302">
        <v>4</v>
      </c>
      <c r="B40" s="302">
        <v>1.2</v>
      </c>
      <c r="C40" s="302">
        <v>1.52</v>
      </c>
      <c r="D40" s="302">
        <v>2.08</v>
      </c>
      <c r="E40" s="302">
        <v>2.6</v>
      </c>
      <c r="F40" s="302">
        <v>3.43</v>
      </c>
      <c r="G40" s="302">
        <v>3.74</v>
      </c>
    </row>
    <row r="41" spans="1:7">
      <c r="A41" s="302">
        <v>5</v>
      </c>
      <c r="B41" s="302">
        <v>1.35</v>
      </c>
      <c r="C41" s="302">
        <v>1.62</v>
      </c>
      <c r="D41" s="302">
        <v>2.12</v>
      </c>
      <c r="E41" s="302">
        <v>2.6</v>
      </c>
      <c r="F41" s="302">
        <v>3.43</v>
      </c>
      <c r="G41" s="302">
        <v>3.74</v>
      </c>
    </row>
    <row r="43" spans="1:7">
      <c r="A43" t="s">
        <v>543</v>
      </c>
      <c r="B43">
        <f>B35</f>
        <v>1.5</v>
      </c>
      <c r="C43" t="s">
        <v>388</v>
      </c>
      <c r="D43" t="s">
        <v>545</v>
      </c>
    </row>
    <row r="44" spans="1:7">
      <c r="A44" s="301" t="s">
        <v>544</v>
      </c>
      <c r="B44" s="301">
        <f>1.5*B45</f>
        <v>12</v>
      </c>
      <c r="C44" s="301" t="s">
        <v>196</v>
      </c>
      <c r="D44" t="s">
        <v>546</v>
      </c>
      <c r="E44">
        <f>B45*10</f>
        <v>80</v>
      </c>
      <c r="F44" t="s">
        <v>196</v>
      </c>
    </row>
    <row r="45" spans="1:7">
      <c r="A45" s="301" t="s">
        <v>548</v>
      </c>
      <c r="B45" s="301">
        <v>8</v>
      </c>
      <c r="C45" s="301" t="s">
        <v>196</v>
      </c>
      <c r="D45" t="s">
        <v>547</v>
      </c>
    </row>
    <row r="48" spans="1:7" ht="29">
      <c r="A48" s="188" t="s">
        <v>389</v>
      </c>
    </row>
    <row r="56" spans="1:4">
      <c r="A56" s="302" t="s">
        <v>390</v>
      </c>
      <c r="B56" s="302"/>
      <c r="C56" s="302"/>
      <c r="D56" s="302"/>
    </row>
    <row r="57" spans="1:4">
      <c r="A57" s="302" t="s">
        <v>84</v>
      </c>
      <c r="B57" s="302" t="s">
        <v>391</v>
      </c>
      <c r="C57" s="302" t="s">
        <v>392</v>
      </c>
      <c r="D57" s="302" t="s">
        <v>560</v>
      </c>
    </row>
    <row r="58" spans="1:4">
      <c r="A58" s="302">
        <v>0</v>
      </c>
      <c r="B58" s="302">
        <v>0</v>
      </c>
      <c r="C58" s="304">
        <v>1E-3</v>
      </c>
      <c r="D58" s="305">
        <f>(C58-C58)/C58</f>
        <v>0</v>
      </c>
    </row>
    <row r="59" spans="1:4">
      <c r="A59" s="302">
        <v>5</v>
      </c>
      <c r="B59" s="302">
        <v>5.0000000000000001E-3</v>
      </c>
      <c r="C59" s="304">
        <f t="shared" ref="C59:C64" si="0">(B59-B58)/(A59)</f>
        <v>1E-3</v>
      </c>
      <c r="D59" s="305">
        <f>(C59-C58)/C58</f>
        <v>0</v>
      </c>
    </row>
    <row r="60" spans="1:4">
      <c r="A60" s="302">
        <v>10</v>
      </c>
      <c r="B60" s="302">
        <v>1.4999999999999999E-2</v>
      </c>
      <c r="C60" s="304">
        <f t="shared" si="0"/>
        <v>9.999999999999998E-4</v>
      </c>
      <c r="D60" s="305">
        <f t="shared" ref="D60:D64" si="1">(C60-C59)/C59</f>
        <v>-2.1684043449710089E-16</v>
      </c>
    </row>
    <row r="61" spans="1:4">
      <c r="A61" s="302">
        <v>15</v>
      </c>
      <c r="B61" s="302">
        <v>3.5000000000000003E-2</v>
      </c>
      <c r="C61" s="304">
        <f t="shared" si="0"/>
        <v>1.3333333333333335E-3</v>
      </c>
      <c r="D61" s="305">
        <f>(C61-C60)/C60</f>
        <v>0.33333333333333376</v>
      </c>
    </row>
    <row r="62" spans="1:4">
      <c r="A62" s="302">
        <v>20</v>
      </c>
      <c r="B62" s="302">
        <v>6.5000000000000002E-2</v>
      </c>
      <c r="C62" s="304">
        <f t="shared" si="0"/>
        <v>1.5E-3</v>
      </c>
      <c r="D62" s="305">
        <f t="shared" si="1"/>
        <v>0.12499999999999988</v>
      </c>
    </row>
    <row r="63" spans="1:4">
      <c r="A63" s="302">
        <v>25</v>
      </c>
      <c r="B63" s="302">
        <v>0.11</v>
      </c>
      <c r="C63" s="304">
        <f t="shared" si="0"/>
        <v>1.8E-3</v>
      </c>
      <c r="D63" s="305">
        <f t="shared" si="1"/>
        <v>0.19999999999999996</v>
      </c>
    </row>
    <row r="64" spans="1:4">
      <c r="A64" s="302">
        <v>30</v>
      </c>
      <c r="B64" s="302">
        <v>0.17499999999999999</v>
      </c>
      <c r="C64" s="304">
        <f t="shared" si="0"/>
        <v>2.1666666666666661E-3</v>
      </c>
      <c r="D64" s="305">
        <f t="shared" si="1"/>
        <v>0.20370370370370344</v>
      </c>
    </row>
    <row r="65" spans="1:14">
      <c r="A65" s="302"/>
      <c r="B65" s="302" t="s">
        <v>393</v>
      </c>
      <c r="C65" s="304">
        <f>AVERAGE(C58:C64)</f>
        <v>1.3999999999999998E-3</v>
      </c>
      <c r="D65" s="302"/>
    </row>
    <row r="67" spans="1:14">
      <c r="A67" s="302" t="s">
        <v>394</v>
      </c>
      <c r="B67" s="302"/>
    </row>
    <row r="68" spans="1:14">
      <c r="A68" s="302" t="s">
        <v>395</v>
      </c>
      <c r="B68" s="302" t="s">
        <v>396</v>
      </c>
    </row>
    <row r="69" spans="1:14">
      <c r="A69" s="302">
        <v>0</v>
      </c>
      <c r="B69" s="302">
        <v>6.3E-2</v>
      </c>
    </row>
    <row r="70" spans="1:14">
      <c r="A70" s="302">
        <v>0.5</v>
      </c>
      <c r="B70" s="302">
        <v>6.8000000000000005E-2</v>
      </c>
    </row>
    <row r="71" spans="1:14">
      <c r="A71" s="302">
        <v>0.7</v>
      </c>
      <c r="B71" s="302">
        <v>6.9000000000000006E-2</v>
      </c>
      <c r="M71" t="s">
        <v>575</v>
      </c>
      <c r="N71">
        <v>0.85</v>
      </c>
    </row>
    <row r="72" spans="1:14">
      <c r="A72" s="302">
        <v>0.8</v>
      </c>
      <c r="B72" s="302">
        <v>6.9000000000000006E-2</v>
      </c>
      <c r="M72" t="s">
        <v>392</v>
      </c>
      <c r="N72">
        <f>VLOOKUP(N71,A69:B81,2,TRUE)</f>
        <v>6.9000000000000006E-2</v>
      </c>
    </row>
    <row r="73" spans="1:14">
      <c r="A73" s="302">
        <v>0.9</v>
      </c>
      <c r="B73" s="302">
        <v>6.7000000000000004E-2</v>
      </c>
    </row>
    <row r="74" spans="1:14">
      <c r="A74" s="302">
        <v>1</v>
      </c>
      <c r="B74" s="302">
        <v>6.6000000000000003E-2</v>
      </c>
    </row>
    <row r="75" spans="1:14">
      <c r="A75" s="302">
        <v>1.2</v>
      </c>
      <c r="B75" s="302">
        <v>6.3E-2</v>
      </c>
    </row>
    <row r="76" spans="1:14">
      <c r="A76" s="302">
        <v>1.5</v>
      </c>
      <c r="B76" s="302">
        <v>5.7000000000000002E-2</v>
      </c>
    </row>
    <row r="77" spans="1:14">
      <c r="A77" s="302">
        <v>2</v>
      </c>
      <c r="B77" s="302">
        <v>0.06</v>
      </c>
    </row>
    <row r="78" spans="1:14">
      <c r="A78" s="302">
        <v>2.5</v>
      </c>
      <c r="B78" s="302">
        <v>6.6000000000000003E-2</v>
      </c>
    </row>
    <row r="79" spans="1:14">
      <c r="A79" s="302">
        <v>3</v>
      </c>
      <c r="B79" s="302">
        <v>7.6999999999999999E-2</v>
      </c>
    </row>
    <row r="80" spans="1:14">
      <c r="A80" s="302">
        <v>3.5</v>
      </c>
      <c r="B80" s="302">
        <v>9.1999999999999998E-2</v>
      </c>
    </row>
    <row r="81" spans="1:4">
      <c r="A81" s="302">
        <v>4</v>
      </c>
      <c r="B81" s="302">
        <v>0.115</v>
      </c>
    </row>
    <row r="83" spans="1:4">
      <c r="A83" t="s">
        <v>397</v>
      </c>
      <c r="B83" t="s">
        <v>398</v>
      </c>
    </row>
    <row r="85" spans="1:4">
      <c r="D85" t="s">
        <v>549</v>
      </c>
    </row>
    <row r="87" spans="1:4">
      <c r="A87" t="s">
        <v>399</v>
      </c>
      <c r="B87" t="s">
        <v>400</v>
      </c>
    </row>
    <row r="88" spans="1:4">
      <c r="A88" t="s">
        <v>401</v>
      </c>
      <c r="B88" t="s">
        <v>402</v>
      </c>
    </row>
    <row r="89" spans="1:4">
      <c r="A89" t="s">
        <v>403</v>
      </c>
      <c r="B89" t="s">
        <v>404</v>
      </c>
    </row>
    <row r="90" spans="1:4">
      <c r="A90" t="s">
        <v>405</v>
      </c>
      <c r="B90" t="s">
        <v>406</v>
      </c>
    </row>
    <row r="98" spans="1:10">
      <c r="A98" t="s">
        <v>550</v>
      </c>
    </row>
    <row r="103" spans="1:10">
      <c r="A103" t="s">
        <v>552</v>
      </c>
    </row>
    <row r="105" spans="1:10">
      <c r="I105" t="s">
        <v>553</v>
      </c>
    </row>
    <row r="111" spans="1:10">
      <c r="J111" t="s">
        <v>554</v>
      </c>
    </row>
    <row r="112" spans="1:10">
      <c r="J112" t="s">
        <v>555</v>
      </c>
    </row>
    <row r="114" spans="1:18">
      <c r="J114" t="s">
        <v>556</v>
      </c>
    </row>
    <row r="115" spans="1:18">
      <c r="J115" t="s">
        <v>557</v>
      </c>
    </row>
    <row r="117" spans="1:18">
      <c r="R117" t="s">
        <v>559</v>
      </c>
    </row>
    <row r="123" spans="1:18">
      <c r="A123" t="s">
        <v>558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2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3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/>
  <dimension ref="A1"/>
  <sheetViews>
    <sheetView workbookViewId="0">
      <selection activeCell="K28" sqref="K28"/>
    </sheetView>
  </sheetViews>
  <sheetFormatPr defaultColWidth="9.08984375" defaultRowHeight="14.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5"/>
  <dimension ref="A1"/>
  <sheetViews>
    <sheetView workbookViewId="0">
      <selection activeCell="O22" sqref="O22"/>
    </sheetView>
  </sheetViews>
  <sheetFormatPr defaultColWidth="9.08984375" defaultRowHeight="14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3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11</vt:i4>
      </vt:variant>
    </vt:vector>
  </HeadingPairs>
  <TitlesOfParts>
    <vt:vector size="25" baseType="lpstr">
      <vt:lpstr>Manual rev.1</vt:lpstr>
      <vt:lpstr>Statistics</vt:lpstr>
      <vt:lpstr>Geometry</vt:lpstr>
      <vt:lpstr>Forces balance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JUAN LEONARDO VALADEZ ORTIZ</cp:lastModifiedBy>
  <cp:revision/>
  <dcterms:created xsi:type="dcterms:W3CDTF">2024-07-02T19:27:32Z</dcterms:created>
  <dcterms:modified xsi:type="dcterms:W3CDTF">2025-08-15T04:41:55Z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