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ustomProperty5.bin" ContentType="application/vnd.openxmlformats-officedocument.spreadsheetml.customProperty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ustomProperty6.bin" ContentType="application/vnd.openxmlformats-officedocument.spreadsheetml.customProperty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BCF1F870-B056-4E97-A8B4-DC19E188B126}" xr6:coauthVersionLast="47" xr6:coauthVersionMax="47" xr10:uidLastSave="{00000000-0000-0000-0000-000000000000}"/>
  <bookViews>
    <workbookView xWindow="-110" yWindow="-110" windowWidth="19420" windowHeight="11500" tabRatio="864" firstSheet="1" activeTab="6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RocketAeroDesign 3.0 " sheetId="24" r:id="rId6"/>
    <sheet name="FBAeroDesign" sheetId="23" r:id="rId7"/>
    <sheet name="RocketData" sheetId="14" r:id="rId8"/>
    <sheet name="CFD fins" sheetId="22" r:id="rId9"/>
    <sheet name="CFD forebody" sheetId="9" r:id="rId10"/>
    <sheet name="Future CFD forebody" sheetId="21" r:id="rId11"/>
    <sheet name="Stability" sheetId="19" r:id="rId12"/>
    <sheet name="CFD fuselage" sheetId="10" state="hidden" r:id="rId13"/>
    <sheet name="CFD boat-tail" sheetId="11" state="hidden" r:id="rId14"/>
    <sheet name="CFD rocket" sheetId="12" state="hidden" r:id="rId15"/>
    <sheet name="OpenRocket" sheetId="6" state="hidden" r:id="rId16"/>
  </sheets>
  <definedNames>
    <definedName name="_xlnm._FilterDatabase" localSheetId="1" hidden="1">Statistics!$A$1:$E$8</definedName>
    <definedName name="Airflow" localSheetId="6">FBAeroDesign!$B$2</definedName>
    <definedName name="Airflow" localSheetId="5">'RocketAeroDesign 3.0 '!$B$2</definedName>
    <definedName name="Airflow">'FinAeroDesign 2.0'!$B$2</definedName>
    <definedName name="AoAfins" localSheetId="6">FBAeroDesign!$B$11</definedName>
    <definedName name="AoAfins" localSheetId="5">'RocketAeroDesign 3.0 '!$B$9</definedName>
    <definedName name="AoAfins">'FinAeroDesign 2.0'!$B$9</definedName>
    <definedName name="AoSfins" localSheetId="6">FBAeroDesign!$B$12</definedName>
    <definedName name="AoSfins" localSheetId="5">'RocketAeroDesign 3.0 '!$B$10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8" i="23" l="1"/>
  <c r="G78" i="23"/>
  <c r="F78" i="23"/>
  <c r="E78" i="23"/>
  <c r="D78" i="23"/>
  <c r="C78" i="23"/>
  <c r="H53" i="23"/>
  <c r="G53" i="23"/>
  <c r="F53" i="23"/>
  <c r="E53" i="23"/>
  <c r="D53" i="23"/>
  <c r="C53" i="23"/>
  <c r="H47" i="23"/>
  <c r="G47" i="23"/>
  <c r="F47" i="23"/>
  <c r="E47" i="23"/>
  <c r="D47" i="23"/>
  <c r="C47" i="23"/>
  <c r="H45" i="23"/>
  <c r="H98" i="23" s="1"/>
  <c r="G45" i="23"/>
  <c r="G96" i="23" s="1"/>
  <c r="F45" i="23"/>
  <c r="F96" i="23" s="1"/>
  <c r="E45" i="23"/>
  <c r="E96" i="23" s="1"/>
  <c r="D45" i="23"/>
  <c r="D46" i="23" s="1"/>
  <c r="D56" i="23" s="1"/>
  <c r="C45" i="23"/>
  <c r="C46" i="23" s="1"/>
  <c r="C56" i="23" s="1"/>
  <c r="H44" i="23"/>
  <c r="G44" i="23"/>
  <c r="F44" i="23"/>
  <c r="E44" i="23"/>
  <c r="D44" i="23"/>
  <c r="C44" i="23"/>
  <c r="H42" i="23"/>
  <c r="G42" i="23"/>
  <c r="F42" i="23"/>
  <c r="E42" i="23"/>
  <c r="D42" i="23"/>
  <c r="C42" i="23"/>
  <c r="H40" i="23"/>
  <c r="G40" i="23"/>
  <c r="F40" i="23"/>
  <c r="E40" i="23"/>
  <c r="D40" i="23"/>
  <c r="C40" i="23"/>
  <c r="H37" i="23"/>
  <c r="G37" i="23"/>
  <c r="F37" i="23"/>
  <c r="E37" i="23"/>
  <c r="D37" i="23"/>
  <c r="C37" i="23"/>
  <c r="H34" i="23"/>
  <c r="H38" i="23" s="1"/>
  <c r="G34" i="23"/>
  <c r="G38" i="23" s="1"/>
  <c r="F34" i="23"/>
  <c r="F38" i="23" s="1"/>
  <c r="E34" i="23"/>
  <c r="E35" i="23" s="1"/>
  <c r="D34" i="23"/>
  <c r="D35" i="23" s="1"/>
  <c r="C34" i="23"/>
  <c r="C35" i="23" s="1"/>
  <c r="H31" i="23"/>
  <c r="G31" i="23"/>
  <c r="F31" i="23"/>
  <c r="E31" i="23"/>
  <c r="D31" i="23"/>
  <c r="C31" i="23"/>
  <c r="G20" i="23"/>
  <c r="F20" i="23"/>
  <c r="H18" i="23"/>
  <c r="H19" i="23" s="1"/>
  <c r="G18" i="23"/>
  <c r="G19" i="23" s="1"/>
  <c r="F18" i="23"/>
  <c r="F19" i="23" s="1"/>
  <c r="E18" i="23"/>
  <c r="E19" i="23" s="1"/>
  <c r="D18" i="23"/>
  <c r="D20" i="23" s="1"/>
  <c r="C18" i="23"/>
  <c r="C20" i="23" s="1"/>
  <c r="G16" i="23"/>
  <c r="G17" i="23" s="1"/>
  <c r="F16" i="23"/>
  <c r="F17" i="23" s="1"/>
  <c r="C16" i="23"/>
  <c r="C17" i="23" s="1"/>
  <c r="H14" i="23"/>
  <c r="G14" i="23"/>
  <c r="F14" i="23"/>
  <c r="E14" i="23"/>
  <c r="D14" i="23"/>
  <c r="C14" i="23"/>
  <c r="H13" i="23"/>
  <c r="G13" i="23"/>
  <c r="F13" i="23"/>
  <c r="E13" i="23"/>
  <c r="D13" i="23"/>
  <c r="C13" i="23"/>
  <c r="G9" i="23"/>
  <c r="G2" i="23" s="1"/>
  <c r="F9" i="23"/>
  <c r="C9" i="23"/>
  <c r="C2" i="23" s="1"/>
  <c r="F2" i="23"/>
  <c r="F3" i="23" s="1"/>
  <c r="F54" i="23" s="1"/>
  <c r="K168" i="24"/>
  <c r="J168" i="24"/>
  <c r="I168" i="24"/>
  <c r="H168" i="24"/>
  <c r="G168" i="24"/>
  <c r="F168" i="24"/>
  <c r="E168" i="24"/>
  <c r="D168" i="24"/>
  <c r="C168" i="24"/>
  <c r="B168" i="24"/>
  <c r="K167" i="24"/>
  <c r="J167" i="24"/>
  <c r="I167" i="24"/>
  <c r="H167" i="24"/>
  <c r="G167" i="24"/>
  <c r="F167" i="24"/>
  <c r="E167" i="24"/>
  <c r="D167" i="24"/>
  <c r="C167" i="24"/>
  <c r="B167" i="24"/>
  <c r="K166" i="24"/>
  <c r="J166" i="24"/>
  <c r="I166" i="24"/>
  <c r="H166" i="24"/>
  <c r="G166" i="24"/>
  <c r="F166" i="24"/>
  <c r="F163" i="24" s="1"/>
  <c r="E166" i="24"/>
  <c r="D166" i="24"/>
  <c r="D163" i="24" s="1"/>
  <c r="C166" i="24"/>
  <c r="B166" i="24"/>
  <c r="K165" i="24"/>
  <c r="J165" i="24"/>
  <c r="I165" i="24"/>
  <c r="H165" i="24"/>
  <c r="G165" i="24"/>
  <c r="F165" i="24"/>
  <c r="E165" i="24"/>
  <c r="D165" i="24"/>
  <c r="C165" i="24"/>
  <c r="B165" i="24"/>
  <c r="K164" i="24"/>
  <c r="J164" i="24"/>
  <c r="J163" i="24" s="1"/>
  <c r="I164" i="24"/>
  <c r="H164" i="24"/>
  <c r="H163" i="24" s="1"/>
  <c r="G164" i="24"/>
  <c r="G163" i="24" s="1"/>
  <c r="F164" i="24"/>
  <c r="E164" i="24"/>
  <c r="D164" i="24"/>
  <c r="C164" i="24"/>
  <c r="B164" i="24"/>
  <c r="K163" i="24"/>
  <c r="E163" i="24"/>
  <c r="B163" i="24"/>
  <c r="K128" i="24"/>
  <c r="E105" i="24"/>
  <c r="K102" i="24"/>
  <c r="J102" i="24"/>
  <c r="I102" i="24"/>
  <c r="H102" i="24"/>
  <c r="G102" i="24"/>
  <c r="F102" i="24"/>
  <c r="E102" i="24"/>
  <c r="D102" i="24"/>
  <c r="C102" i="24"/>
  <c r="B102" i="24"/>
  <c r="K95" i="24"/>
  <c r="J95" i="24"/>
  <c r="I95" i="24"/>
  <c r="H95" i="24"/>
  <c r="G95" i="24"/>
  <c r="F95" i="24"/>
  <c r="E95" i="24"/>
  <c r="D95" i="24"/>
  <c r="C95" i="24"/>
  <c r="B95" i="24"/>
  <c r="K94" i="24"/>
  <c r="K185" i="24" s="1"/>
  <c r="J94" i="24"/>
  <c r="J185" i="24" s="1"/>
  <c r="I94" i="24"/>
  <c r="I128" i="24" s="1"/>
  <c r="H94" i="24"/>
  <c r="H128" i="24" s="1"/>
  <c r="G94" i="24"/>
  <c r="G128" i="24" s="1"/>
  <c r="I58" i="24"/>
  <c r="K55" i="24"/>
  <c r="J55" i="24"/>
  <c r="I55" i="24"/>
  <c r="H55" i="24"/>
  <c r="G55" i="24"/>
  <c r="F55" i="24"/>
  <c r="E55" i="24"/>
  <c r="D55" i="24"/>
  <c r="C55" i="24"/>
  <c r="B55" i="24"/>
  <c r="K54" i="24"/>
  <c r="K57" i="24" s="1"/>
  <c r="J54" i="24"/>
  <c r="J57" i="24" s="1"/>
  <c r="J69" i="24" s="1"/>
  <c r="H54" i="24"/>
  <c r="H57" i="24" s="1"/>
  <c r="G54" i="24"/>
  <c r="G57" i="24" s="1"/>
  <c r="I49" i="24"/>
  <c r="K48" i="24"/>
  <c r="J48" i="24"/>
  <c r="I48" i="24"/>
  <c r="I54" i="24" s="1"/>
  <c r="I57" i="24" s="1"/>
  <c r="I69" i="24" s="1"/>
  <c r="H48" i="24"/>
  <c r="G48" i="24"/>
  <c r="F48" i="24"/>
  <c r="F54" i="24" s="1"/>
  <c r="F57" i="24" s="1"/>
  <c r="E48" i="24"/>
  <c r="E54" i="24" s="1"/>
  <c r="E57" i="24" s="1"/>
  <c r="E58" i="24" s="1"/>
  <c r="D48" i="24"/>
  <c r="D54" i="24" s="1"/>
  <c r="D57" i="24" s="1"/>
  <c r="C48" i="24"/>
  <c r="C54" i="24" s="1"/>
  <c r="C57" i="24" s="1"/>
  <c r="B48" i="24"/>
  <c r="B54" i="24" s="1"/>
  <c r="B57" i="24" s="1"/>
  <c r="I46" i="24"/>
  <c r="D45" i="24"/>
  <c r="D46" i="24" s="1"/>
  <c r="K44" i="24"/>
  <c r="J44" i="24"/>
  <c r="I44" i="24"/>
  <c r="H44" i="24"/>
  <c r="G44" i="24"/>
  <c r="F44" i="24"/>
  <c r="E44" i="24"/>
  <c r="D44" i="24"/>
  <c r="C44" i="24"/>
  <c r="B44" i="24"/>
  <c r="K42" i="24"/>
  <c r="J42" i="24"/>
  <c r="I42" i="24"/>
  <c r="H42" i="24"/>
  <c r="G42" i="24"/>
  <c r="F42" i="24"/>
  <c r="E42" i="24"/>
  <c r="D42" i="24"/>
  <c r="C42" i="24"/>
  <c r="B42" i="24"/>
  <c r="K40" i="24"/>
  <c r="J40" i="24"/>
  <c r="I40" i="24"/>
  <c r="H40" i="24"/>
  <c r="G40" i="24"/>
  <c r="F40" i="24"/>
  <c r="E40" i="24"/>
  <c r="E50" i="24" s="1"/>
  <c r="D40" i="24"/>
  <c r="C40" i="24"/>
  <c r="B40" i="24"/>
  <c r="K38" i="24"/>
  <c r="K105" i="24" s="1"/>
  <c r="J38" i="24"/>
  <c r="J105" i="24" s="1"/>
  <c r="I38" i="24"/>
  <c r="I224" i="24" s="1"/>
  <c r="H38" i="24"/>
  <c r="H224" i="24" s="1"/>
  <c r="G38" i="24"/>
  <c r="G224" i="24" s="1"/>
  <c r="F38" i="24"/>
  <c r="F224" i="24" s="1"/>
  <c r="E38" i="24"/>
  <c r="E224" i="24" s="1"/>
  <c r="D38" i="24"/>
  <c r="D224" i="24" s="1"/>
  <c r="C38" i="24"/>
  <c r="C105" i="24" s="1"/>
  <c r="B38" i="24"/>
  <c r="B105" i="24" s="1"/>
  <c r="I36" i="24"/>
  <c r="I35" i="24"/>
  <c r="B35" i="24"/>
  <c r="B36" i="24" s="1"/>
  <c r="J34" i="24"/>
  <c r="J187" i="24" s="1"/>
  <c r="I34" i="24"/>
  <c r="I187" i="24" s="1"/>
  <c r="K33" i="24"/>
  <c r="K35" i="24" s="1"/>
  <c r="K36" i="24" s="1"/>
  <c r="J33" i="24"/>
  <c r="J35" i="24" s="1"/>
  <c r="J36" i="24" s="1"/>
  <c r="I33" i="24"/>
  <c r="I45" i="24" s="1"/>
  <c r="H33" i="24"/>
  <c r="H35" i="24" s="1"/>
  <c r="H36" i="24" s="1"/>
  <c r="G33" i="24"/>
  <c r="F33" i="24"/>
  <c r="E33" i="24"/>
  <c r="E34" i="24" s="1"/>
  <c r="E187" i="24" s="1"/>
  <c r="D33" i="24"/>
  <c r="C33" i="24"/>
  <c r="C35" i="24" s="1"/>
  <c r="C36" i="24" s="1"/>
  <c r="B33" i="24"/>
  <c r="B34" i="24" s="1"/>
  <c r="B187" i="24" s="1"/>
  <c r="H20" i="24"/>
  <c r="H19" i="24"/>
  <c r="E19" i="24"/>
  <c r="E20" i="24" s="1"/>
  <c r="C19" i="24"/>
  <c r="B19" i="24"/>
  <c r="E18" i="24"/>
  <c r="B18" i="24"/>
  <c r="K17" i="24"/>
  <c r="K18" i="24" s="1"/>
  <c r="J17" i="24"/>
  <c r="J8" i="24" s="1"/>
  <c r="J2" i="24" s="1"/>
  <c r="I17" i="24"/>
  <c r="I8" i="24" s="1"/>
  <c r="I2" i="24" s="1"/>
  <c r="H17" i="24"/>
  <c r="H18" i="24" s="1"/>
  <c r="G17" i="24"/>
  <c r="G8" i="24" s="1"/>
  <c r="G2" i="24" s="1"/>
  <c r="F17" i="24"/>
  <c r="F19" i="24" s="1"/>
  <c r="E17" i="24"/>
  <c r="D17" i="24"/>
  <c r="D19" i="24" s="1"/>
  <c r="C17" i="24"/>
  <c r="C8" i="24" s="1"/>
  <c r="C2" i="24" s="1"/>
  <c r="B17" i="24"/>
  <c r="B8" i="24" s="1"/>
  <c r="B2" i="24" s="1"/>
  <c r="H16" i="24"/>
  <c r="H29" i="24" s="1"/>
  <c r="E16" i="24"/>
  <c r="K15" i="24"/>
  <c r="K16" i="24" s="1"/>
  <c r="J15" i="24"/>
  <c r="J16" i="24" s="1"/>
  <c r="H15" i="24"/>
  <c r="E15" i="24"/>
  <c r="B15" i="24"/>
  <c r="B16" i="24" s="1"/>
  <c r="K12" i="24"/>
  <c r="J12" i="24"/>
  <c r="I12" i="24"/>
  <c r="H12" i="24"/>
  <c r="G12" i="24"/>
  <c r="F12" i="24"/>
  <c r="E12" i="24"/>
  <c r="D12" i="24"/>
  <c r="C12" i="24"/>
  <c r="B12" i="24"/>
  <c r="K11" i="24"/>
  <c r="J11" i="24"/>
  <c r="I11" i="24"/>
  <c r="H11" i="24"/>
  <c r="G11" i="24"/>
  <c r="F11" i="24"/>
  <c r="E11" i="24"/>
  <c r="D11" i="24"/>
  <c r="C11" i="24"/>
  <c r="B11" i="24"/>
  <c r="K8" i="24"/>
  <c r="K2" i="24" s="1"/>
  <c r="H8" i="24"/>
  <c r="H2" i="24" s="1"/>
  <c r="E8" i="24"/>
  <c r="E2" i="24" s="1"/>
  <c r="F8" i="23" l="1"/>
  <c r="F81" i="23" s="1"/>
  <c r="H16" i="23"/>
  <c r="H17" i="23" s="1"/>
  <c r="C19" i="23"/>
  <c r="G35" i="23"/>
  <c r="F46" i="23"/>
  <c r="F56" i="23" s="1"/>
  <c r="H35" i="23"/>
  <c r="G46" i="23"/>
  <c r="G56" i="23" s="1"/>
  <c r="F21" i="23"/>
  <c r="G21" i="23"/>
  <c r="C8" i="23"/>
  <c r="C81" i="23" s="1"/>
  <c r="C5" i="23"/>
  <c r="C4" i="23"/>
  <c r="C3" i="23"/>
  <c r="C54" i="23" s="1"/>
  <c r="G3" i="23"/>
  <c r="G54" i="23" s="1"/>
  <c r="G5" i="23"/>
  <c r="G4" i="23"/>
  <c r="G8" i="23"/>
  <c r="G81" i="23" s="1"/>
  <c r="C30" i="23"/>
  <c r="C10" i="23" s="1"/>
  <c r="F50" i="23"/>
  <c r="F60" i="23"/>
  <c r="F30" i="23"/>
  <c r="F10" i="23" s="1"/>
  <c r="F57" i="23"/>
  <c r="F59" i="23"/>
  <c r="F51" i="23"/>
  <c r="F61" i="23"/>
  <c r="F58" i="23"/>
  <c r="G30" i="23"/>
  <c r="G10" i="23" s="1"/>
  <c r="C21" i="23"/>
  <c r="F79" i="23"/>
  <c r="F89" i="23"/>
  <c r="F88" i="23" s="1"/>
  <c r="F80" i="23"/>
  <c r="G79" i="23"/>
  <c r="G89" i="23"/>
  <c r="G88" i="23" s="1"/>
  <c r="G80" i="23"/>
  <c r="H89" i="23"/>
  <c r="H88" i="23" s="1"/>
  <c r="H80" i="23"/>
  <c r="E20" i="23"/>
  <c r="F35" i="23"/>
  <c r="E46" i="23"/>
  <c r="E56" i="23" s="1"/>
  <c r="H96" i="23"/>
  <c r="C97" i="23"/>
  <c r="D16" i="23"/>
  <c r="D17" i="23" s="1"/>
  <c r="H20" i="23"/>
  <c r="H21" i="23" s="1"/>
  <c r="H46" i="23"/>
  <c r="H56" i="23" s="1"/>
  <c r="D97" i="23"/>
  <c r="F4" i="23"/>
  <c r="F27" i="23" s="1"/>
  <c r="F29" i="23" s="1"/>
  <c r="E16" i="23"/>
  <c r="E17" i="23" s="1"/>
  <c r="C95" i="23"/>
  <c r="E97" i="23"/>
  <c r="D95" i="23"/>
  <c r="F97" i="23"/>
  <c r="E95" i="23"/>
  <c r="G97" i="23"/>
  <c r="D9" i="23"/>
  <c r="D2" i="23" s="1"/>
  <c r="F95" i="23"/>
  <c r="H97" i="23"/>
  <c r="E9" i="23"/>
  <c r="E2" i="23" s="1"/>
  <c r="D19" i="23"/>
  <c r="G95" i="23"/>
  <c r="H95" i="23"/>
  <c r="C98" i="23"/>
  <c r="D98" i="23"/>
  <c r="F5" i="23"/>
  <c r="F26" i="23" s="1"/>
  <c r="F28" i="23" s="1"/>
  <c r="H9" i="23"/>
  <c r="H2" i="23" s="1"/>
  <c r="C38" i="23"/>
  <c r="C96" i="23"/>
  <c r="E98" i="23"/>
  <c r="D38" i="23"/>
  <c r="D96" i="23"/>
  <c r="F98" i="23"/>
  <c r="E38" i="23"/>
  <c r="G98" i="23"/>
  <c r="K5" i="24"/>
  <c r="K25" i="24" s="1"/>
  <c r="K27" i="24" s="1"/>
  <c r="K3" i="24"/>
  <c r="K4" i="24"/>
  <c r="K26" i="24" s="1"/>
  <c r="K28" i="24" s="1"/>
  <c r="K7" i="24"/>
  <c r="I5" i="24"/>
  <c r="I25" i="24" s="1"/>
  <c r="I27" i="24" s="1"/>
  <c r="I4" i="24"/>
  <c r="I26" i="24" s="1"/>
  <c r="I28" i="24" s="1"/>
  <c r="I3" i="24"/>
  <c r="I103" i="24" s="1"/>
  <c r="I7" i="24"/>
  <c r="E195" i="24"/>
  <c r="E205" i="24" s="1"/>
  <c r="G4" i="24"/>
  <c r="G5" i="24"/>
  <c r="G7" i="24"/>
  <c r="G3" i="24"/>
  <c r="G103" i="24" s="1"/>
  <c r="H49" i="24"/>
  <c r="J5" i="24"/>
  <c r="J25" i="24" s="1"/>
  <c r="J27" i="24" s="1"/>
  <c r="J4" i="24"/>
  <c r="J26" i="24" s="1"/>
  <c r="J28" i="24" s="1"/>
  <c r="J3" i="24"/>
  <c r="J7" i="24"/>
  <c r="B29" i="24"/>
  <c r="C69" i="24"/>
  <c r="C58" i="24"/>
  <c r="J109" i="24"/>
  <c r="J100" i="24"/>
  <c r="J29" i="24"/>
  <c r="B20" i="24"/>
  <c r="D58" i="24"/>
  <c r="D69" i="24"/>
  <c r="K110" i="24"/>
  <c r="K108" i="24"/>
  <c r="K99" i="24"/>
  <c r="K106" i="24"/>
  <c r="K29" i="24"/>
  <c r="F58" i="24"/>
  <c r="F69" i="24"/>
  <c r="B3" i="24"/>
  <c r="B103" i="24" s="1"/>
  <c r="B7" i="24"/>
  <c r="B4" i="24"/>
  <c r="B5" i="24"/>
  <c r="B25" i="24" s="1"/>
  <c r="B27" i="24" s="1"/>
  <c r="C7" i="24"/>
  <c r="C4" i="24"/>
  <c r="C3" i="24"/>
  <c r="C103" i="24" s="1"/>
  <c r="C5" i="24"/>
  <c r="C25" i="24" s="1"/>
  <c r="C27" i="24" s="1"/>
  <c r="E4" i="24"/>
  <c r="E26" i="24" s="1"/>
  <c r="E28" i="24" s="1"/>
  <c r="E3" i="24"/>
  <c r="E103" i="24" s="1"/>
  <c r="E5" i="24"/>
  <c r="E7" i="24"/>
  <c r="H4" i="24"/>
  <c r="H26" i="24" s="1"/>
  <c r="H28" i="24" s="1"/>
  <c r="H5" i="24"/>
  <c r="H3" i="24"/>
  <c r="H106" i="24" s="1"/>
  <c r="H7" i="24"/>
  <c r="E70" i="24"/>
  <c r="E59" i="24"/>
  <c r="E69" i="24"/>
  <c r="E81" i="24" s="1"/>
  <c r="K239" i="24"/>
  <c r="K210" i="24"/>
  <c r="C18" i="24"/>
  <c r="I19" i="24"/>
  <c r="G58" i="24"/>
  <c r="G69" i="24"/>
  <c r="B69" i="24"/>
  <c r="B58" i="24"/>
  <c r="H100" i="24"/>
  <c r="H107" i="24"/>
  <c r="H110" i="24"/>
  <c r="H108" i="24"/>
  <c r="H99" i="24"/>
  <c r="J239" i="24"/>
  <c r="J210" i="24"/>
  <c r="J227" i="24"/>
  <c r="H69" i="24"/>
  <c r="H58" i="24"/>
  <c r="K19" i="24"/>
  <c r="K20" i="24" s="1"/>
  <c r="J58" i="24"/>
  <c r="H103" i="24"/>
  <c r="G34" i="24"/>
  <c r="G187" i="24" s="1"/>
  <c r="G35" i="24"/>
  <c r="G36" i="24" s="1"/>
  <c r="G49" i="24" s="1"/>
  <c r="J19" i="24"/>
  <c r="J20" i="24" s="1"/>
  <c r="I70" i="24"/>
  <c r="I81" i="24" s="1"/>
  <c r="I59" i="24"/>
  <c r="D15" i="24"/>
  <c r="D16" i="24" s="1"/>
  <c r="F18" i="24"/>
  <c r="C34" i="24"/>
  <c r="C187" i="24" s="1"/>
  <c r="K69" i="24"/>
  <c r="K58" i="24"/>
  <c r="B195" i="24"/>
  <c r="B205" i="24" s="1"/>
  <c r="B190" i="24"/>
  <c r="B200" i="24" s="1"/>
  <c r="B193" i="24"/>
  <c r="B203" i="24" s="1"/>
  <c r="B196" i="24"/>
  <c r="B206" i="24" s="1"/>
  <c r="B191" i="24"/>
  <c r="B201" i="24" s="1"/>
  <c r="B197" i="24"/>
  <c r="B207" i="24" s="1"/>
  <c r="F34" i="24"/>
  <c r="F187" i="24" s="1"/>
  <c r="F35" i="24"/>
  <c r="F36" i="24" s="1"/>
  <c r="G19" i="24"/>
  <c r="D18" i="24"/>
  <c r="C15" i="24"/>
  <c r="C16" i="24" s="1"/>
  <c r="G18" i="24"/>
  <c r="I196" i="24"/>
  <c r="I206" i="24" s="1"/>
  <c r="I191" i="24"/>
  <c r="I201" i="24" s="1"/>
  <c r="I194" i="24"/>
  <c r="I204" i="24" s="1"/>
  <c r="I197" i="24"/>
  <c r="I207" i="24" s="1"/>
  <c r="I189" i="24"/>
  <c r="I199" i="24" s="1"/>
  <c r="I192" i="24"/>
  <c r="I202" i="24" s="1"/>
  <c r="I195" i="24"/>
  <c r="I205" i="24" s="1"/>
  <c r="I190" i="24"/>
  <c r="I200" i="24" s="1"/>
  <c r="E108" i="24"/>
  <c r="E99" i="24"/>
  <c r="E29" i="24"/>
  <c r="E106" i="24"/>
  <c r="E109" i="24"/>
  <c r="E100" i="24"/>
  <c r="E107" i="24"/>
  <c r="E110" i="24"/>
  <c r="D8" i="24"/>
  <c r="D2" i="24" s="1"/>
  <c r="F15" i="24"/>
  <c r="F16" i="24" s="1"/>
  <c r="F20" i="24" s="1"/>
  <c r="J191" i="24"/>
  <c r="J201" i="24" s="1"/>
  <c r="J194" i="24"/>
  <c r="J204" i="24" s="1"/>
  <c r="J197" i="24"/>
  <c r="J207" i="24" s="1"/>
  <c r="J189" i="24"/>
  <c r="J199" i="24" s="1"/>
  <c r="J192" i="24"/>
  <c r="J202" i="24" s="1"/>
  <c r="J195" i="24"/>
  <c r="J205" i="24" s="1"/>
  <c r="J190" i="24"/>
  <c r="J200" i="24" s="1"/>
  <c r="J193" i="24"/>
  <c r="J203" i="24" s="1"/>
  <c r="J196" i="24"/>
  <c r="J206" i="24" s="1"/>
  <c r="C45" i="24"/>
  <c r="C46" i="24" s="1"/>
  <c r="C163" i="24"/>
  <c r="I163" i="24"/>
  <c r="F8" i="24"/>
  <c r="F2" i="24" s="1"/>
  <c r="G15" i="24"/>
  <c r="G16" i="24" s="1"/>
  <c r="I18" i="24"/>
  <c r="J18" i="24"/>
  <c r="F45" i="24"/>
  <c r="F46" i="24" s="1"/>
  <c r="I15" i="24"/>
  <c r="I16" i="24" s="1"/>
  <c r="G45" i="24"/>
  <c r="G46" i="24" s="1"/>
  <c r="I51" i="24"/>
  <c r="I97" i="24" s="1"/>
  <c r="D34" i="24"/>
  <c r="D187" i="24" s="1"/>
  <c r="D35" i="24"/>
  <c r="D36" i="24" s="1"/>
  <c r="D49" i="24" s="1"/>
  <c r="D51" i="24" s="1"/>
  <c r="K50" i="24"/>
  <c r="I193" i="24"/>
  <c r="I203" i="24" s="1"/>
  <c r="K224" i="24"/>
  <c r="E190" i="24"/>
  <c r="E200" i="24" s="1"/>
  <c r="E193" i="24"/>
  <c r="E203" i="24" s="1"/>
  <c r="E196" i="24"/>
  <c r="E206" i="24" s="1"/>
  <c r="E191" i="24"/>
  <c r="E201" i="24" s="1"/>
  <c r="E194" i="24"/>
  <c r="E204" i="24" s="1"/>
  <c r="E197" i="24"/>
  <c r="E207" i="24" s="1"/>
  <c r="E189" i="24"/>
  <c r="E199" i="24" s="1"/>
  <c r="E192" i="24"/>
  <c r="E202" i="24" s="1"/>
  <c r="H34" i="24"/>
  <c r="H187" i="24" s="1"/>
  <c r="B45" i="24"/>
  <c r="B46" i="24" s="1"/>
  <c r="J50" i="24"/>
  <c r="D105" i="24"/>
  <c r="J128" i="24"/>
  <c r="J224" i="24"/>
  <c r="F105" i="24"/>
  <c r="K34" i="24"/>
  <c r="K187" i="24" s="1"/>
  <c r="E45" i="24"/>
  <c r="E46" i="24" s="1"/>
  <c r="G105" i="24"/>
  <c r="G185" i="24"/>
  <c r="H105" i="24"/>
  <c r="H109" i="24" s="1"/>
  <c r="H185" i="24"/>
  <c r="I105" i="24"/>
  <c r="I185" i="24"/>
  <c r="H45" i="24"/>
  <c r="H46" i="24" s="1"/>
  <c r="E35" i="24"/>
  <c r="E36" i="24" s="1"/>
  <c r="E49" i="24" s="1"/>
  <c r="J45" i="24"/>
  <c r="J46" i="24" s="1"/>
  <c r="B50" i="24"/>
  <c r="B224" i="24"/>
  <c r="K45" i="24"/>
  <c r="K46" i="24" s="1"/>
  <c r="K49" i="24" s="1"/>
  <c r="C50" i="24"/>
  <c r="C224" i="24"/>
  <c r="D50" i="24"/>
  <c r="F50" i="24"/>
  <c r="G50" i="24"/>
  <c r="H50" i="24"/>
  <c r="I50" i="24"/>
  <c r="B78" i="23"/>
  <c r="B44" i="23"/>
  <c r="B42" i="23"/>
  <c r="B40" i="23"/>
  <c r="B37" i="23"/>
  <c r="B45" i="23"/>
  <c r="N72" i="14"/>
  <c r="B18" i="23"/>
  <c r="B16" i="23" s="1"/>
  <c r="D58" i="14"/>
  <c r="B43" i="14"/>
  <c r="B44" i="14"/>
  <c r="E44" i="14"/>
  <c r="B53" i="23"/>
  <c r="B34" i="23"/>
  <c r="B38" i="23" s="1"/>
  <c r="B14" i="23"/>
  <c r="B13" i="23"/>
  <c r="O36" i="22"/>
  <c r="C61" i="23" l="1"/>
  <c r="C51" i="23"/>
  <c r="C59" i="23"/>
  <c r="C57" i="23"/>
  <c r="G61" i="23"/>
  <c r="C60" i="23"/>
  <c r="B89" i="23"/>
  <c r="B88" i="23" s="1"/>
  <c r="E21" i="23"/>
  <c r="G57" i="23"/>
  <c r="C50" i="23"/>
  <c r="G50" i="23"/>
  <c r="G26" i="23"/>
  <c r="G28" i="23" s="1"/>
  <c r="G60" i="23"/>
  <c r="C58" i="23"/>
  <c r="D30" i="23"/>
  <c r="D10" i="23" s="1"/>
  <c r="G83" i="23"/>
  <c r="G92" i="23"/>
  <c r="G84" i="23"/>
  <c r="G85" i="23" s="1"/>
  <c r="G77" i="23"/>
  <c r="G76" i="23" s="1"/>
  <c r="H3" i="23"/>
  <c r="H5" i="23"/>
  <c r="H4" i="23"/>
  <c r="H8" i="23"/>
  <c r="F83" i="23"/>
  <c r="F84" i="23"/>
  <c r="F85" i="23" s="1"/>
  <c r="F92" i="23"/>
  <c r="F77" i="23"/>
  <c r="F76" i="23" s="1"/>
  <c r="E30" i="23"/>
  <c r="E10" i="23" s="1"/>
  <c r="H83" i="23"/>
  <c r="H92" i="23"/>
  <c r="H84" i="23"/>
  <c r="H85" i="23" s="1"/>
  <c r="D21" i="23"/>
  <c r="H30" i="23"/>
  <c r="H10" i="23" s="1"/>
  <c r="G27" i="23"/>
  <c r="G29" i="23" s="1"/>
  <c r="G51" i="23"/>
  <c r="C27" i="23"/>
  <c r="C29" i="23" s="1"/>
  <c r="C79" i="23"/>
  <c r="C89" i="23"/>
  <c r="C88" i="23" s="1"/>
  <c r="C80" i="23"/>
  <c r="D89" i="23"/>
  <c r="D88" i="23" s="1"/>
  <c r="D80" i="23"/>
  <c r="D3" i="23"/>
  <c r="D54" i="23" s="1"/>
  <c r="D5" i="23"/>
  <c r="D4" i="23"/>
  <c r="D27" i="23" s="1"/>
  <c r="D29" i="23" s="1"/>
  <c r="D8" i="23"/>
  <c r="D81" i="23" s="1"/>
  <c r="G59" i="23"/>
  <c r="C26" i="23"/>
  <c r="C28" i="23" s="1"/>
  <c r="E3" i="23"/>
  <c r="E54" i="23" s="1"/>
  <c r="E5" i="23"/>
  <c r="E8" i="23"/>
  <c r="E81" i="23" s="1"/>
  <c r="E4" i="23"/>
  <c r="E89" i="23"/>
  <c r="E88" i="23" s="1"/>
  <c r="E80" i="23"/>
  <c r="G58" i="23"/>
  <c r="C115" i="24"/>
  <c r="C122" i="24" s="1"/>
  <c r="D97" i="24"/>
  <c r="D96" i="24"/>
  <c r="K191" i="24"/>
  <c r="K201" i="24" s="1"/>
  <c r="K194" i="24"/>
  <c r="K204" i="24" s="1"/>
  <c r="K197" i="24"/>
  <c r="K207" i="24" s="1"/>
  <c r="K189" i="24"/>
  <c r="K199" i="24" s="1"/>
  <c r="K192" i="24"/>
  <c r="K202" i="24" s="1"/>
  <c r="K195" i="24"/>
  <c r="K205" i="24" s="1"/>
  <c r="K190" i="24"/>
  <c r="K200" i="24" s="1"/>
  <c r="K193" i="24"/>
  <c r="K203" i="24" s="1"/>
  <c r="K196" i="24"/>
  <c r="K206" i="24" s="1"/>
  <c r="G106" i="24"/>
  <c r="G109" i="24"/>
  <c r="G100" i="24"/>
  <c r="G107" i="24"/>
  <c r="G110" i="24"/>
  <c r="G99" i="24"/>
  <c r="G108" i="24"/>
  <c r="G29" i="24"/>
  <c r="K227" i="24"/>
  <c r="J107" i="24"/>
  <c r="F7" i="24"/>
  <c r="F3" i="24"/>
  <c r="F103" i="24" s="1"/>
  <c r="F4" i="24"/>
  <c r="F5" i="24"/>
  <c r="F25" i="24" s="1"/>
  <c r="F27" i="24" s="1"/>
  <c r="C70" i="24"/>
  <c r="C59" i="24"/>
  <c r="G25" i="24"/>
  <c r="G27" i="24" s="1"/>
  <c r="G193" i="24"/>
  <c r="G203" i="24" s="1"/>
  <c r="G196" i="24"/>
  <c r="G206" i="24" s="1"/>
  <c r="G191" i="24"/>
  <c r="G201" i="24" s="1"/>
  <c r="G194" i="24"/>
  <c r="G204" i="24" s="1"/>
  <c r="G197" i="24"/>
  <c r="G207" i="24" s="1"/>
  <c r="G189" i="24"/>
  <c r="G199" i="24" s="1"/>
  <c r="G192" i="24"/>
  <c r="G202" i="24" s="1"/>
  <c r="G195" i="24"/>
  <c r="G205" i="24" s="1"/>
  <c r="G190" i="24"/>
  <c r="G200" i="24" s="1"/>
  <c r="C26" i="24"/>
  <c r="C28" i="24" s="1"/>
  <c r="E71" i="24"/>
  <c r="E82" i="24" s="1"/>
  <c r="E60" i="24"/>
  <c r="K107" i="24"/>
  <c r="B110" i="24"/>
  <c r="B116" i="24" s="1"/>
  <c r="G26" i="24"/>
  <c r="G28" i="24" s="1"/>
  <c r="J51" i="24"/>
  <c r="D7" i="24"/>
  <c r="D93" i="24" s="1"/>
  <c r="D4" i="24"/>
  <c r="D26" i="24" s="1"/>
  <c r="D28" i="24" s="1"/>
  <c r="D5" i="24"/>
  <c r="D3" i="24"/>
  <c r="D103" i="24" s="1"/>
  <c r="C81" i="24"/>
  <c r="D190" i="24"/>
  <c r="D200" i="24" s="1"/>
  <c r="D193" i="24"/>
  <c r="D203" i="24" s="1"/>
  <c r="D196" i="24"/>
  <c r="D206" i="24" s="1"/>
  <c r="D191" i="24"/>
  <c r="D201" i="24" s="1"/>
  <c r="D194" i="24"/>
  <c r="D204" i="24" s="1"/>
  <c r="D197" i="24"/>
  <c r="D207" i="24" s="1"/>
  <c r="D189" i="24"/>
  <c r="D199" i="24" s="1"/>
  <c r="D195" i="24"/>
  <c r="D205" i="24" s="1"/>
  <c r="K103" i="24"/>
  <c r="C108" i="24"/>
  <c r="C99" i="24"/>
  <c r="C29" i="24"/>
  <c r="C106" i="24"/>
  <c r="C109" i="24"/>
  <c r="C100" i="24"/>
  <c r="C107" i="24"/>
  <c r="C110" i="24"/>
  <c r="J59" i="24"/>
  <c r="J70" i="24"/>
  <c r="B26" i="24"/>
  <c r="B28" i="24" s="1"/>
  <c r="K100" i="24"/>
  <c r="B107" i="24"/>
  <c r="G113" i="24" s="1"/>
  <c r="G120" i="24" s="1"/>
  <c r="K59" i="24"/>
  <c r="K70" i="24"/>
  <c r="B70" i="24"/>
  <c r="B59" i="24"/>
  <c r="K109" i="24"/>
  <c r="B100" i="24"/>
  <c r="G20" i="24"/>
  <c r="K81" i="24"/>
  <c r="B81" i="24"/>
  <c r="B114" i="24"/>
  <c r="B121" i="24" s="1"/>
  <c r="B115" i="24"/>
  <c r="B122" i="24" s="1"/>
  <c r="B113" i="24"/>
  <c r="B120" i="24" s="1"/>
  <c r="B109" i="24"/>
  <c r="G115" i="24" s="1"/>
  <c r="G122" i="24" s="1"/>
  <c r="G51" i="24"/>
  <c r="F49" i="24"/>
  <c r="H25" i="24"/>
  <c r="H27" i="24" s="1"/>
  <c r="D70" i="24"/>
  <c r="D59" i="24"/>
  <c r="B106" i="24"/>
  <c r="G112" i="24" s="1"/>
  <c r="G119" i="24" s="1"/>
  <c r="I115" i="24"/>
  <c r="I122" i="24" s="1"/>
  <c r="I113" i="24"/>
  <c r="I120" i="24" s="1"/>
  <c r="F193" i="24"/>
  <c r="F203" i="24" s="1"/>
  <c r="F196" i="24"/>
  <c r="F206" i="24" s="1"/>
  <c r="F191" i="24"/>
  <c r="F201" i="24" s="1"/>
  <c r="F194" i="24"/>
  <c r="F204" i="24" s="1"/>
  <c r="F197" i="24"/>
  <c r="F207" i="24" s="1"/>
  <c r="F189" i="24"/>
  <c r="F199" i="24" s="1"/>
  <c r="F192" i="24"/>
  <c r="F202" i="24" s="1"/>
  <c r="F195" i="24"/>
  <c r="F205" i="24" s="1"/>
  <c r="F190" i="24"/>
  <c r="F200" i="24" s="1"/>
  <c r="C195" i="24"/>
  <c r="C205" i="24" s="1"/>
  <c r="C190" i="24"/>
  <c r="C200" i="24" s="1"/>
  <c r="C193" i="24"/>
  <c r="C203" i="24" s="1"/>
  <c r="C196" i="24"/>
  <c r="C206" i="24" s="1"/>
  <c r="C191" i="24"/>
  <c r="C201" i="24" s="1"/>
  <c r="C194" i="24"/>
  <c r="C204" i="24" s="1"/>
  <c r="C197" i="24"/>
  <c r="C207" i="24" s="1"/>
  <c r="C189" i="24"/>
  <c r="C199" i="24" s="1"/>
  <c r="C192" i="24"/>
  <c r="C202" i="24" s="1"/>
  <c r="H70" i="24"/>
  <c r="H59" i="24"/>
  <c r="H51" i="24"/>
  <c r="H81" i="24"/>
  <c r="G81" i="24"/>
  <c r="C49" i="24"/>
  <c r="C51" i="24" s="1"/>
  <c r="B99" i="24"/>
  <c r="I239" i="24"/>
  <c r="I210" i="24"/>
  <c r="I227" i="24"/>
  <c r="I96" i="24"/>
  <c r="I93" i="24" s="1"/>
  <c r="G239" i="24"/>
  <c r="G210" i="24"/>
  <c r="G227" i="24"/>
  <c r="F51" i="24"/>
  <c r="B192" i="24"/>
  <c r="B202" i="24" s="1"/>
  <c r="D108" i="24"/>
  <c r="D99" i="24"/>
  <c r="D29" i="24"/>
  <c r="D106" i="24"/>
  <c r="D109" i="24"/>
  <c r="D107" i="24"/>
  <c r="D110" i="24"/>
  <c r="J49" i="24"/>
  <c r="G70" i="24"/>
  <c r="G59" i="24"/>
  <c r="D20" i="24"/>
  <c r="J106" i="24"/>
  <c r="B108" i="24"/>
  <c r="I114" i="24" s="1"/>
  <c r="I121" i="24" s="1"/>
  <c r="F106" i="24"/>
  <c r="F109" i="24"/>
  <c r="F100" i="24"/>
  <c r="F107" i="24"/>
  <c r="F110" i="24"/>
  <c r="F108" i="24"/>
  <c r="F29" i="24"/>
  <c r="B51" i="24"/>
  <c r="H196" i="24"/>
  <c r="H206" i="24" s="1"/>
  <c r="H191" i="24"/>
  <c r="H201" i="24" s="1"/>
  <c r="H194" i="24"/>
  <c r="H204" i="24" s="1"/>
  <c r="H197" i="24"/>
  <c r="H207" i="24" s="1"/>
  <c r="H189" i="24"/>
  <c r="H199" i="24" s="1"/>
  <c r="H192" i="24"/>
  <c r="H202" i="24" s="1"/>
  <c r="H195" i="24"/>
  <c r="H205" i="24" s="1"/>
  <c r="H190" i="24"/>
  <c r="H200" i="24" s="1"/>
  <c r="H193" i="24"/>
  <c r="H203" i="24" s="1"/>
  <c r="H239" i="24"/>
  <c r="H210" i="24"/>
  <c r="H227" i="24"/>
  <c r="I106" i="24"/>
  <c r="I109" i="24"/>
  <c r="I100" i="24"/>
  <c r="I107" i="24"/>
  <c r="I110" i="24"/>
  <c r="I108" i="24"/>
  <c r="I99" i="24"/>
  <c r="I29" i="24"/>
  <c r="B49" i="24"/>
  <c r="B189" i="24"/>
  <c r="B199" i="24" s="1"/>
  <c r="F81" i="24"/>
  <c r="J99" i="24"/>
  <c r="I20" i="24"/>
  <c r="E25" i="24"/>
  <c r="E27" i="24" s="1"/>
  <c r="F70" i="24"/>
  <c r="F59" i="24"/>
  <c r="J108" i="24"/>
  <c r="J103" i="24"/>
  <c r="I71" i="24"/>
  <c r="I60" i="24"/>
  <c r="K51" i="24"/>
  <c r="E51" i="24"/>
  <c r="B194" i="24"/>
  <c r="B204" i="24" s="1"/>
  <c r="I82" i="24"/>
  <c r="E115" i="24"/>
  <c r="E122" i="24" s="1"/>
  <c r="E113" i="24"/>
  <c r="E120" i="24" s="1"/>
  <c r="E116" i="24"/>
  <c r="E114" i="24"/>
  <c r="E121" i="24" s="1"/>
  <c r="C20" i="24"/>
  <c r="J110" i="24"/>
  <c r="B80" i="23"/>
  <c r="B46" i="23"/>
  <c r="B56" i="23" s="1"/>
  <c r="B98" i="23"/>
  <c r="B97" i="23"/>
  <c r="B96" i="23"/>
  <c r="B95" i="23"/>
  <c r="B9" i="23"/>
  <c r="B2" i="23" s="1"/>
  <c r="B5" i="23" s="1"/>
  <c r="B19" i="23"/>
  <c r="B35" i="23"/>
  <c r="B17" i="23"/>
  <c r="B20" i="23"/>
  <c r="H90" i="22"/>
  <c r="G90" i="22"/>
  <c r="F90" i="22"/>
  <c r="E90" i="22"/>
  <c r="D90" i="22"/>
  <c r="C90" i="22"/>
  <c r="B90" i="22"/>
  <c r="H82" i="22"/>
  <c r="G82" i="22"/>
  <c r="F82" i="22"/>
  <c r="E82" i="22"/>
  <c r="D82" i="22"/>
  <c r="C82" i="22"/>
  <c r="B82" i="22"/>
  <c r="N26" i="22"/>
  <c r="K2" i="22"/>
  <c r="K3" i="22" s="1"/>
  <c r="J2" i="22"/>
  <c r="J3" i="22" s="1"/>
  <c r="I2" i="22"/>
  <c r="I3" i="22" s="1"/>
  <c r="H2" i="22"/>
  <c r="H3" i="22" s="1"/>
  <c r="G2" i="22"/>
  <c r="G3" i="22" s="1"/>
  <c r="F2" i="22"/>
  <c r="F3" i="22" s="1"/>
  <c r="E2" i="22"/>
  <c r="E3" i="22" s="1"/>
  <c r="D2" i="22"/>
  <c r="D3" i="22" s="1"/>
  <c r="C2" i="22"/>
  <c r="C3" i="22" s="1"/>
  <c r="B2" i="22"/>
  <c r="B3" i="22" s="1"/>
  <c r="C9" i="21"/>
  <c r="D9" i="21" s="1"/>
  <c r="E9" i="21" s="1"/>
  <c r="F9" i="21" s="1"/>
  <c r="B9" i="21"/>
  <c r="B8" i="21"/>
  <c r="C8" i="21" s="1"/>
  <c r="D8" i="21" s="1"/>
  <c r="E8" i="21" s="1"/>
  <c r="F8" i="21" s="1"/>
  <c r="B7" i="21"/>
  <c r="C7" i="21" s="1"/>
  <c r="D7" i="21" s="1"/>
  <c r="E7" i="21" s="1"/>
  <c r="F7" i="21" s="1"/>
  <c r="F82" i="23" l="1"/>
  <c r="E79" i="23"/>
  <c r="H26" i="23"/>
  <c r="H28" i="23" s="1"/>
  <c r="G82" i="23"/>
  <c r="D61" i="23"/>
  <c r="E26" i="23"/>
  <c r="E28" i="23" s="1"/>
  <c r="D51" i="23"/>
  <c r="D26" i="23"/>
  <c r="D28" i="23" s="1"/>
  <c r="D59" i="23"/>
  <c r="H82" i="23"/>
  <c r="D57" i="23"/>
  <c r="E83" i="23"/>
  <c r="E92" i="23"/>
  <c r="E84" i="23"/>
  <c r="E85" i="23" s="1"/>
  <c r="D84" i="23"/>
  <c r="D85" i="23" s="1"/>
  <c r="D83" i="23"/>
  <c r="D92" i="23"/>
  <c r="E61" i="23"/>
  <c r="E51" i="23"/>
  <c r="F91" i="23"/>
  <c r="F94" i="23" s="1"/>
  <c r="F93" i="23" s="1"/>
  <c r="F90" i="23" s="1"/>
  <c r="F87" i="23" s="1"/>
  <c r="D60" i="23"/>
  <c r="E58" i="23"/>
  <c r="D79" i="23"/>
  <c r="E59" i="23"/>
  <c r="D50" i="23"/>
  <c r="E50" i="23"/>
  <c r="E27" i="23"/>
  <c r="E29" i="23" s="1"/>
  <c r="C92" i="23"/>
  <c r="C84" i="23"/>
  <c r="C85" i="23" s="1"/>
  <c r="C83" i="23"/>
  <c r="C82" i="23" s="1"/>
  <c r="E57" i="23"/>
  <c r="H81" i="23"/>
  <c r="H79" i="23"/>
  <c r="D58" i="23"/>
  <c r="H54" i="23"/>
  <c r="H50" i="23"/>
  <c r="H57" i="23"/>
  <c r="H59" i="23"/>
  <c r="H51" i="23"/>
  <c r="H61" i="23"/>
  <c r="H58" i="23"/>
  <c r="H60" i="23"/>
  <c r="E60" i="23"/>
  <c r="H27" i="23"/>
  <c r="H29" i="23" s="1"/>
  <c r="B123" i="24"/>
  <c r="B117" i="24" s="1"/>
  <c r="B104" i="24"/>
  <c r="C96" i="24"/>
  <c r="C97" i="24"/>
  <c r="D131" i="24"/>
  <c r="D142" i="24" s="1"/>
  <c r="B112" i="24"/>
  <c r="B119" i="24" s="1"/>
  <c r="G130" i="24"/>
  <c r="G212" i="24"/>
  <c r="J71" i="24"/>
  <c r="J60" i="24"/>
  <c r="D71" i="24"/>
  <c r="D60" i="24"/>
  <c r="C60" i="24"/>
  <c r="C71" i="24"/>
  <c r="C116" i="24"/>
  <c r="H97" i="24"/>
  <c r="H96" i="24"/>
  <c r="H93" i="24" s="1"/>
  <c r="C82" i="24"/>
  <c r="C113" i="24"/>
  <c r="C120" i="24" s="1"/>
  <c r="F96" i="24"/>
  <c r="F97" i="24"/>
  <c r="E96" i="24"/>
  <c r="E97" i="24"/>
  <c r="I130" i="24"/>
  <c r="I212" i="24"/>
  <c r="I131" i="24"/>
  <c r="I142" i="24" s="1"/>
  <c r="I213" i="24"/>
  <c r="E72" i="24"/>
  <c r="E61" i="24"/>
  <c r="K212" i="24"/>
  <c r="C112" i="24"/>
  <c r="C119" i="24" s="1"/>
  <c r="K97" i="24"/>
  <c r="K96" i="24"/>
  <c r="K93" i="24" s="1"/>
  <c r="G71" i="24"/>
  <c r="G60" i="24"/>
  <c r="I61" i="24"/>
  <c r="I72" i="24"/>
  <c r="H71" i="24"/>
  <c r="H60" i="24"/>
  <c r="H112" i="24"/>
  <c r="H119" i="24" s="1"/>
  <c r="F26" i="24"/>
  <c r="F28" i="24" s="1"/>
  <c r="C114" i="24"/>
  <c r="C121" i="24" s="1"/>
  <c r="I83" i="24"/>
  <c r="I132" i="24" s="1"/>
  <c r="I143" i="24" s="1"/>
  <c r="H82" i="24"/>
  <c r="H114" i="24"/>
  <c r="H121" i="24" s="1"/>
  <c r="F112" i="24"/>
  <c r="F119" i="24" s="1"/>
  <c r="F115" i="24"/>
  <c r="F122" i="24" s="1"/>
  <c r="F113" i="24"/>
  <c r="F120" i="24" s="1"/>
  <c r="F116" i="24"/>
  <c r="F114" i="24"/>
  <c r="F121" i="24" s="1"/>
  <c r="K130" i="24"/>
  <c r="H130" i="24"/>
  <c r="H212" i="24"/>
  <c r="H116" i="24"/>
  <c r="F93" i="24"/>
  <c r="G114" i="24"/>
  <c r="G121" i="24" s="1"/>
  <c r="B60" i="24"/>
  <c r="B71" i="24"/>
  <c r="H113" i="24"/>
  <c r="H120" i="24" s="1"/>
  <c r="G116" i="24"/>
  <c r="D128" i="24"/>
  <c r="D94" i="24"/>
  <c r="D185" i="24"/>
  <c r="J97" i="24"/>
  <c r="J96" i="24"/>
  <c r="J93" i="24" s="1"/>
  <c r="J82" i="24"/>
  <c r="J81" i="24"/>
  <c r="E112" i="24"/>
  <c r="E119" i="24" s="1"/>
  <c r="D82" i="24"/>
  <c r="J113" i="24"/>
  <c r="J120" i="24" s="1"/>
  <c r="J116" i="24"/>
  <c r="J114" i="24"/>
  <c r="J121" i="24" s="1"/>
  <c r="J112" i="24"/>
  <c r="J119" i="24" s="1"/>
  <c r="J115" i="24"/>
  <c r="J122" i="24" s="1"/>
  <c r="B97" i="24"/>
  <c r="B96" i="24"/>
  <c r="B93" i="24" s="1"/>
  <c r="G96" i="24"/>
  <c r="G97" i="24"/>
  <c r="F71" i="24"/>
  <c r="F60" i="24"/>
  <c r="F99" i="24"/>
  <c r="D100" i="24"/>
  <c r="I112" i="24"/>
  <c r="I119" i="24" s="1"/>
  <c r="B82" i="24"/>
  <c r="K113" i="24"/>
  <c r="K120" i="24" s="1"/>
  <c r="K116" i="24"/>
  <c r="K114" i="24"/>
  <c r="K121" i="24" s="1"/>
  <c r="K112" i="24"/>
  <c r="K119" i="24" s="1"/>
  <c r="K115" i="24"/>
  <c r="K122" i="24" s="1"/>
  <c r="H115" i="24"/>
  <c r="H122" i="24" s="1"/>
  <c r="E104" i="24"/>
  <c r="E123" i="24"/>
  <c r="E117" i="24" s="1"/>
  <c r="F82" i="24"/>
  <c r="D81" i="24"/>
  <c r="D112" i="24"/>
  <c r="D119" i="24" s="1"/>
  <c r="D115" i="24"/>
  <c r="D122" i="24" s="1"/>
  <c r="D113" i="24"/>
  <c r="D120" i="24" s="1"/>
  <c r="D116" i="24"/>
  <c r="D114" i="24"/>
  <c r="D121" i="24" s="1"/>
  <c r="I116" i="24"/>
  <c r="K71" i="24"/>
  <c r="K60" i="24"/>
  <c r="D192" i="24"/>
  <c r="D202" i="24" s="1"/>
  <c r="D25" i="24"/>
  <c r="D27" i="24" s="1"/>
  <c r="B92" i="23"/>
  <c r="B84" i="23"/>
  <c r="B85" i="23" s="1"/>
  <c r="B83" i="23"/>
  <c r="B8" i="23"/>
  <c r="B4" i="23"/>
  <c r="B3" i="23"/>
  <c r="B50" i="23" s="1"/>
  <c r="B30" i="23"/>
  <c r="B10" i="23" s="1"/>
  <c r="B21" i="23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B81" i="23" l="1"/>
  <c r="B79" i="23"/>
  <c r="H77" i="23"/>
  <c r="H76" i="23" s="1"/>
  <c r="H65" i="23"/>
  <c r="H72" i="23" s="1"/>
  <c r="H64" i="23"/>
  <c r="H71" i="23" s="1"/>
  <c r="C91" i="23"/>
  <c r="C94" i="23" s="1"/>
  <c r="C93" i="23" s="1"/>
  <c r="C90" i="23" s="1"/>
  <c r="C87" i="23" s="1"/>
  <c r="E82" i="23"/>
  <c r="G91" i="23"/>
  <c r="G94" i="23"/>
  <c r="G93" i="23" s="1"/>
  <c r="G90" i="23" s="1"/>
  <c r="G87" i="23" s="1"/>
  <c r="D77" i="23"/>
  <c r="D76" i="23" s="1"/>
  <c r="E77" i="23"/>
  <c r="E76" i="23" s="1"/>
  <c r="H91" i="23"/>
  <c r="H94" i="23"/>
  <c r="H93" i="23" s="1"/>
  <c r="H90" i="23" s="1"/>
  <c r="H87" i="23" s="1"/>
  <c r="D82" i="23"/>
  <c r="C77" i="23"/>
  <c r="C76" i="23" s="1"/>
  <c r="K104" i="24"/>
  <c r="K123" i="24"/>
  <c r="K117" i="24" s="1"/>
  <c r="I104" i="24"/>
  <c r="I123" i="24"/>
  <c r="I117" i="24" s="1"/>
  <c r="B72" i="24"/>
  <c r="B61" i="24"/>
  <c r="H131" i="24"/>
  <c r="H142" i="24" s="1"/>
  <c r="H213" i="24"/>
  <c r="F61" i="24"/>
  <c r="F72" i="24"/>
  <c r="K82" i="24"/>
  <c r="J130" i="24"/>
  <c r="J212" i="24"/>
  <c r="C123" i="24"/>
  <c r="C117" i="24" s="1"/>
  <c r="C104" i="24"/>
  <c r="G141" i="24"/>
  <c r="F128" i="24"/>
  <c r="F130" i="24" s="1"/>
  <c r="F94" i="24"/>
  <c r="F185" i="24"/>
  <c r="I141" i="24"/>
  <c r="J131" i="24"/>
  <c r="J142" i="24" s="1"/>
  <c r="J213" i="24"/>
  <c r="K141" i="24"/>
  <c r="I214" i="24"/>
  <c r="D130" i="24"/>
  <c r="B131" i="24"/>
  <c r="B142" i="24" s="1"/>
  <c r="C72" i="24"/>
  <c r="C61" i="24"/>
  <c r="F104" i="24"/>
  <c r="F123" i="24"/>
  <c r="F117" i="24" s="1"/>
  <c r="H61" i="24"/>
  <c r="H72" i="24"/>
  <c r="D72" i="24"/>
  <c r="D61" i="24"/>
  <c r="J104" i="24"/>
  <c r="J123" i="24"/>
  <c r="J117" i="24" s="1"/>
  <c r="E73" i="24"/>
  <c r="E62" i="24"/>
  <c r="H104" i="24"/>
  <c r="H123" i="24"/>
  <c r="H117" i="24" s="1"/>
  <c r="H141" i="24"/>
  <c r="D227" i="24"/>
  <c r="D239" i="24"/>
  <c r="D210" i="24"/>
  <c r="D213" i="24" s="1"/>
  <c r="G82" i="24"/>
  <c r="B185" i="24"/>
  <c r="B128" i="24"/>
  <c r="B130" i="24" s="1"/>
  <c r="B94" i="24"/>
  <c r="I73" i="24"/>
  <c r="I62" i="24"/>
  <c r="E93" i="24"/>
  <c r="J83" i="24"/>
  <c r="C93" i="24"/>
  <c r="D104" i="24"/>
  <c r="D123" i="24"/>
  <c r="D117" i="24" s="1"/>
  <c r="H83" i="24"/>
  <c r="G93" i="24"/>
  <c r="J72" i="24"/>
  <c r="J61" i="24"/>
  <c r="G104" i="24"/>
  <c r="G123" i="24"/>
  <c r="G117" i="24" s="1"/>
  <c r="K72" i="24"/>
  <c r="K83" i="24" s="1"/>
  <c r="K61" i="24"/>
  <c r="E83" i="24"/>
  <c r="B83" i="24"/>
  <c r="G61" i="24"/>
  <c r="G72" i="24"/>
  <c r="B82" i="23"/>
  <c r="B27" i="23"/>
  <c r="B29" i="23" s="1"/>
  <c r="B57" i="23"/>
  <c r="B51" i="23"/>
  <c r="B61" i="23"/>
  <c r="H67" i="23" s="1"/>
  <c r="B60" i="23"/>
  <c r="B26" i="23"/>
  <c r="B28" i="23" s="1"/>
  <c r="B58" i="23"/>
  <c r="B54" i="23"/>
  <c r="B59" i="23"/>
  <c r="C90" i="9"/>
  <c r="D90" i="9"/>
  <c r="E90" i="9"/>
  <c r="F90" i="9"/>
  <c r="G90" i="9"/>
  <c r="H90" i="9"/>
  <c r="B90" i="9"/>
  <c r="C82" i="9"/>
  <c r="D82" i="9"/>
  <c r="E82" i="9"/>
  <c r="F82" i="9"/>
  <c r="G82" i="9"/>
  <c r="H82" i="9"/>
  <c r="B82" i="9"/>
  <c r="F66" i="23" l="1"/>
  <c r="F73" i="23" s="1"/>
  <c r="G66" i="23"/>
  <c r="G73" i="23" s="1"/>
  <c r="C66" i="23"/>
  <c r="C73" i="23" s="1"/>
  <c r="D66" i="23"/>
  <c r="D73" i="23" s="1"/>
  <c r="E66" i="23"/>
  <c r="E73" i="23" s="1"/>
  <c r="F63" i="23"/>
  <c r="F70" i="23" s="1"/>
  <c r="G63" i="23"/>
  <c r="G70" i="23" s="1"/>
  <c r="C63" i="23"/>
  <c r="C70" i="23" s="1"/>
  <c r="E63" i="23"/>
  <c r="E70" i="23" s="1"/>
  <c r="D63" i="23"/>
  <c r="D70" i="23" s="1"/>
  <c r="F65" i="23"/>
  <c r="F72" i="23" s="1"/>
  <c r="C65" i="23"/>
  <c r="C72" i="23" s="1"/>
  <c r="G65" i="23"/>
  <c r="G72" i="23" s="1"/>
  <c r="D65" i="23"/>
  <c r="D72" i="23" s="1"/>
  <c r="E65" i="23"/>
  <c r="E72" i="23" s="1"/>
  <c r="F67" i="23"/>
  <c r="G67" i="23"/>
  <c r="C67" i="23"/>
  <c r="D67" i="23"/>
  <c r="E67" i="23"/>
  <c r="H66" i="23"/>
  <c r="H73" i="23" s="1"/>
  <c r="H63" i="23"/>
  <c r="H70" i="23" s="1"/>
  <c r="F64" i="23"/>
  <c r="F71" i="23" s="1"/>
  <c r="G64" i="23"/>
  <c r="G71" i="23" s="1"/>
  <c r="C64" i="23"/>
  <c r="C71" i="23" s="1"/>
  <c r="D64" i="23"/>
  <c r="D71" i="23" s="1"/>
  <c r="E64" i="23"/>
  <c r="E71" i="23" s="1"/>
  <c r="D91" i="23"/>
  <c r="D94" i="23" s="1"/>
  <c r="D93" i="23" s="1"/>
  <c r="D90" i="23" s="1"/>
  <c r="D87" i="23" s="1"/>
  <c r="E91" i="23"/>
  <c r="E94" i="23" s="1"/>
  <c r="E93" i="23" s="1"/>
  <c r="E90" i="23" s="1"/>
  <c r="E87" i="23" s="1"/>
  <c r="H55" i="23"/>
  <c r="H74" i="23"/>
  <c r="H68" i="23" s="1"/>
  <c r="K132" i="24"/>
  <c r="K143" i="24" s="1"/>
  <c r="K214" i="24"/>
  <c r="G73" i="24"/>
  <c r="G62" i="24"/>
  <c r="B132" i="24"/>
  <c r="B143" i="24" s="1"/>
  <c r="B214" i="24"/>
  <c r="E132" i="24"/>
  <c r="E143" i="24" s="1"/>
  <c r="B73" i="24"/>
  <c r="B62" i="24"/>
  <c r="E63" i="24"/>
  <c r="E74" i="24"/>
  <c r="E85" i="24" s="1"/>
  <c r="H132" i="24"/>
  <c r="H214" i="24"/>
  <c r="E128" i="24"/>
  <c r="E94" i="24"/>
  <c r="E185" i="24"/>
  <c r="G83" i="24"/>
  <c r="B141" i="24"/>
  <c r="C185" i="24"/>
  <c r="C128" i="24"/>
  <c r="C94" i="24"/>
  <c r="I85" i="24"/>
  <c r="G131" i="24"/>
  <c r="G213" i="24"/>
  <c r="F141" i="24"/>
  <c r="I74" i="24"/>
  <c r="I63" i="24"/>
  <c r="K73" i="24"/>
  <c r="K62" i="24"/>
  <c r="C73" i="24"/>
  <c r="C62" i="24"/>
  <c r="D141" i="24"/>
  <c r="I84" i="24"/>
  <c r="J141" i="24"/>
  <c r="C83" i="24"/>
  <c r="H73" i="24"/>
  <c r="H62" i="24"/>
  <c r="F73" i="24"/>
  <c r="F62" i="24"/>
  <c r="F239" i="24"/>
  <c r="F210" i="24"/>
  <c r="F227" i="24"/>
  <c r="J132" i="24"/>
  <c r="J143" i="24" s="1"/>
  <c r="J214" i="24"/>
  <c r="B227" i="24"/>
  <c r="B239" i="24"/>
  <c r="B210" i="24"/>
  <c r="E84" i="24"/>
  <c r="J73" i="24"/>
  <c r="J62" i="24"/>
  <c r="D73" i="24"/>
  <c r="D62" i="24"/>
  <c r="J84" i="24"/>
  <c r="D84" i="24"/>
  <c r="H84" i="24"/>
  <c r="F131" i="24"/>
  <c r="F142" i="24" s="1"/>
  <c r="D83" i="24"/>
  <c r="F83" i="24"/>
  <c r="K131" i="24"/>
  <c r="K213" i="24"/>
  <c r="D212" i="24"/>
  <c r="B91" i="23"/>
  <c r="B94" i="23" s="1"/>
  <c r="B93" i="23" s="1"/>
  <c r="B90" i="23" s="1"/>
  <c r="B87" i="23" s="1"/>
  <c r="B77" i="23"/>
  <c r="B63" i="23"/>
  <c r="B70" i="23" s="1"/>
  <c r="B67" i="23"/>
  <c r="B65" i="23"/>
  <c r="B72" i="23" s="1"/>
  <c r="B64" i="23"/>
  <c r="B71" i="23" s="1"/>
  <c r="B66" i="23"/>
  <c r="B73" i="23" s="1"/>
  <c r="N26" i="9"/>
  <c r="C2" i="9"/>
  <c r="C3" i="9" s="1"/>
  <c r="D2" i="9"/>
  <c r="D3" i="9" s="1"/>
  <c r="E2" i="9"/>
  <c r="E3" i="9" s="1"/>
  <c r="F2" i="9"/>
  <c r="F3" i="9" s="1"/>
  <c r="G2" i="9"/>
  <c r="G3" i="9" s="1"/>
  <c r="H2" i="9"/>
  <c r="H3" i="9" s="1"/>
  <c r="I2" i="9"/>
  <c r="I3" i="9" s="1"/>
  <c r="J2" i="9"/>
  <c r="J3" i="9" s="1"/>
  <c r="K2" i="9"/>
  <c r="K3" i="9" s="1"/>
  <c r="B2" i="9"/>
  <c r="B3" i="9" s="1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E1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F74" i="23" l="1"/>
  <c r="F68" i="23" s="1"/>
  <c r="F55" i="23"/>
  <c r="E74" i="23"/>
  <c r="E68" i="23" s="1"/>
  <c r="E55" i="23"/>
  <c r="D74" i="23"/>
  <c r="D68" i="23" s="1"/>
  <c r="D55" i="23"/>
  <c r="C55" i="23"/>
  <c r="C74" i="23"/>
  <c r="C68" i="23" s="1"/>
  <c r="G74" i="23"/>
  <c r="G68" i="23" s="1"/>
  <c r="G55" i="23"/>
  <c r="E134" i="24"/>
  <c r="E145" i="24" s="1"/>
  <c r="K142" i="24"/>
  <c r="G142" i="24"/>
  <c r="C130" i="24"/>
  <c r="C131" i="24"/>
  <c r="C142" i="24" s="1"/>
  <c r="B63" i="24"/>
  <c r="B74" i="24"/>
  <c r="C227" i="24"/>
  <c r="C239" i="24"/>
  <c r="C210" i="24"/>
  <c r="F212" i="24"/>
  <c r="F213" i="24"/>
  <c r="I216" i="24"/>
  <c r="I134" i="24"/>
  <c r="I145" i="24" s="1"/>
  <c r="J133" i="24"/>
  <c r="J144" i="24" s="1"/>
  <c r="J215" i="24"/>
  <c r="H133" i="24"/>
  <c r="H144" i="24" s="1"/>
  <c r="H215" i="24"/>
  <c r="D133" i="24"/>
  <c r="D144" i="24" s="1"/>
  <c r="D215" i="24"/>
  <c r="D63" i="24"/>
  <c r="D74" i="24"/>
  <c r="F74" i="24"/>
  <c r="F63" i="24"/>
  <c r="K74" i="24"/>
  <c r="K63" i="24"/>
  <c r="B84" i="24"/>
  <c r="F132" i="24"/>
  <c r="F143" i="24" s="1"/>
  <c r="F214" i="24"/>
  <c r="D85" i="24"/>
  <c r="F85" i="24"/>
  <c r="K85" i="24"/>
  <c r="G132" i="24"/>
  <c r="G143" i="24" s="1"/>
  <c r="G214" i="24"/>
  <c r="J74" i="24"/>
  <c r="J63" i="24"/>
  <c r="I64" i="24"/>
  <c r="I75" i="24"/>
  <c r="E227" i="24"/>
  <c r="E239" i="24"/>
  <c r="E210" i="24"/>
  <c r="C63" i="24"/>
  <c r="C74" i="24"/>
  <c r="F84" i="24"/>
  <c r="I86" i="24"/>
  <c r="G74" i="24"/>
  <c r="G63" i="24"/>
  <c r="E75" i="24"/>
  <c r="E86" i="24" s="1"/>
  <c r="E64" i="24"/>
  <c r="E133" i="24"/>
  <c r="E144" i="24" s="1"/>
  <c r="E215" i="24"/>
  <c r="H74" i="24"/>
  <c r="H63" i="24"/>
  <c r="E130" i="24"/>
  <c r="E131" i="24"/>
  <c r="E142" i="24" s="1"/>
  <c r="H85" i="24"/>
  <c r="C84" i="24"/>
  <c r="G84" i="24"/>
  <c r="D214" i="24"/>
  <c r="D132" i="24"/>
  <c r="B212" i="24"/>
  <c r="B213" i="24"/>
  <c r="K84" i="24"/>
  <c r="I215" i="24"/>
  <c r="I133" i="24"/>
  <c r="C132" i="24"/>
  <c r="C143" i="24" s="1"/>
  <c r="C214" i="24"/>
  <c r="H143" i="24"/>
  <c r="B74" i="23"/>
  <c r="B68" i="23" s="1"/>
  <c r="B55" i="23"/>
  <c r="J224" i="17"/>
  <c r="C8" i="17"/>
  <c r="C2" i="17" s="1"/>
  <c r="C3" i="17" s="1"/>
  <c r="K8" i="17"/>
  <c r="K2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K7" i="17"/>
  <c r="K3" i="17"/>
  <c r="K103" i="17" s="1"/>
  <c r="K4" i="17"/>
  <c r="K5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G3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E135" i="24" l="1"/>
  <c r="E146" i="24" s="1"/>
  <c r="E217" i="24"/>
  <c r="E76" i="24"/>
  <c r="E65" i="24"/>
  <c r="G86" i="24"/>
  <c r="I217" i="24"/>
  <c r="I135" i="24"/>
  <c r="I146" i="24" s="1"/>
  <c r="C86" i="24"/>
  <c r="B75" i="24"/>
  <c r="B64" i="24"/>
  <c r="G75" i="24"/>
  <c r="G64" i="24"/>
  <c r="D134" i="24"/>
  <c r="D145" i="24" s="1"/>
  <c r="D216" i="24"/>
  <c r="F215" i="24"/>
  <c r="F133" i="24"/>
  <c r="G85" i="24"/>
  <c r="C75" i="24"/>
  <c r="C64" i="24"/>
  <c r="B133" i="24"/>
  <c r="B215" i="24"/>
  <c r="C85" i="24"/>
  <c r="J64" i="24"/>
  <c r="J75" i="24"/>
  <c r="J86" i="24" s="1"/>
  <c r="E212" i="24"/>
  <c r="E213" i="24"/>
  <c r="E214" i="24"/>
  <c r="K64" i="24"/>
  <c r="K75" i="24"/>
  <c r="K134" i="24"/>
  <c r="K145" i="24" s="1"/>
  <c r="K216" i="24"/>
  <c r="F134" i="24"/>
  <c r="F145" i="24" s="1"/>
  <c r="F216" i="24"/>
  <c r="G133" i="24"/>
  <c r="G144" i="24" s="1"/>
  <c r="G215" i="24"/>
  <c r="E141" i="24"/>
  <c r="D143" i="24"/>
  <c r="H216" i="24"/>
  <c r="H134" i="24"/>
  <c r="F75" i="24"/>
  <c r="F86" i="24" s="1"/>
  <c r="F64" i="24"/>
  <c r="B85" i="24"/>
  <c r="E87" i="24"/>
  <c r="C141" i="24"/>
  <c r="C133" i="24"/>
  <c r="C144" i="24" s="1"/>
  <c r="C215" i="24"/>
  <c r="J85" i="24"/>
  <c r="H64" i="24"/>
  <c r="H75" i="24"/>
  <c r="I87" i="24"/>
  <c r="C212" i="24"/>
  <c r="C213" i="24"/>
  <c r="D75" i="24"/>
  <c r="D86" i="24" s="1"/>
  <c r="D64" i="24"/>
  <c r="I144" i="24"/>
  <c r="K133" i="24"/>
  <c r="K215" i="24"/>
  <c r="I76" i="24"/>
  <c r="I65" i="24"/>
  <c r="E216" i="24"/>
  <c r="G5" i="17"/>
  <c r="H29" i="17"/>
  <c r="C5" i="17"/>
  <c r="C25" i="17" s="1"/>
  <c r="C27" i="17" s="1"/>
  <c r="C29" i="17"/>
  <c r="I3" i="17"/>
  <c r="I5" i="17"/>
  <c r="I4" i="17"/>
  <c r="I29" i="17"/>
  <c r="E20" i="17"/>
  <c r="D3" i="17"/>
  <c r="D106" i="17" s="1"/>
  <c r="D5" i="17"/>
  <c r="D25" i="17" s="1"/>
  <c r="D27" i="17" s="1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J25" i="17" s="1"/>
  <c r="J27" i="17" s="1"/>
  <c r="E103" i="17"/>
  <c r="E25" i="17"/>
  <c r="E27" i="17" s="1"/>
  <c r="I109" i="17"/>
  <c r="G100" i="17"/>
  <c r="G103" i="17"/>
  <c r="G107" i="17"/>
  <c r="G25" i="17"/>
  <c r="G27" i="17" s="1"/>
  <c r="G108" i="17"/>
  <c r="G106" i="17"/>
  <c r="I110" i="17"/>
  <c r="I25" i="17"/>
  <c r="I27" i="17" s="1"/>
  <c r="I100" i="17"/>
  <c r="I26" i="17"/>
  <c r="I28" i="17" s="1"/>
  <c r="G110" i="17"/>
  <c r="I108" i="17"/>
  <c r="I107" i="17"/>
  <c r="G26" i="17"/>
  <c r="G28" i="17" s="1"/>
  <c r="J108" i="17"/>
  <c r="J107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I103" i="17"/>
  <c r="I99" i="17"/>
  <c r="I106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F217" i="24" l="1"/>
  <c r="F135" i="24"/>
  <c r="F146" i="24" s="1"/>
  <c r="D135" i="24"/>
  <c r="D217" i="24"/>
  <c r="J135" i="24"/>
  <c r="J146" i="24" s="1"/>
  <c r="J217" i="24"/>
  <c r="J76" i="24"/>
  <c r="J65" i="24"/>
  <c r="D76" i="24"/>
  <c r="D87" i="24" s="1"/>
  <c r="D65" i="24"/>
  <c r="B134" i="24"/>
  <c r="B145" i="24" s="1"/>
  <c r="B216" i="24"/>
  <c r="F76" i="24"/>
  <c r="F65" i="24"/>
  <c r="I136" i="24"/>
  <c r="I218" i="24"/>
  <c r="F144" i="24"/>
  <c r="F87" i="24"/>
  <c r="I77" i="24"/>
  <c r="I66" i="24"/>
  <c r="H87" i="24"/>
  <c r="J87" i="24"/>
  <c r="E218" i="24"/>
  <c r="E136" i="24"/>
  <c r="B144" i="24"/>
  <c r="H76" i="24"/>
  <c r="H65" i="24"/>
  <c r="K87" i="24"/>
  <c r="C217" i="24"/>
  <c r="C135" i="24"/>
  <c r="C146" i="24" s="1"/>
  <c r="C76" i="24"/>
  <c r="C65" i="24"/>
  <c r="H86" i="24"/>
  <c r="K76" i="24"/>
  <c r="K65" i="24"/>
  <c r="G135" i="24"/>
  <c r="G146" i="24" s="1"/>
  <c r="G217" i="24"/>
  <c r="J134" i="24"/>
  <c r="J216" i="24"/>
  <c r="G76" i="24"/>
  <c r="G65" i="24"/>
  <c r="C134" i="24"/>
  <c r="C145" i="24" s="1"/>
  <c r="C216" i="24"/>
  <c r="E66" i="24"/>
  <c r="E77" i="24"/>
  <c r="H145" i="24"/>
  <c r="K86" i="24"/>
  <c r="B86" i="24"/>
  <c r="G134" i="24"/>
  <c r="G145" i="24" s="1"/>
  <c r="G216" i="24"/>
  <c r="K144" i="24"/>
  <c r="B76" i="24"/>
  <c r="B65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D218" i="24" l="1"/>
  <c r="D136" i="24"/>
  <c r="D147" i="24" s="1"/>
  <c r="B77" i="24"/>
  <c r="B66" i="24"/>
  <c r="B88" i="24"/>
  <c r="I78" i="24"/>
  <c r="I67" i="24"/>
  <c r="I79" i="24" s="1"/>
  <c r="H136" i="24"/>
  <c r="H147" i="24" s="1"/>
  <c r="H218" i="24"/>
  <c r="D66" i="24"/>
  <c r="D77" i="24"/>
  <c r="D88" i="24" s="1"/>
  <c r="C88" i="24"/>
  <c r="J77" i="24"/>
  <c r="J66" i="24"/>
  <c r="G66" i="24"/>
  <c r="G77" i="24"/>
  <c r="H135" i="24"/>
  <c r="H217" i="24"/>
  <c r="J136" i="24"/>
  <c r="J147" i="24" s="1"/>
  <c r="J218" i="24"/>
  <c r="E78" i="24"/>
  <c r="E67" i="24"/>
  <c r="E79" i="24" s="1"/>
  <c r="F136" i="24"/>
  <c r="F218" i="24"/>
  <c r="K136" i="24"/>
  <c r="K147" i="24" s="1"/>
  <c r="K218" i="24"/>
  <c r="D146" i="24"/>
  <c r="C77" i="24"/>
  <c r="C66" i="24"/>
  <c r="J88" i="24"/>
  <c r="F88" i="24"/>
  <c r="I89" i="24"/>
  <c r="B87" i="24"/>
  <c r="H77" i="24"/>
  <c r="H66" i="24"/>
  <c r="J145" i="24"/>
  <c r="I147" i="24"/>
  <c r="E88" i="24"/>
  <c r="C87" i="24"/>
  <c r="K77" i="24"/>
  <c r="K66" i="24"/>
  <c r="E147" i="24"/>
  <c r="I88" i="24"/>
  <c r="B135" i="24"/>
  <c r="B217" i="24"/>
  <c r="G87" i="24"/>
  <c r="F66" i="24"/>
  <c r="F77" i="24"/>
  <c r="K135" i="24"/>
  <c r="K217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D137" i="24" l="1"/>
  <c r="D219" i="24"/>
  <c r="C137" i="24"/>
  <c r="C148" i="24" s="1"/>
  <c r="C219" i="24"/>
  <c r="C218" i="24"/>
  <c r="C136" i="24"/>
  <c r="H78" i="24"/>
  <c r="H67" i="24"/>
  <c r="H79" i="24" s="1"/>
  <c r="H89" i="24"/>
  <c r="I138" i="24"/>
  <c r="I149" i="24" s="1"/>
  <c r="I220" i="24"/>
  <c r="F137" i="24"/>
  <c r="F148" i="24" s="1"/>
  <c r="F219" i="24"/>
  <c r="I90" i="24"/>
  <c r="K146" i="24"/>
  <c r="E137" i="24"/>
  <c r="E219" i="24"/>
  <c r="G78" i="24"/>
  <c r="G67" i="24"/>
  <c r="G79" i="24" s="1"/>
  <c r="D78" i="24"/>
  <c r="D67" i="24"/>
  <c r="D79" i="24" s="1"/>
  <c r="F147" i="24"/>
  <c r="B136" i="24"/>
  <c r="B147" i="24" s="1"/>
  <c r="B218" i="24"/>
  <c r="E90" i="24"/>
  <c r="B137" i="24"/>
  <c r="B148" i="24" s="1"/>
  <c r="B219" i="24"/>
  <c r="J137" i="24"/>
  <c r="J219" i="24"/>
  <c r="B78" i="24"/>
  <c r="B67" i="24"/>
  <c r="B79" i="24" s="1"/>
  <c r="C78" i="24"/>
  <c r="C67" i="24"/>
  <c r="C79" i="24" s="1"/>
  <c r="G89" i="24"/>
  <c r="J67" i="24"/>
  <c r="J79" i="24" s="1"/>
  <c r="J78" i="24"/>
  <c r="J90" i="24" s="1"/>
  <c r="G136" i="24"/>
  <c r="G147" i="24" s="1"/>
  <c r="G218" i="24"/>
  <c r="B146" i="24"/>
  <c r="I137" i="24"/>
  <c r="I219" i="24"/>
  <c r="H88" i="24"/>
  <c r="E89" i="24"/>
  <c r="K67" i="24"/>
  <c r="K79" i="24" s="1"/>
  <c r="K78" i="24"/>
  <c r="K90" i="24" s="1"/>
  <c r="K88" i="24"/>
  <c r="H146" i="24"/>
  <c r="C89" i="24"/>
  <c r="F78" i="24"/>
  <c r="F89" i="24" s="1"/>
  <c r="F67" i="24"/>
  <c r="F79" i="24" s="1"/>
  <c r="G88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220" i="24" l="1"/>
  <c r="F138" i="24"/>
  <c r="F149" i="24" s="1"/>
  <c r="H220" i="24"/>
  <c r="H138" i="24"/>
  <c r="H149" i="24" s="1"/>
  <c r="K137" i="24"/>
  <c r="K219" i="24"/>
  <c r="H90" i="24"/>
  <c r="B90" i="24"/>
  <c r="F90" i="24"/>
  <c r="K221" i="24"/>
  <c r="K139" i="24"/>
  <c r="K150" i="24" s="1"/>
  <c r="K91" i="24"/>
  <c r="E139" i="24"/>
  <c r="E150" i="24" s="1"/>
  <c r="E221" i="24"/>
  <c r="E91" i="24"/>
  <c r="J221" i="24"/>
  <c r="J139" i="24"/>
  <c r="J150" i="24" s="1"/>
  <c r="C138" i="24"/>
  <c r="C149" i="24" s="1"/>
  <c r="C220" i="24"/>
  <c r="H137" i="24"/>
  <c r="H219" i="24"/>
  <c r="I148" i="24"/>
  <c r="I151" i="24"/>
  <c r="I153" i="24" s="1"/>
  <c r="J148" i="24"/>
  <c r="G90" i="24"/>
  <c r="B89" i="24"/>
  <c r="G138" i="24"/>
  <c r="G149" i="24" s="1"/>
  <c r="G220" i="24"/>
  <c r="C147" i="24"/>
  <c r="E148" i="24"/>
  <c r="J89" i="24"/>
  <c r="J91" i="24" s="1"/>
  <c r="K89" i="24"/>
  <c r="D90" i="24"/>
  <c r="C90" i="24"/>
  <c r="E138" i="24"/>
  <c r="E149" i="24" s="1"/>
  <c r="E220" i="24"/>
  <c r="E222" i="24" s="1"/>
  <c r="E223" i="24" s="1"/>
  <c r="E226" i="24" s="1"/>
  <c r="G219" i="24"/>
  <c r="G137" i="24"/>
  <c r="G148" i="24" s="1"/>
  <c r="D89" i="24"/>
  <c r="I139" i="24"/>
  <c r="I150" i="24" s="1"/>
  <c r="I221" i="24"/>
  <c r="I222" i="24" s="1"/>
  <c r="I223" i="24" s="1"/>
  <c r="I91" i="24"/>
  <c r="D148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C74" i="17"/>
  <c r="C63" i="17"/>
  <c r="G84" i="17"/>
  <c r="I132" i="17"/>
  <c r="I85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B138" i="24" l="1"/>
  <c r="B220" i="24"/>
  <c r="G139" i="24"/>
  <c r="G221" i="24"/>
  <c r="G222" i="24" s="1"/>
  <c r="G223" i="24" s="1"/>
  <c r="G91" i="24"/>
  <c r="K148" i="24"/>
  <c r="K152" i="24" s="1"/>
  <c r="K154" i="24" s="1"/>
  <c r="K151" i="24"/>
  <c r="K153" i="24" s="1"/>
  <c r="C139" i="24"/>
  <c r="C150" i="24" s="1"/>
  <c r="C152" i="24" s="1"/>
  <c r="C154" i="24" s="1"/>
  <c r="C221" i="24"/>
  <c r="C222" i="24" s="1"/>
  <c r="C223" i="24" s="1"/>
  <c r="C91" i="24"/>
  <c r="H139" i="24"/>
  <c r="H150" i="24" s="1"/>
  <c r="H152" i="24" s="1"/>
  <c r="H221" i="24"/>
  <c r="H222" i="24" s="1"/>
  <c r="H223" i="24" s="1"/>
  <c r="H226" i="24" s="1"/>
  <c r="H91" i="24"/>
  <c r="D138" i="24"/>
  <c r="D220" i="24"/>
  <c r="D221" i="24"/>
  <c r="D139" i="24"/>
  <c r="D150" i="24" s="1"/>
  <c r="D91" i="24"/>
  <c r="K138" i="24"/>
  <c r="K149" i="24" s="1"/>
  <c r="K220" i="24"/>
  <c r="K222" i="24" s="1"/>
  <c r="K223" i="24" s="1"/>
  <c r="K226" i="24" s="1"/>
  <c r="B139" i="24"/>
  <c r="B150" i="24" s="1"/>
  <c r="B221" i="24"/>
  <c r="B222" i="24" s="1"/>
  <c r="B223" i="24" s="1"/>
  <c r="B91" i="24"/>
  <c r="E151" i="24"/>
  <c r="E153" i="24" s="1"/>
  <c r="E152" i="24"/>
  <c r="E154" i="24" s="1"/>
  <c r="C151" i="24"/>
  <c r="C153" i="24" s="1"/>
  <c r="F139" i="24"/>
  <c r="F221" i="24"/>
  <c r="F222" i="24" s="1"/>
  <c r="F223" i="24" s="1"/>
  <c r="F91" i="24"/>
  <c r="J138" i="24"/>
  <c r="J220" i="24"/>
  <c r="I226" i="24"/>
  <c r="H148" i="24"/>
  <c r="I152" i="24"/>
  <c r="I154" i="24" s="1"/>
  <c r="J222" i="24"/>
  <c r="J223" i="24" s="1"/>
  <c r="J226" i="24" s="1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I86" i="17"/>
  <c r="F85" i="17"/>
  <c r="F75" i="17"/>
  <c r="F86" i="17" s="1"/>
  <c r="F64" i="17"/>
  <c r="G133" i="17"/>
  <c r="G144" i="17" s="1"/>
  <c r="I64" i="17"/>
  <c r="I75" i="17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D63" i="14" s="1"/>
  <c r="C64" i="14"/>
  <c r="D64" i="14" s="1"/>
  <c r="C59" i="14"/>
  <c r="D59" i="14" s="1"/>
  <c r="D62" i="1"/>
  <c r="C8" i="1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F226" i="24" l="1"/>
  <c r="J149" i="24"/>
  <c r="J152" i="24" s="1"/>
  <c r="J151" i="24"/>
  <c r="J153" i="24" s="1"/>
  <c r="F150" i="24"/>
  <c r="F152" i="24" s="1"/>
  <c r="F151" i="24"/>
  <c r="F153" i="24" s="1"/>
  <c r="C226" i="24"/>
  <c r="B226" i="24"/>
  <c r="D149" i="24"/>
  <c r="D151" i="24"/>
  <c r="D153" i="24" s="1"/>
  <c r="H151" i="24"/>
  <c r="H153" i="24" s="1"/>
  <c r="G226" i="24"/>
  <c r="D152" i="24"/>
  <c r="D154" i="24" s="1"/>
  <c r="G150" i="24"/>
  <c r="G152" i="24" s="1"/>
  <c r="G151" i="24"/>
  <c r="G153" i="24" s="1"/>
  <c r="B47" i="23"/>
  <c r="B76" i="23" s="1"/>
  <c r="K30" i="24"/>
  <c r="J30" i="24"/>
  <c r="I30" i="24"/>
  <c r="H30" i="24"/>
  <c r="F30" i="24"/>
  <c r="G30" i="24"/>
  <c r="E30" i="24"/>
  <c r="D30" i="24"/>
  <c r="C30" i="24"/>
  <c r="B30" i="24"/>
  <c r="D222" i="24"/>
  <c r="D223" i="24" s="1"/>
  <c r="D226" i="24" s="1"/>
  <c r="H154" i="24"/>
  <c r="B149" i="24"/>
  <c r="B152" i="24" s="1"/>
  <c r="B154" i="24" s="1"/>
  <c r="B151" i="24"/>
  <c r="B153" i="24" s="1"/>
  <c r="D62" i="14"/>
  <c r="D61" i="14"/>
  <c r="B31" i="23"/>
  <c r="C65" i="14"/>
  <c r="N24" i="22"/>
  <c r="N24" i="9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65" i="17"/>
  <c r="C76" i="17"/>
  <c r="C65" i="17"/>
  <c r="F87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Y6" i="8" s="1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154" i="24" l="1"/>
  <c r="F154" i="24"/>
  <c r="J154" i="24"/>
  <c r="B64" i="22"/>
  <c r="B73" i="22"/>
  <c r="C54" i="22"/>
  <c r="F64" i="22"/>
  <c r="F73" i="22"/>
  <c r="C73" i="22"/>
  <c r="E73" i="22"/>
  <c r="C64" i="22"/>
  <c r="D54" i="22"/>
  <c r="D73" i="22"/>
  <c r="H64" i="22"/>
  <c r="G73" i="22"/>
  <c r="D64" i="22"/>
  <c r="H54" i="22"/>
  <c r="F54" i="22"/>
  <c r="H73" i="22"/>
  <c r="G64" i="22"/>
  <c r="E54" i="22"/>
  <c r="E64" i="22"/>
  <c r="B54" i="22"/>
  <c r="G54" i="22"/>
  <c r="I39" i="1"/>
  <c r="I35" i="1"/>
  <c r="I34" i="1"/>
  <c r="E64" i="9"/>
  <c r="H64" i="9"/>
  <c r="G54" i="9"/>
  <c r="B54" i="9"/>
  <c r="H54" i="9"/>
  <c r="B64" i="9"/>
  <c r="D73" i="9"/>
  <c r="G64" i="9"/>
  <c r="D64" i="9"/>
  <c r="E54" i="9"/>
  <c r="C73" i="9"/>
  <c r="H73" i="9"/>
  <c r="E73" i="9"/>
  <c r="B73" i="9"/>
  <c r="D54" i="9"/>
  <c r="C54" i="9"/>
  <c r="F54" i="9"/>
  <c r="G73" i="9"/>
  <c r="C64" i="9"/>
  <c r="F64" i="9"/>
  <c r="F73" i="9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C66" i="17"/>
  <c r="C77" i="17"/>
  <c r="C88" i="17" s="1"/>
  <c r="G88" i="17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AA9" i="8" s="1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5" i="8" l="1"/>
  <c r="I49" i="17"/>
  <c r="I51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I97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C93" i="17" s="1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I90" i="17" s="1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K96" i="17" l="1"/>
  <c r="K93" i="17" s="1"/>
  <c r="B96" i="17"/>
  <c r="J96" i="17"/>
  <c r="H90" i="17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B93" i="17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J93" i="17"/>
  <c r="G90" i="17"/>
  <c r="G139" i="17" s="1"/>
  <c r="G150" i="17" s="1"/>
  <c r="K89" i="17"/>
  <c r="K91" i="17" s="1"/>
  <c r="J137" i="17"/>
  <c r="J89" i="17"/>
  <c r="H139" i="17"/>
  <c r="H150" i="17" s="1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5" i="4"/>
  <c r="B171" i="4"/>
  <c r="C174" i="4"/>
  <c r="B170" i="4"/>
  <c r="B172" i="4" l="1"/>
  <c r="B174" i="4"/>
  <c r="C176" i="4"/>
  <c r="B173" i="4"/>
  <c r="A178" i="4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A179" i="4"/>
  <c r="B178" i="4"/>
  <c r="C178" i="4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K151" i="17" l="1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F239" i="17"/>
  <c r="F210" i="17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152" i="17" l="1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51" i="16" s="1"/>
  <c r="L51" i="16" s="1"/>
  <c r="N4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947E0F33-A9AA-4D79-A31A-A0472C18426B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sharedStrings.xml><?xml version="1.0" encoding="utf-8"?>
<sst xmlns="http://schemas.openxmlformats.org/spreadsheetml/2006/main" count="1081" uniqueCount="614">
  <si>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</si>
  <si>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</si>
  <si>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</si>
  <si>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</si>
  <si>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</si>
  <si>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</si>
  <si>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</si>
  <si>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</si>
  <si>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</si>
  <si>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</si>
  <si>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</si>
  <si>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</si>
  <si>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</si>
  <si>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</si>
  <si>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</si>
  <si>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</si>
  <si>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</si>
  <si>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</si>
  <si>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</si>
  <si>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</si>
  <si>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</si>
  <si>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</si>
  <si>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</si>
  <si>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</si>
  <si>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</si>
  <si>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</si>
  <si>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</si>
  <si>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</si>
  <si>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</si>
  <si>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</si>
  <si>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</si>
  <si>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</si>
  <si>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</si>
  <si>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</si>
  <si>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</si>
  <si>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</si>
  <si>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</si>
  <si>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</si>
  <si>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</si>
  <si>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</si>
  <si>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</si>
  <si>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</si>
  <si>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</si>
  <si>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</si>
  <si>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</si>
  <si>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</si>
  <si>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</si>
  <si>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</si>
  <si>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</si>
  <si>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</si>
  <si>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</si>
  <si>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</si>
  <si>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</si>
  <si>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</si>
  <si>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</si>
  <si>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</si>
  <si>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</si>
  <si>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</si>
  <si>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</si>
  <si>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</si>
  <si>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</si>
  <si>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</si>
  <si>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</si>
  <si>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</si>
  <si>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</si>
  <si>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</si>
  <si>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</si>
  <si>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</si>
  <si>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</si>
  <si>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</si>
  <si>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</si>
  <si>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</si>
  <si>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</si>
  <si>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</si>
  <si>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</si>
  <si>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</si>
  <si>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</si>
  <si>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</si>
  <si>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</si>
  <si>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</si>
  <si>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</si>
  <si>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</si>
  <si>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</si>
  <si>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</si>
  <si>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</si>
  <si>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</si>
  <si>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</si>
  <si>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</si>
  <si>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</si>
  <si>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</si>
  <si>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</si>
  <si>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</si>
  <si>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</si>
  <si>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</si>
  <si>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</si>
  <si>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</si>
  <si>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</si>
  <si>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</si>
  <si>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</si>
  <si>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</si>
  <si>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</si>
  <si>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</si>
  <si>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</si>
  <si>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</si>
  <si>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</si>
  <si>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</si>
  <si>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</si>
  <si>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</si>
  <si>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</si>
  <si>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</si>
  <si>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</si>
  <si>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</si>
  <si>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</si>
  <si>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</si>
  <si>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</si>
  <si>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</si>
  <si>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</si>
  <si>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</si>
  <si>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</si>
  <si>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</si>
  <si>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</si>
  <si>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</si>
  <si>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</si>
  <si>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</si>
  <si>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</si>
  <si>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</si>
  <si>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</si>
  <si>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</si>
  <si>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</si>
  <si>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</si>
  <si>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</si>
  <si>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</si>
  <si>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</si>
  <si>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</si>
  <si>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</si>
  <si>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</si>
  <si>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</si>
  <si>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</si>
  <si>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</si>
  <si>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</si>
  <si>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</si>
  <si>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</si>
  <si>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</si>
  <si>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</si>
  <si>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</si>
  <si>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</si>
  <si>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</si>
  <si>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</si>
  <si>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</si>
  <si>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</si>
  <si>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</si>
  <si>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</si>
  <si>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</si>
  <si>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</si>
  <si>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</si>
  <si>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</si>
  <si>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</si>
  <si>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</si>
  <si>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</si>
  <si>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</si>
  <si>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</si>
  <si>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</si>
  <si>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</si>
  <si>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</si>
  <si>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</si>
  <si>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</si>
  <si>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</si>
  <si>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</si>
  <si>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</si>
  <si>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</si>
  <si>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</si>
  <si>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</si>
  <si>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</si>
  <si>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</si>
  <si>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</si>
  <si>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</si>
  <si>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</si>
  <si>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</si>
  <si>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</si>
  <si>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</si>
  <si>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</si>
  <si>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</si>
  <si>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</si>
  <si>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</si>
  <si>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</si>
  <si>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</si>
  <si>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</si>
  <si>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</si>
  <si>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</si>
  <si>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</si>
  <si>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</si>
  <si>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</si>
  <si>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</si>
  <si>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</si>
  <si>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</si>
  <si>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</si>
  <si>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</si>
  <si>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</si>
  <si>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</si>
  <si>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</si>
  <si>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</si>
  <si>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</si>
  <si>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</si>
  <si>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</si>
  <si>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</si>
  <si>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</si>
  <si>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</si>
  <si>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</si>
  <si>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</si>
  <si>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</si>
  <si>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</si>
  <si>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</si>
  <si>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</si>
  <si>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</si>
  <si>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</si>
  <si>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</si>
  <si>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</si>
  <si>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</si>
  <si>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</si>
  <si>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</si>
  <si>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</si>
  <si>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</si>
  <si>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</si>
  <si>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</si>
  <si>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</si>
  <si>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</si>
  <si>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</si>
  <si>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</si>
  <si>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</si>
  <si>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</si>
  <si>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</si>
  <si>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</si>
  <si>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</si>
  <si>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</si>
  <si>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</si>
  <si>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</si>
  <si>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</si>
  <si>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</si>
  <si>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</si>
  <si>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</si>
  <si>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</si>
  <si>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</si>
  <si>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</si>
  <si>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</si>
  <si>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</si>
  <si>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</si>
  <si>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</si>
  <si>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</si>
  <si>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</si>
  <si>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</si>
  <si>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</si>
  <si>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</si>
  <si>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</si>
  <si>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</si>
  <si>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</si>
  <si>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</si>
  <si>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</si>
  <si>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</si>
  <si>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</si>
  <si>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</si>
  <si>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</si>
  <si>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</si>
  <si>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</si>
  <si>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</si>
  <si>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</si>
  <si>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</si>
  <si>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</si>
  <si>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</si>
  <si>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</si>
  <si>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</si>
  <si>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</si>
  <si>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</si>
  <si>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</si>
  <si>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</si>
  <si>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</si>
  <si>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</si>
  <si>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</si>
  <si>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</si>
  <si>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</si>
  <si>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</si>
  <si>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</si>
  <si>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</si>
  <si>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</si>
  <si>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</si>
  <si>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</si>
  <si>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</si>
  <si>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</si>
  <si>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</si>
  <si>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</si>
  <si>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</si>
  <si>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</si>
  <si>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</si>
  <si>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</si>
  <si>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</si>
  <si>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</si>
  <si>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</si>
  <si>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</si>
  <si>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</si>
  <si>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</si>
  <si>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</si>
  <si>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</si>
  <si>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</si>
  <si>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</si>
  <si>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</si>
  <si>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</si>
  <si>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</si>
  <si>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</si>
  <si>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</si>
  <si>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</si>
  <si>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</si>
  <si>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</si>
  <si>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</si>
  <si>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</si>
  <si>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</si>
  <si>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</si>
  <si>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</si>
  <si>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</si>
  <si>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</si>
  <si>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</si>
  <si>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</si>
  <si>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</si>
  <si>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</si>
  <si>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</si>
  <si>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</si>
  <si>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</si>
  <si>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</si>
  <si>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</si>
  <si>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</si>
  <si>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</si>
  <si>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</si>
  <si>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</si>
  <si>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</si>
  <si>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</si>
  <si>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</si>
  <si>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</si>
  <si>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</si>
  <si>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</si>
  <si>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</si>
  <si>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</si>
  <si>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</si>
  <si>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</si>
  <si>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</si>
  <si>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</si>
  <si>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</si>
  <si>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</si>
  <si>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</si>
  <si>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</si>
  <si>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</si>
  <si>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</si>
  <si>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</si>
  <si>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</si>
  <si>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</si>
  <si>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</si>
  <si>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</si>
  <si>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</si>
  <si>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</si>
  <si>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</si>
  <si>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</si>
  <si>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</si>
  <si>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</si>
  <si>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</si>
  <si>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</si>
  <si>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</si>
  <si>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</si>
  <si>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</si>
  <si>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</si>
  <si>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</si>
  <si>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</si>
  <si>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</si>
  <si>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</si>
  <si>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</si>
  <si>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</si>
  <si>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</si>
  <si>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</si>
  <si>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</si>
  <si>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</si>
  <si>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</si>
  <si>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</si>
  <si>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</si>
  <si>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</si>
  <si>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</si>
  <si>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</si>
  <si>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</si>
  <si>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</si>
  <si>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</si>
  <si>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</si>
  <si>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</si>
  <si>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</si>
  <si>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</si>
  <si>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</si>
  <si>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</si>
  <si>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</si>
  <si>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</si>
  <si>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</si>
  <si>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</si>
  <si>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</si>
  <si>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</si>
  <si>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</si>
  <si>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</si>
  <si>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</si>
  <si>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</si>
  <si>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</si>
  <si>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</si>
  <si>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</si>
  <si>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</si>
  <si>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</si>
  <si>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</si>
  <si>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</si>
  <si>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</si>
  <si>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</si>
  <si>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</si>
  <si>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</si>
  <si>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</si>
  <si>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</si>
  <si>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</si>
  <si>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</si>
  <si>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</si>
  <si>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</si>
  <si>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</si>
  <si>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</si>
  <si>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</si>
  <si>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</si>
  <si>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</si>
  <si>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</si>
  <si>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</si>
  <si>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</si>
  <si>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</si>
  <si>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</si>
  <si>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</si>
  <si>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</si>
  <si>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</si>
  <si>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</si>
  <si>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</si>
  <si>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</si>
  <si>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</si>
  <si>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</si>
  <si>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</si>
  <si>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</si>
  <si>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</si>
  <si>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</si>
  <si>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</si>
  <si>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</si>
  <si>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</si>
  <si>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</si>
  <si>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</si>
  <si>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</si>
  <si>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</si>
  <si>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</si>
  <si>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</si>
  <si>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</si>
  <si>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</si>
  <si>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</si>
  <si>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</si>
  <si>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</si>
  <si>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</si>
  <si>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</si>
  <si>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</si>
  <si>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</si>
  <si>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</si>
  <si>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</si>
  <si>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</si>
  <si>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</si>
  <si>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</si>
  <si>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</si>
  <si>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</si>
  <si>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</si>
  <si>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</si>
  <si>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</si>
  <si>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</si>
  <si>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</si>
  <si>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</si>
  <si>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</si>
  <si>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</si>
  <si>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</si>
  <si>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</si>
  <si>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</si>
  <si>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</si>
  <si>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</si>
  <si>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</si>
  <si>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</si>
  <si>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</si>
  <si>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</si>
  <si>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</si>
  <si>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</si>
  <si>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</si>
  <si>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</si>
  <si>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</si>
  <si>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</si>
  <si>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</si>
  <si>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</si>
  <si>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</si>
  <si>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</si>
  <si>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</si>
  <si>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</si>
  <si>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</si>
  <si>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</si>
  <si>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</si>
  <si>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</si>
  <si>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</si>
  <si>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</si>
  <si>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</si>
  <si>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</si>
  <si>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</si>
  <si>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</si>
  <si>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</si>
  <si>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</si>
  <si>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</si>
  <si>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</si>
  <si>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</si>
  <si>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</si>
  <si>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</si>
  <si>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</si>
  <si>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</si>
  <si>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</si>
  <si>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</si>
  <si>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</si>
  <si>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</si>
  <si>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</si>
  <si>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</si>
  <si>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</si>
  <si>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</si>
  <si>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</si>
  <si>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</si>
  <si>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</si>
  <si>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</si>
  <si>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</si>
  <si>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</si>
  <si>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</si>
  <si>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</si>
  <si>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</si>
  <si>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</si>
  <si>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</si>
  <si>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</si>
  <si>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</si>
  <si>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</si>
  <si>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</si>
  <si>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</si>
  <si>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</si>
  <si>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</si>
  <si>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</si>
  <si>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</si>
  <si>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dCL /dAoA</t>
  </si>
  <si>
    <t>dCSF /dAoS (angle of slideslip)</t>
  </si>
  <si>
    <t>dCD /dAoA</t>
  </si>
  <si>
    <t>Nose cone diameter (in, cm)</t>
  </si>
  <si>
    <t>Forebody length (in, cm)</t>
  </si>
  <si>
    <t>For numb of layer</t>
  </si>
  <si>
    <t>For trans ratio</t>
  </si>
  <si>
    <t>Growth rate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</si>
  <si>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</si>
  <si>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</si>
  <si>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</si>
  <si>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</si>
  <si>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</si>
  <si>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</si>
  <si>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</si>
  <si>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</si>
  <si>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</si>
  <si>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</si>
  <si>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</si>
  <si>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</si>
  <si>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</si>
  <si>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</si>
  <si>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</si>
  <si>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</si>
  <si>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</si>
  <si>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</si>
  <si>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</si>
  <si>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</si>
  <si>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</si>
  <si>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</si>
  <si>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</si>
  <si>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</si>
  <si>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</si>
  <si>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</si>
  <si>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</si>
  <si>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</si>
  <si>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</si>
  <si>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</si>
  <si>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</si>
  <si>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</si>
  <si>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</si>
  <si>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y+ subsonic MAX Re rocket length</t>
  </si>
  <si>
    <t>y+ sonic MAX Re rocket length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</si>
  <si>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</si>
  <si>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</si>
  <si>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</si>
  <si>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</si>
  <si>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</si>
  <si>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</si>
  <si>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</si>
  <si>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</si>
  <si>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</si>
  <si>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</si>
  <si>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</si>
  <si>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</si>
  <si>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</si>
  <si>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</si>
  <si>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</si>
  <si>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</si>
  <si>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</si>
  <si>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</si>
  <si>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</si>
  <si>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</si>
  <si>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</si>
  <si>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</si>
  <si>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</si>
  <si>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</si>
  <si>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</si>
  <si>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Dynamic pressure max Q (Pa)</t>
  </si>
  <si>
    <t>Cross-sectional Area (m^2)</t>
  </si>
  <si>
    <t>Noral force forebody (newtons)</t>
  </si>
  <si>
    <t>d_CN /dAoA due Mach numb</t>
  </si>
  <si>
    <t>C_Nforebody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</si>
</sst>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37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13" fillId="20" borderId="43" xfId="0" applyFont="1" applyFill="1" applyBorder="1"/>
    <xf numFmtId="168" fontId="0" fillId="20" borderId="24" xfId="0" applyNumberFormat="1" applyFill="1" applyBorder="1"/>
    <xf numFmtId="0" fontId="0" fillId="20" borderId="34" xfId="0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13" fillId="0" borderId="0" xfId="0" applyNumberFormat="1" applyFon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Border="1"/>
    <xf numFmtId="165" fontId="0" fillId="11" borderId="0" xfId="0" applyNumberFormat="1" applyFill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20992"/>
        <c:axId val="393530792"/>
      </c:scatterChart>
      <c:valAx>
        <c:axId val="393520992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30792"/>
        <c:crosses val="autoZero"/>
        <c:crossBetween val="midCat"/>
        <c:majorUnit val="0.30000000000000004"/>
        <c:minorUnit val="0.30000000000000004"/>
      </c:valAx>
      <c:valAx>
        <c:axId val="3935307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20992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2752"/>
        <c:axId val="393533928"/>
      </c:scatterChart>
      <c:valAx>
        <c:axId val="39353275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533928"/>
        <c:crossesAt val="0"/>
        <c:crossBetween val="midCat"/>
      </c:valAx>
      <c:valAx>
        <c:axId val="39353392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532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4320"/>
        <c:axId val="393535104"/>
      </c:scatterChart>
      <c:valAx>
        <c:axId val="393534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35104"/>
        <c:crosses val="autoZero"/>
        <c:crossBetween val="midCat"/>
      </c:valAx>
      <c:valAx>
        <c:axId val="39353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3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81744"/>
        <c:axId val="444082920"/>
      </c:scatterChart>
      <c:valAx>
        <c:axId val="44408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2920"/>
        <c:crosses val="autoZero"/>
        <c:crossBetween val="midCat"/>
      </c:valAx>
      <c:valAx>
        <c:axId val="444082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1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79784"/>
        <c:axId val="444077432"/>
      </c:scatterChart>
      <c:valAx>
        <c:axId val="444079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7432"/>
        <c:crosses val="autoZero"/>
        <c:crossBetween val="midCat"/>
      </c:valAx>
      <c:valAx>
        <c:axId val="44407743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9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78216"/>
        <c:axId val="444073904"/>
      </c:scatterChart>
      <c:valAx>
        <c:axId val="444078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3904"/>
        <c:crosses val="autoZero"/>
        <c:crossBetween val="midCat"/>
      </c:valAx>
      <c:valAx>
        <c:axId val="44407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8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70768"/>
        <c:axId val="444078608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44407076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8608"/>
        <c:crosses val="autoZero"/>
        <c:crossBetween val="midCat"/>
      </c:valAx>
      <c:valAx>
        <c:axId val="44407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0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71552"/>
        <c:axId val="444073120"/>
      </c:scatterChart>
      <c:valAx>
        <c:axId val="44407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3120"/>
        <c:crosses val="autoZero"/>
        <c:crossBetween val="midCat"/>
      </c:valAx>
      <c:valAx>
        <c:axId val="44407312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84880"/>
        <c:axId val="444085272"/>
      </c:scatterChart>
      <c:valAx>
        <c:axId val="44408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5272"/>
        <c:crosses val="autoZero"/>
        <c:crossBetween val="midCat"/>
      </c:valAx>
      <c:valAx>
        <c:axId val="444085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4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86448"/>
        <c:axId val="444085664"/>
      </c:scatterChart>
      <c:valAx>
        <c:axId val="44408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5664"/>
        <c:crosses val="autoZero"/>
        <c:crossBetween val="midCat"/>
      </c:valAx>
      <c:valAx>
        <c:axId val="44408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6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1.6</c:v>
                </c:pt>
                <c:pt idx="9">
                  <c:v>0</c:v>
                </c:pt>
                <c:pt idx="10">
                  <c:v>0</c:v>
                </c:pt>
                <c:pt idx="11" formatCode="0.000">
                  <c:v>0.40485829959514169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0.40485829959514169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83312"/>
        <c:axId val="444083704"/>
      </c:scatterChart>
      <c:valAx>
        <c:axId val="444083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3704"/>
        <c:crosses val="autoZero"/>
        <c:crossBetween val="midCat"/>
      </c:valAx>
      <c:valAx>
        <c:axId val="44408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3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-1</c:v>
                </c:pt>
                <c:pt idx="8">
                  <c:v>-0.4</c:v>
                </c:pt>
                <c:pt idx="9">
                  <c:v>0</c:v>
                </c:pt>
                <c:pt idx="10">
                  <c:v>0</c:v>
                </c:pt>
                <c:pt idx="11" formatCode="0.000">
                  <c:v>-0.16194331983805668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173248"/>
        <c:axId val="393176384"/>
      </c:scatterChart>
      <c:valAx>
        <c:axId val="393173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176384"/>
        <c:crosses val="autoZero"/>
        <c:crossBetween val="midCat"/>
      </c:valAx>
      <c:valAx>
        <c:axId val="39317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173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174424"/>
        <c:axId val="392937520"/>
      </c:scatterChart>
      <c:valAx>
        <c:axId val="393174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2937520"/>
        <c:crosses val="autoZero"/>
        <c:crossBetween val="midCat"/>
      </c:valAx>
      <c:valAx>
        <c:axId val="392937520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174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2933992"/>
        <c:axId val="392934776"/>
      </c:scatterChart>
      <c:valAx>
        <c:axId val="392933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2934776"/>
        <c:crosses val="autoZero"/>
        <c:crossBetween val="midCat"/>
      </c:valAx>
      <c:valAx>
        <c:axId val="39293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2933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4712"/>
        <c:axId val="393532360"/>
      </c:scatterChart>
      <c:valAx>
        <c:axId val="393534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532360"/>
        <c:crosses val="autoZero"/>
        <c:crossBetween val="midCat"/>
      </c:valAx>
      <c:valAx>
        <c:axId val="393532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534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'RocketAeroDesign 3.0 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174424"/>
        <c:axId val="392937520"/>
      </c:scatterChart>
      <c:valAx>
        <c:axId val="393174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2937520"/>
        <c:crosses val="autoZero"/>
        <c:crossBetween val="midCat"/>
      </c:valAx>
      <c:valAx>
        <c:axId val="392937520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174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'RocketAeroDesign 3.0 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2933992"/>
        <c:axId val="392934776"/>
      </c:scatterChart>
      <c:valAx>
        <c:axId val="392933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2934776"/>
        <c:crosses val="autoZero"/>
        <c:crossBetween val="midCat"/>
      </c:valAx>
      <c:valAx>
        <c:axId val="39293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2933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'RocketAeroDesign 3.0 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4712"/>
        <c:axId val="393532360"/>
      </c:scatterChart>
      <c:valAx>
        <c:axId val="393534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532360"/>
        <c:crosses val="autoZero"/>
        <c:crossBetween val="midCat"/>
      </c:valAx>
      <c:valAx>
        <c:axId val="393532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534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970208"/>
        <c:axId val="389967464"/>
      </c:scatterChart>
      <c:valAx>
        <c:axId val="38997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967464"/>
        <c:crosses val="autoZero"/>
        <c:crossBetween val="midCat"/>
      </c:valAx>
      <c:valAx>
        <c:axId val="38996746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970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481736"/>
        <c:axId val="381449704"/>
      </c:scatterChart>
      <c:valAx>
        <c:axId val="39148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449704"/>
        <c:crosses val="autoZero"/>
        <c:crossBetween val="midCat"/>
      </c:valAx>
      <c:valAx>
        <c:axId val="381449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481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9202192"/>
        <c:axId val="47684181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6841032"/>
        <c:axId val="476842208"/>
      </c:lineChart>
      <c:catAx>
        <c:axId val="389202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841816"/>
        <c:crosses val="autoZero"/>
        <c:auto val="1"/>
        <c:lblAlgn val="ctr"/>
        <c:lblOffset val="100"/>
        <c:noMultiLvlLbl val="0"/>
      </c:catAx>
      <c:valAx>
        <c:axId val="476841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02192"/>
        <c:crosses val="autoZero"/>
        <c:crossBetween val="between"/>
      </c:valAx>
      <c:valAx>
        <c:axId val="476842208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841032"/>
        <c:crosses val="max"/>
        <c:crossBetween val="between"/>
      </c:valAx>
      <c:catAx>
        <c:axId val="4768410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76842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840248"/>
        <c:axId val="476842992"/>
      </c:scatterChart>
      <c:valAx>
        <c:axId val="476840248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842992"/>
        <c:crosses val="autoZero"/>
        <c:crossBetween val="midCat"/>
      </c:valAx>
      <c:valAx>
        <c:axId val="47684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84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chart" Target="../charts/chart21.xml"/><Relationship Id="rId7" Type="http://schemas.openxmlformats.org/officeDocument/2006/relationships/image" Target="../media/image6.png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7471</xdr:colOff>
      <xdr:row>3</xdr:row>
      <xdr:rowOff>4390</xdr:rowOff>
    </xdr:from>
    <xdr:to>
      <xdr:col>15</xdr:col>
      <xdr:colOff>425825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15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12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12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15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7471</xdr:colOff>
      <xdr:row>3</xdr:row>
      <xdr:rowOff>4390</xdr:rowOff>
    </xdr:from>
    <xdr:to>
      <xdr:col>15</xdr:col>
      <xdr:colOff>425825</xdr:colOff>
      <xdr:row>19</xdr:row>
      <xdr:rowOff>161411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91059" y="377919"/>
          <a:ext cx="2883647" cy="3145256"/>
        </a:xfrm>
        <a:prstGeom prst="rect">
          <a:avLst/>
        </a:prstGeom>
      </xdr:spPr>
    </xdr:pic>
    <xdr:clientData/>
  </xdr:twoCellAnchor>
  <xdr:oneCellAnchor>
    <xdr:from>
      <xdr:col>15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12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0000000-0008-0000-0700-000003000000}"/>
                </a:ext>
              </a:extLst>
            </xdr:cNvPr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12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700-000004000000}"/>
                </a:ext>
              </a:extLst>
            </xdr:cNvPr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15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3" customWidth="1"/>
    <col min="2" max="9" width="7.26953125" style="113" customWidth="1"/>
    <col min="10" max="16384" width="8.9062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 ht="13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 ht="13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" thickBot="1"/>
    <row r="105" spans="1:12" ht="13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15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15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" thickBot="1">
      <c r="A110" s="315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ht="13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ht="13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ht="13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 ht="13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ht="13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15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15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" thickBot="1">
      <c r="A162" s="315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15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15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" thickBot="1">
      <c r="A214" s="315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 ht="13">
      <c r="A216" s="135" t="s">
        <v>90</v>
      </c>
    </row>
    <row r="217" spans="1:12" ht="13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 ht="13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 ht="13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 ht="13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" thickBot="1"/>
    <row r="243" spans="1:7" ht="15" customHeight="1" thickBot="1">
      <c r="C243" s="316" t="s">
        <v>113</v>
      </c>
      <c r="D243" s="317"/>
      <c r="E243" s="317"/>
      <c r="F243" s="317"/>
      <c r="G243" s="318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16" t="s">
        <v>123</v>
      </c>
      <c r="D247" s="317"/>
      <c r="E247" s="317"/>
      <c r="F247" s="317"/>
      <c r="G247" s="318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19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20"/>
    </row>
    <row r="259" spans="1:12" ht="13" thickBot="1"/>
    <row r="260" spans="1:12" ht="13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5">
      <c r="A263" s="315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5">
      <c r="A264" s="315"/>
      <c r="B264" s="159" t="s">
        <v>136</v>
      </c>
      <c r="L264" s="150"/>
    </row>
    <row r="265" spans="1:12" ht="13" thickBot="1">
      <c r="A265" s="315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 ht="13">
      <c r="A267" s="135" t="s">
        <v>137</v>
      </c>
    </row>
    <row r="268" spans="1:12" ht="13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19"/>
  <sheetViews>
    <sheetView workbookViewId="0">
      <selection activeCell="G12" sqref="G12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117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8" sqref="C8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39" t="s">
        <v>182</v>
      </c>
      <c r="C2" s="341"/>
    </row>
    <row r="3" spans="2:22">
      <c r="B3" s="3" t="s">
        <v>570</v>
      </c>
      <c r="C3" s="4">
        <f>2.5</f>
        <v>2.5</v>
      </c>
    </row>
    <row r="4" spans="2:22">
      <c r="B4" s="3" t="s">
        <v>569</v>
      </c>
      <c r="C4" s="4">
        <v>8</v>
      </c>
    </row>
    <row r="5" spans="2:22">
      <c r="B5" s="165" t="s">
        <v>571</v>
      </c>
      <c r="C5" s="166">
        <v>15</v>
      </c>
    </row>
    <row r="6" spans="2:22">
      <c r="B6" s="165" t="s">
        <v>572</v>
      </c>
      <c r="C6" s="166">
        <v>10</v>
      </c>
    </row>
    <row r="7" spans="2:22">
      <c r="B7" s="165" t="s">
        <v>573</v>
      </c>
      <c r="C7" s="166">
        <v>30</v>
      </c>
    </row>
    <row r="8" spans="2:22">
      <c r="B8" s="165" t="s">
        <v>568</v>
      </c>
      <c r="C8" s="190">
        <f>D62*4+(PI()*(DiameterRocket/100)^2)/4</f>
        <v>6.2265482457436686E-3</v>
      </c>
    </row>
    <row r="9" spans="2:22" ht="15" thickBot="1">
      <c r="B9" s="5" t="s">
        <v>574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21" t="s">
        <v>185</v>
      </c>
      <c r="D12" s="322"/>
      <c r="E12" s="322"/>
      <c r="F12" s="322"/>
      <c r="G12" s="323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21" t="s">
        <v>189</v>
      </c>
      <c r="P12" s="322"/>
      <c r="Q12" s="322"/>
      <c r="R12" s="322"/>
      <c r="S12" s="323"/>
      <c r="T12" s="1" t="s">
        <v>186</v>
      </c>
      <c r="U12" s="1" t="s">
        <v>187</v>
      </c>
      <c r="V12" s="1" t="s">
        <v>188</v>
      </c>
    </row>
    <row r="13" spans="2:22">
      <c r="B13" s="336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36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37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37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37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37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37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37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37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37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37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37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37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37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37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37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37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37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37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38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56" t="s">
        <v>191</v>
      </c>
      <c r="C23" s="66"/>
      <c r="D23" s="65" t="s">
        <v>186</v>
      </c>
      <c r="E23" s="65"/>
      <c r="F23" s="65"/>
      <c r="G23" s="65"/>
      <c r="K23" s="334"/>
      <c r="N23" s="355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56"/>
      <c r="C24" s="67" t="s">
        <v>193</v>
      </c>
      <c r="D24" s="1">
        <f>(F25/2)/(F26)</f>
        <v>0.13333333333333333</v>
      </c>
      <c r="K24" s="334"/>
      <c r="N24" s="356"/>
      <c r="O24" s="67" t="s">
        <v>193</v>
      </c>
      <c r="P24" s="1" t="s">
        <v>194</v>
      </c>
    </row>
    <row r="25" spans="2:22">
      <c r="B25" s="356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34"/>
      <c r="N25" s="356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56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34"/>
      <c r="N26" s="356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5" customHeight="1">
      <c r="B27" s="2" t="s">
        <v>199</v>
      </c>
      <c r="C27" s="324" t="s">
        <v>200</v>
      </c>
      <c r="D27" s="324"/>
      <c r="E27" s="324"/>
      <c r="F27" s="324"/>
      <c r="G27" s="324"/>
      <c r="L27" s="64"/>
      <c r="M27" s="64"/>
      <c r="N27" s="2" t="s">
        <v>199</v>
      </c>
      <c r="O27" s="324" t="s">
        <v>200</v>
      </c>
      <c r="P27" s="324"/>
      <c r="Q27" s="324"/>
      <c r="R27" s="324"/>
      <c r="S27" s="324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36" t="s">
        <v>203</v>
      </c>
      <c r="C31" s="339"/>
      <c r="D31" s="340"/>
      <c r="E31" s="340"/>
      <c r="F31" s="340"/>
      <c r="G31" s="341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37"/>
      <c r="C32" s="342"/>
      <c r="D32" s="331"/>
      <c r="E32" s="331"/>
      <c r="F32" s="331"/>
      <c r="G32" s="343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37"/>
      <c r="C33" s="342"/>
      <c r="D33" s="331"/>
      <c r="E33" s="331"/>
      <c r="F33" s="331"/>
      <c r="G33" s="343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37"/>
      <c r="C34" s="342"/>
      <c r="D34" s="331"/>
      <c r="E34" s="331"/>
      <c r="F34" s="331"/>
      <c r="G34" s="343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37"/>
      <c r="C35" s="342"/>
      <c r="D35" s="331"/>
      <c r="E35" s="331"/>
      <c r="F35" s="331"/>
      <c r="G35" s="343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37"/>
      <c r="C36" s="342"/>
      <c r="D36" s="331"/>
      <c r="E36" s="331"/>
      <c r="F36" s="331"/>
      <c r="G36" s="343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37"/>
      <c r="C37" s="342"/>
      <c r="D37" s="331"/>
      <c r="E37" s="331"/>
      <c r="F37" s="331"/>
      <c r="G37" s="343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37"/>
      <c r="C38" s="342"/>
      <c r="D38" s="331"/>
      <c r="E38" s="331"/>
      <c r="F38" s="331"/>
      <c r="G38" s="343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37"/>
      <c r="C39" s="342"/>
      <c r="D39" s="331"/>
      <c r="E39" s="331"/>
      <c r="F39" s="331"/>
      <c r="G39" s="343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38"/>
      <c r="C40" s="344"/>
      <c r="D40" s="345"/>
      <c r="E40" s="345"/>
      <c r="F40" s="345"/>
      <c r="G40" s="346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24" t="s">
        <v>191</v>
      </c>
      <c r="C41" s="1" t="s">
        <v>204</v>
      </c>
      <c r="H41" s="12"/>
    </row>
    <row r="42" spans="2:24">
      <c r="B42" s="331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31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31" t="s">
        <v>206</v>
      </c>
      <c r="D44" s="331"/>
      <c r="E44" s="331"/>
      <c r="F44" s="331"/>
      <c r="G44" s="331"/>
    </row>
    <row r="45" spans="2:24">
      <c r="B45" s="331" t="s">
        <v>201</v>
      </c>
    </row>
    <row r="46" spans="2:24">
      <c r="B46" s="331"/>
    </row>
    <row r="47" spans="2:24" ht="15" thickBot="1">
      <c r="B47" s="331"/>
    </row>
    <row r="48" spans="2:24" ht="15" customHeight="1" thickBot="1">
      <c r="K48" s="332" t="s">
        <v>207</v>
      </c>
      <c r="L48" s="333"/>
      <c r="W48" s="334" t="s">
        <v>207</v>
      </c>
      <c r="X48" s="334"/>
    </row>
    <row r="49" spans="2:24" ht="15" thickBot="1">
      <c r="B49" s="8" t="s">
        <v>184</v>
      </c>
      <c r="C49" s="332" t="s">
        <v>208</v>
      </c>
      <c r="D49" s="335"/>
      <c r="E49" s="335"/>
      <c r="F49" s="335"/>
      <c r="G49" s="333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32" t="s">
        <v>212</v>
      </c>
      <c r="P49" s="335"/>
      <c r="Q49" s="335"/>
      <c r="R49" s="335"/>
      <c r="S49" s="333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36" t="s">
        <v>214</v>
      </c>
      <c r="C50" s="339"/>
      <c r="D50" s="340"/>
      <c r="E50" s="340"/>
      <c r="F50" s="340"/>
      <c r="G50" s="341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36" t="s">
        <v>214</v>
      </c>
      <c r="O50" s="339"/>
      <c r="P50" s="340"/>
      <c r="Q50" s="340"/>
      <c r="R50" s="340"/>
      <c r="S50" s="341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37"/>
      <c r="C51" s="342"/>
      <c r="D51" s="331"/>
      <c r="E51" s="331"/>
      <c r="F51" s="331"/>
      <c r="G51" s="343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37"/>
      <c r="O51" s="342"/>
      <c r="P51" s="331"/>
      <c r="Q51" s="331"/>
      <c r="R51" s="331"/>
      <c r="S51" s="343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37"/>
      <c r="C52" s="342"/>
      <c r="D52" s="331"/>
      <c r="E52" s="331"/>
      <c r="F52" s="331"/>
      <c r="G52" s="343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37"/>
      <c r="O52" s="342"/>
      <c r="P52" s="331"/>
      <c r="Q52" s="331"/>
      <c r="R52" s="331"/>
      <c r="S52" s="343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37"/>
      <c r="C53" s="342"/>
      <c r="D53" s="331"/>
      <c r="E53" s="331"/>
      <c r="F53" s="331"/>
      <c r="G53" s="343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37"/>
      <c r="O53" s="342"/>
      <c r="P53" s="331"/>
      <c r="Q53" s="331"/>
      <c r="R53" s="331"/>
      <c r="S53" s="343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37"/>
      <c r="C54" s="342"/>
      <c r="D54" s="331"/>
      <c r="E54" s="331"/>
      <c r="F54" s="331"/>
      <c r="G54" s="343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37"/>
      <c r="O54" s="342"/>
      <c r="P54" s="331"/>
      <c r="Q54" s="331"/>
      <c r="R54" s="331"/>
      <c r="S54" s="343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37"/>
      <c r="C55" s="342"/>
      <c r="D55" s="331"/>
      <c r="E55" s="331"/>
      <c r="F55" s="331"/>
      <c r="G55" s="343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37"/>
      <c r="O55" s="342"/>
      <c r="P55" s="331"/>
      <c r="Q55" s="331"/>
      <c r="R55" s="331"/>
      <c r="S55" s="343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37"/>
      <c r="C56" s="342"/>
      <c r="D56" s="331"/>
      <c r="E56" s="331"/>
      <c r="F56" s="331"/>
      <c r="G56" s="343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37"/>
      <c r="O56" s="342"/>
      <c r="P56" s="331"/>
      <c r="Q56" s="331"/>
      <c r="R56" s="331"/>
      <c r="S56" s="343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37"/>
      <c r="C57" s="342"/>
      <c r="D57" s="331"/>
      <c r="E57" s="331"/>
      <c r="F57" s="331"/>
      <c r="G57" s="343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37"/>
      <c r="O57" s="342"/>
      <c r="P57" s="331"/>
      <c r="Q57" s="331"/>
      <c r="R57" s="331"/>
      <c r="S57" s="343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37"/>
      <c r="C58" s="342"/>
      <c r="D58" s="331"/>
      <c r="E58" s="331"/>
      <c r="F58" s="331"/>
      <c r="G58" s="343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37"/>
      <c r="O58" s="342"/>
      <c r="P58" s="331"/>
      <c r="Q58" s="331"/>
      <c r="R58" s="331"/>
      <c r="S58" s="343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38"/>
      <c r="C59" s="347"/>
      <c r="D59" s="348"/>
      <c r="E59" s="348"/>
      <c r="F59" s="348"/>
      <c r="G59" s="349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38"/>
      <c r="O59" s="344"/>
      <c r="P59" s="345"/>
      <c r="Q59" s="345"/>
      <c r="R59" s="345"/>
      <c r="S59" s="346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50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25" t="s">
        <v>218</v>
      </c>
      <c r="I60" s="326"/>
      <c r="J60" s="327"/>
      <c r="K60" s="82" t="s">
        <v>219</v>
      </c>
      <c r="L60" s="57">
        <f>K67^2/K68</f>
        <v>1.1707317073170729</v>
      </c>
      <c r="N60" s="324" t="s">
        <v>191</v>
      </c>
      <c r="O60" s="1" t="s">
        <v>220</v>
      </c>
    </row>
    <row r="61" spans="2:24" ht="16.149999999999999" customHeight="1" thickBot="1">
      <c r="B61" s="351"/>
      <c r="C61" s="81" t="s">
        <v>221</v>
      </c>
      <c r="D61" s="83">
        <f>-I50+D60*H50</f>
        <v>23.499999999999979</v>
      </c>
      <c r="E61" s="78"/>
      <c r="F61" s="61"/>
      <c r="G61" s="62"/>
      <c r="H61" s="328"/>
      <c r="I61" s="329"/>
      <c r="J61" s="330"/>
      <c r="K61" s="81"/>
      <c r="L61" s="62"/>
      <c r="N61" s="324"/>
    </row>
    <row r="62" spans="2:24" ht="27.65" customHeight="1">
      <c r="B62" s="351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24"/>
    </row>
    <row r="63" spans="2:24" ht="27.65" customHeight="1">
      <c r="B63" s="351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24"/>
    </row>
    <row r="64" spans="2:24">
      <c r="B64" s="352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24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53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31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53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31"/>
    </row>
    <row r="67" spans="2:19">
      <c r="B67" s="353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31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354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31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24" t="s">
        <v>237</v>
      </c>
      <c r="D69" s="324"/>
      <c r="E69" s="324"/>
      <c r="F69" s="324"/>
      <c r="G69" s="324"/>
      <c r="N69" s="2" t="s">
        <v>199</v>
      </c>
      <c r="O69" s="331" t="s">
        <v>238</v>
      </c>
      <c r="P69" s="331"/>
      <c r="Q69" s="331"/>
      <c r="R69" s="331"/>
      <c r="S69" s="331"/>
    </row>
    <row r="70" spans="2:19">
      <c r="B70" s="331" t="s">
        <v>201</v>
      </c>
      <c r="C70" s="66"/>
      <c r="D70" s="65"/>
      <c r="E70" s="65"/>
      <c r="F70" s="65"/>
      <c r="G70" s="94"/>
      <c r="N70" s="331" t="s">
        <v>201</v>
      </c>
    </row>
    <row r="71" spans="2:19">
      <c r="B71" s="331"/>
      <c r="C71" s="67"/>
      <c r="G71" s="95"/>
      <c r="N71" s="331"/>
    </row>
    <row r="72" spans="2:19">
      <c r="B72" s="331"/>
      <c r="C72" s="68"/>
      <c r="D72" s="69"/>
      <c r="E72" s="69"/>
      <c r="F72" s="69"/>
      <c r="G72" s="96"/>
      <c r="N72" s="331"/>
    </row>
    <row r="73" spans="2:19" ht="15" thickBot="1"/>
    <row r="74" spans="2:19" ht="15" thickBot="1">
      <c r="B74" s="85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36" t="s">
        <v>246</v>
      </c>
      <c r="C88" s="339"/>
      <c r="D88" s="340"/>
      <c r="E88" s="340"/>
      <c r="F88" s="340"/>
      <c r="G88" s="341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37"/>
      <c r="C89" s="342"/>
      <c r="D89" s="331"/>
      <c r="E89" s="331"/>
      <c r="F89" s="331"/>
      <c r="G89" s="343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37"/>
      <c r="C90" s="342"/>
      <c r="D90" s="331"/>
      <c r="E90" s="331"/>
      <c r="F90" s="331"/>
      <c r="G90" s="343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37"/>
      <c r="C91" s="342"/>
      <c r="D91" s="331"/>
      <c r="E91" s="331"/>
      <c r="F91" s="331"/>
      <c r="G91" s="343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37"/>
      <c r="C92" s="342"/>
      <c r="D92" s="331"/>
      <c r="E92" s="331"/>
      <c r="F92" s="331"/>
      <c r="G92" s="343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37"/>
      <c r="C93" s="342"/>
      <c r="D93" s="331"/>
      <c r="E93" s="331"/>
      <c r="F93" s="331"/>
      <c r="G93" s="343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37"/>
      <c r="C94" s="342"/>
      <c r="D94" s="331"/>
      <c r="E94" s="331"/>
      <c r="F94" s="331"/>
      <c r="G94" s="343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37"/>
      <c r="C95" s="342"/>
      <c r="D95" s="331"/>
      <c r="E95" s="331"/>
      <c r="F95" s="331"/>
      <c r="G95" s="343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37"/>
      <c r="C96" s="342"/>
      <c r="D96" s="331"/>
      <c r="E96" s="331"/>
      <c r="F96" s="331"/>
      <c r="G96" s="343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38"/>
      <c r="C97" s="344"/>
      <c r="D97" s="345"/>
      <c r="E97" s="345"/>
      <c r="F97" s="345"/>
      <c r="G97" s="346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24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31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31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31" t="s">
        <v>249</v>
      </c>
      <c r="D101" s="331"/>
      <c r="E101" s="331"/>
      <c r="F101" s="331"/>
      <c r="G101" s="331"/>
    </row>
    <row r="102" spans="2:10">
      <c r="B102" s="331" t="s">
        <v>201</v>
      </c>
    </row>
    <row r="103" spans="2:10">
      <c r="B103" s="331"/>
    </row>
    <row r="104" spans="2:10">
      <c r="B104" s="331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4"/>
  <sheetViews>
    <sheetView zoomScale="84" zoomScaleNormal="120" workbookViewId="0">
      <selection activeCell="T25" sqref="T25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60" t="s">
        <v>252</v>
      </c>
      <c r="U15" s="361"/>
      <c r="V15" s="362"/>
    </row>
    <row r="16" spans="2:22" ht="1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2.3888E-3</v>
      </c>
      <c r="U16" s="41">
        <v>7.2800000000000009E-3</v>
      </c>
      <c r="V16" s="42">
        <v>-2.6000000000000003E-3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7.2800000000000009E-3</v>
      </c>
      <c r="U17" s="44">
        <v>1.7821174</v>
      </c>
      <c r="V17" s="45">
        <v>-6.7600000000000017E-5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-2.6000000000000003E-3</v>
      </c>
      <c r="U18" s="47">
        <v>-6.7600000000000017E-5</v>
      </c>
      <c r="V18" s="48">
        <v>1.7821174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63" t="s">
        <v>252</v>
      </c>
      <c r="U23" s="364"/>
      <c r="V23" s="365"/>
    </row>
    <row r="24" spans="2:22">
      <c r="B24" s="22" t="s">
        <v>270</v>
      </c>
      <c r="C24" s="19">
        <v>260</v>
      </c>
      <c r="D24" s="20">
        <v>40</v>
      </c>
      <c r="E24" s="20">
        <v>1</v>
      </c>
      <c r="F24" s="20">
        <v>-1</v>
      </c>
      <c r="G24" s="19">
        <f>$C$24*D24*9.81</f>
        <v>102024</v>
      </c>
      <c r="H24" s="20">
        <f t="shared" ref="H24:I24" si="25">$C$24*E24*9.81</f>
        <v>2550.6</v>
      </c>
      <c r="I24" s="21">
        <f t="shared" si="25"/>
        <v>-2550.6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0.01</v>
      </c>
      <c r="O24" s="20">
        <f t="shared" si="7"/>
        <v>-0.01</v>
      </c>
      <c r="P24" s="19">
        <f>$L$24*M24*9.81</f>
        <v>1.02024</v>
      </c>
      <c r="Q24" s="20">
        <f t="shared" ref="Q24:R24" si="26">$L$24*N24*9.81</f>
        <v>2.5506000000000004E-2</v>
      </c>
      <c r="R24" s="21">
        <f t="shared" si="26"/>
        <v>-2.5506000000000004E-2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1.6</v>
      </c>
      <c r="F25" s="20">
        <v>-0.4</v>
      </c>
      <c r="G25" s="19">
        <f>$C$25*D25*9.81</f>
        <v>382590</v>
      </c>
      <c r="H25" s="20">
        <f t="shared" ref="H25:I25" si="27">$C$25*E25*9.81</f>
        <v>10202.4</v>
      </c>
      <c r="I25" s="21">
        <f t="shared" si="27"/>
        <v>-2550.6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1.6E-2</v>
      </c>
      <c r="O25" s="20">
        <f t="shared" si="7"/>
        <v>-4.0000000000000001E-3</v>
      </c>
      <c r="P25" s="19">
        <f>$L$25*M25*9.81</f>
        <v>3.8259000000000003</v>
      </c>
      <c r="Q25" s="20">
        <f>$L$25*N25*9.81</f>
        <v>0.10202400000000002</v>
      </c>
      <c r="R25" s="21">
        <f>$L$25*O25*9.81</f>
        <v>-2.5506000000000004E-2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0.40485829959514169</v>
      </c>
      <c r="F28" s="63">
        <f>I28/($C$28*9.81)</f>
        <v>-0.16194331983805668</v>
      </c>
      <c r="G28" s="23">
        <f>SUM(G17:G27)</f>
        <v>1857229.2</v>
      </c>
      <c r="H28" s="24">
        <f>SUM(H17:H27)</f>
        <v>12753</v>
      </c>
      <c r="I28" s="25">
        <f t="shared" ref="I28" si="31">SUM(I17:I27)</f>
        <v>-5101.2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4.0485829959514179E-3</v>
      </c>
      <c r="O28" s="260">
        <f>R28/($L$28*9.81)</f>
        <v>-1.6194331983805672E-3</v>
      </c>
      <c r="P28" s="23">
        <f>SUM(P17:P27)</f>
        <v>18.572292000000001</v>
      </c>
      <c r="Q28" s="24">
        <f>SUM(Q17:Q27)</f>
        <v>0.12753000000000003</v>
      </c>
      <c r="R28" s="25">
        <f>SUM(R17:R27)</f>
        <v>-5.1012000000000009E-2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366" t="s">
        <v>286</v>
      </c>
      <c r="L33" s="367"/>
      <c r="M33" s="367"/>
      <c r="N33" s="367"/>
      <c r="O33" s="367"/>
      <c r="P33" s="367"/>
      <c r="Q33" s="367"/>
      <c r="R33" s="367"/>
      <c r="S33" s="368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366" t="s">
        <v>312</v>
      </c>
      <c r="L43" s="367"/>
      <c r="M43" s="367"/>
      <c r="N43" s="367"/>
      <c r="O43" s="367"/>
      <c r="P43" s="367"/>
      <c r="Q43" s="367"/>
      <c r="R43" s="367"/>
      <c r="S43" s="368"/>
    </row>
    <row r="44" spans="2:19" ht="15" thickBot="1">
      <c r="B44" s="357" t="s">
        <v>313</v>
      </c>
      <c r="C44" s="358"/>
      <c r="D44" s="358"/>
      <c r="E44" s="358"/>
      <c r="F44" s="359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K249"/>
  <sheetViews>
    <sheetView zoomScale="85" zoomScaleNormal="85" workbookViewId="0">
      <pane ySplit="10" topLeftCell="A51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 ht="14.5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 ht="14.5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 ht="14.5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thickBot="1">
      <c r="A14" s="268" t="s">
        <v>486</v>
      </c>
    </row>
    <row r="15" spans="1:11" ht="14.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5" outlineLevel="1">
      <c r="A22" t="s">
        <v>349</v>
      </c>
    </row>
    <row r="23" spans="1:11" ht="14.5" outlineLevel="1">
      <c r="A23" t="s">
        <v>350</v>
      </c>
    </row>
    <row r="24" spans="1:11" ht="14.5" outlineLevel="1">
      <c r="A24" t="s">
        <v>351</v>
      </c>
    </row>
    <row r="25" spans="1:11" ht="14.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5" outlineLevel="1">
      <c r="A30" t="s">
        <v>347</v>
      </c>
      <c r="B30" s="191">
        <f t="shared" ref="B30:K30" si="48">CrossSecAreaRocket</f>
        <v>6.2265482457436686E-3</v>
      </c>
      <c r="C30" s="191">
        <f t="shared" si="48"/>
        <v>6.2265482457436686E-3</v>
      </c>
      <c r="D30" s="191">
        <f t="shared" si="48"/>
        <v>6.2265482457436686E-3</v>
      </c>
      <c r="E30" s="191">
        <f t="shared" si="48"/>
        <v>6.2265482457436686E-3</v>
      </c>
      <c r="F30" s="191">
        <f t="shared" si="48"/>
        <v>6.2265482457436686E-3</v>
      </c>
      <c r="G30" s="191">
        <f t="shared" si="48"/>
        <v>6.2265482457436686E-3</v>
      </c>
      <c r="H30" s="191">
        <f t="shared" si="48"/>
        <v>6.2265482457436686E-3</v>
      </c>
      <c r="I30" s="191">
        <f t="shared" si="48"/>
        <v>6.2265482457436686E-3</v>
      </c>
      <c r="J30" s="191">
        <f t="shared" si="48"/>
        <v>6.2265482457436686E-3</v>
      </c>
      <c r="K30" s="191">
        <f t="shared" si="48"/>
        <v>6.2265482457436686E-3</v>
      </c>
    </row>
    <row r="31" spans="1:11" ht="15" customHeight="1" thickBot="1"/>
    <row r="32" spans="1:11" thickBot="1">
      <c r="A32" s="268" t="s">
        <v>352</v>
      </c>
    </row>
    <row r="33" spans="1:11" ht="14.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ht="14.5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ht="14.5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ht="14.5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ht="14.5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ht="14.5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 ht="14.5">
      <c r="A92" s="265" t="s">
        <v>373</v>
      </c>
    </row>
    <row r="93" spans="1:11" s="167" customFormat="1" ht="14.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5" hidden="1" outlineLevel="1"/>
    <row r="99" spans="1:11" ht="14.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 ht="14.5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 ht="14.5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 ht="14.5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ht="14.5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5">
      <c r="A118" s="271" t="s">
        <v>528</v>
      </c>
    </row>
    <row r="119" spans="1:11" ht="14.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5" collapsed="1"/>
    <row r="125" spans="1:11" s="187" customFormat="1" ht="14.5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1384E-1957-4754-84FE-86F6D2932F4F}">
  <dimension ref="A1:K249"/>
  <sheetViews>
    <sheetView zoomScale="85" zoomScaleNormal="85" workbookViewId="0">
      <pane ySplit="10" topLeftCell="A237" activePane="bottomLeft" state="frozen"/>
      <selection pane="bottomLeft" activeCell="A240" sqref="A240:A249"/>
    </sheetView>
  </sheetViews>
  <sheetFormatPr defaultColWidth="9.08984375" defaultRowHeight="15" customHeight="1" outlineLevelRow="1"/>
  <cols>
    <col min="1" max="1" width="39.36328125" customWidth="1"/>
    <col min="2" max="11" width="12.726562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5">
      <c r="A2" t="s">
        <v>327</v>
      </c>
      <c r="B2" s="191">
        <f>B6*B8</f>
        <v>20.410444385167118</v>
      </c>
      <c r="C2" s="191">
        <f t="shared" ref="C2:K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1" ht="14.5" outlineLevel="1">
      <c r="A3" t="s">
        <v>328</v>
      </c>
      <c r="B3" s="191">
        <f>B2*COS(RADIANS(B9))*COS(RADIANS(B10))</f>
        <v>19.714975357669623</v>
      </c>
      <c r="C3" s="191">
        <f t="shared" ref="C3:K3" si="1">C2*COS(RADIANS(C9))*COS(RADIANS(C10))</f>
        <v>34.028626478304993</v>
      </c>
      <c r="D3" s="191">
        <f t="shared" si="1"/>
        <v>102.08587943491499</v>
      </c>
      <c r="E3" s="191">
        <f t="shared" si="1"/>
        <v>170.14313239152497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1" ht="14.5" outlineLevel="1">
      <c r="A4" t="s">
        <v>329</v>
      </c>
      <c r="B4" s="191">
        <f t="shared" ref="B4:K4" si="2">B2*SIN(RADIANS(B10))</f>
        <v>0</v>
      </c>
      <c r="C4" s="191">
        <f t="shared" si="2"/>
        <v>0</v>
      </c>
      <c r="D4" s="191">
        <f t="shared" si="2"/>
        <v>0</v>
      </c>
      <c r="E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1" ht="14.5" outlineLevel="1">
      <c r="A5" t="s">
        <v>330</v>
      </c>
      <c r="B5" s="191">
        <f t="shared" ref="B5:K5" si="3">B2*SIN(RADIANS(B9))*COS(RADIANS(B10))</f>
        <v>5.2826117258870591</v>
      </c>
      <c r="C5" s="191">
        <f t="shared" si="3"/>
        <v>0</v>
      </c>
      <c r="D5" s="191">
        <f t="shared" si="3"/>
        <v>0</v>
      </c>
      <c r="E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1" s="284" customFormat="1" ht="14.5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5">
      <c r="A7" t="s">
        <v>331</v>
      </c>
      <c r="B7" s="282">
        <f t="shared" ref="B7:K7" si="4">B2/B8</f>
        <v>0.06</v>
      </c>
      <c r="C7" s="282">
        <f t="shared" si="4"/>
        <v>9.9999999999999992E-2</v>
      </c>
      <c r="D7" s="282">
        <f t="shared" si="4"/>
        <v>0.3</v>
      </c>
      <c r="E7" s="282">
        <f t="shared" si="4"/>
        <v>0.5</v>
      </c>
      <c r="F7" s="282">
        <f t="shared" si="4"/>
        <v>0.7</v>
      </c>
      <c r="G7" s="282">
        <f t="shared" si="4"/>
        <v>1</v>
      </c>
      <c r="H7" s="282">
        <f t="shared" si="4"/>
        <v>1.5</v>
      </c>
      <c r="I7" s="282">
        <f t="shared" si="4"/>
        <v>2</v>
      </c>
      <c r="J7" s="282">
        <f t="shared" si="4"/>
        <v>3</v>
      </c>
      <c r="K7" s="282">
        <f t="shared" si="4"/>
        <v>5</v>
      </c>
    </row>
    <row r="8" spans="1:11" ht="14.5">
      <c r="A8" t="s">
        <v>485</v>
      </c>
      <c r="B8" s="191">
        <f>(SQRT(1.4*B17*287))</f>
        <v>340.17407308611865</v>
      </c>
      <c r="C8" s="191">
        <f t="shared" ref="C8:K8" si="5">(SQRT(1.4*C17*287))</f>
        <v>340.28626478304994</v>
      </c>
      <c r="D8" s="191">
        <f t="shared" si="5"/>
        <v>340.28626478304994</v>
      </c>
      <c r="E8" s="191">
        <f t="shared" si="5"/>
        <v>340.28626478304994</v>
      </c>
      <c r="F8" s="191">
        <f t="shared" si="5"/>
        <v>340.28626478304994</v>
      </c>
      <c r="G8" s="191">
        <f t="shared" si="5"/>
        <v>340.28626478304994</v>
      </c>
      <c r="H8" s="191">
        <f t="shared" si="5"/>
        <v>340.28626478304994</v>
      </c>
      <c r="I8" s="191">
        <f t="shared" si="5"/>
        <v>340.28626478304994</v>
      </c>
      <c r="J8" s="191">
        <f t="shared" si="5"/>
        <v>340.28626478304994</v>
      </c>
      <c r="K8" s="191">
        <f t="shared" si="5"/>
        <v>340.28626478304994</v>
      </c>
    </row>
    <row r="9" spans="1:11" s="284" customFormat="1" ht="14.5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 ht="14.5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5">
      <c r="A11" t="s">
        <v>334</v>
      </c>
      <c r="B11" s="191">
        <f t="shared" ref="B11:K11" si="6">RADIANS(AoAfins)</f>
        <v>0.26179938779914941</v>
      </c>
      <c r="C11" s="191">
        <f t="shared" si="6"/>
        <v>0.26179938779914941</v>
      </c>
      <c r="D11" s="191">
        <f t="shared" si="6"/>
        <v>0.26179938779914941</v>
      </c>
      <c r="E11" s="191">
        <f t="shared" si="6"/>
        <v>0.26179938779914941</v>
      </c>
      <c r="F11" s="191">
        <f t="shared" si="6"/>
        <v>0.26179938779914941</v>
      </c>
      <c r="G11" s="191">
        <f t="shared" si="6"/>
        <v>0.26179938779914941</v>
      </c>
      <c r="H11" s="191">
        <f t="shared" si="6"/>
        <v>0.26179938779914941</v>
      </c>
      <c r="I11" s="191">
        <f t="shared" si="6"/>
        <v>0.26179938779914941</v>
      </c>
      <c r="J11" s="191">
        <f t="shared" si="6"/>
        <v>0.26179938779914941</v>
      </c>
      <c r="K11" s="191">
        <f t="shared" si="6"/>
        <v>0.26179938779914941</v>
      </c>
    </row>
    <row r="12" spans="1:11" ht="14.5">
      <c r="A12" t="s">
        <v>335</v>
      </c>
      <c r="B12" s="191">
        <f t="shared" ref="B12:K12" si="7">RADIANS(AoSfins)</f>
        <v>0</v>
      </c>
      <c r="C12" s="191">
        <f t="shared" si="7"/>
        <v>0</v>
      </c>
      <c r="D12" s="191">
        <f t="shared" si="7"/>
        <v>0</v>
      </c>
      <c r="E12" s="191">
        <f t="shared" si="7"/>
        <v>0</v>
      </c>
      <c r="F12" s="191">
        <f t="shared" si="7"/>
        <v>0</v>
      </c>
      <c r="G12" s="191">
        <f t="shared" si="7"/>
        <v>0</v>
      </c>
      <c r="H12" s="191">
        <f t="shared" si="7"/>
        <v>0</v>
      </c>
      <c r="I12" s="191">
        <f t="shared" si="7"/>
        <v>0</v>
      </c>
      <c r="J12" s="191">
        <f t="shared" si="7"/>
        <v>0</v>
      </c>
      <c r="K12" s="191">
        <f t="shared" si="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thickBot="1">
      <c r="A14" s="268" t="s">
        <v>486</v>
      </c>
    </row>
    <row r="15" spans="1:11" ht="14.5" outlineLevel="1">
      <c r="A15" t="s">
        <v>348</v>
      </c>
      <c r="B15" s="191">
        <f>101325*(B17/288.08)^5.256</f>
        <v>101177.1939523339</v>
      </c>
      <c r="C15" s="191">
        <f t="shared" ref="C15:K15" si="8">101325*(C17/288.08)^5.256</f>
        <v>101528.51875418922</v>
      </c>
      <c r="D15" s="191">
        <f t="shared" si="8"/>
        <v>101528.51875418922</v>
      </c>
      <c r="E15" s="191">
        <f t="shared" si="8"/>
        <v>101528.51875418922</v>
      </c>
      <c r="F15" s="191">
        <f t="shared" si="8"/>
        <v>101528.51875418922</v>
      </c>
      <c r="G15" s="191">
        <f t="shared" si="8"/>
        <v>101528.51875418922</v>
      </c>
      <c r="H15" s="191">
        <f t="shared" si="8"/>
        <v>101528.51875418922</v>
      </c>
      <c r="I15" s="191">
        <f t="shared" si="8"/>
        <v>101528.51875418922</v>
      </c>
      <c r="J15" s="191">
        <f t="shared" si="8"/>
        <v>101528.51875418922</v>
      </c>
      <c r="K15" s="191">
        <f t="shared" si="8"/>
        <v>101528.51875418922</v>
      </c>
    </row>
    <row r="16" spans="1:11" ht="14.5" outlineLevel="1">
      <c r="A16" t="s">
        <v>337</v>
      </c>
      <c r="B16" s="191">
        <f t="shared" ref="B16:K16" si="9">B15/(287*B17)</f>
        <v>1.2240756140187512</v>
      </c>
      <c r="C16" s="191">
        <f t="shared" si="9"/>
        <v>1.2275162395185863</v>
      </c>
      <c r="D16" s="191">
        <f t="shared" si="9"/>
        <v>1.2275162395185863</v>
      </c>
      <c r="E16" s="191">
        <f t="shared" si="9"/>
        <v>1.2275162395185863</v>
      </c>
      <c r="F16" s="191">
        <f t="shared" si="9"/>
        <v>1.2275162395185863</v>
      </c>
      <c r="G16" s="191">
        <f t="shared" si="9"/>
        <v>1.2275162395185863</v>
      </c>
      <c r="H16" s="191">
        <f t="shared" si="9"/>
        <v>1.2275162395185863</v>
      </c>
      <c r="I16" s="191">
        <f t="shared" si="9"/>
        <v>1.2275162395185863</v>
      </c>
      <c r="J16" s="191">
        <f t="shared" si="9"/>
        <v>1.2275162395185863</v>
      </c>
      <c r="K16" s="191">
        <f t="shared" si="9"/>
        <v>1.2275162395185863</v>
      </c>
    </row>
    <row r="17" spans="1:11" ht="14.5" outlineLevel="1">
      <c r="A17" t="s">
        <v>338</v>
      </c>
      <c r="B17" s="191">
        <f>(15-0.0065*B13)+273</f>
        <v>288</v>
      </c>
      <c r="C17" s="191">
        <f t="shared" ref="C17:K17" si="10">(15.04-0.0065*C13)+273.15</f>
        <v>288.19</v>
      </c>
      <c r="D17" s="191">
        <f t="shared" si="10"/>
        <v>288.19</v>
      </c>
      <c r="E17" s="191">
        <f t="shared" si="10"/>
        <v>288.19</v>
      </c>
      <c r="F17" s="191">
        <f t="shared" si="10"/>
        <v>288.19</v>
      </c>
      <c r="G17" s="191">
        <f t="shared" si="10"/>
        <v>288.19</v>
      </c>
      <c r="H17" s="191">
        <f t="shared" si="10"/>
        <v>288.19</v>
      </c>
      <c r="I17" s="191">
        <f t="shared" si="10"/>
        <v>288.19</v>
      </c>
      <c r="J17" s="191">
        <f t="shared" si="10"/>
        <v>288.19</v>
      </c>
      <c r="K17" s="191">
        <f t="shared" si="10"/>
        <v>288.19</v>
      </c>
    </row>
    <row r="18" spans="1:11" ht="14.5" outlineLevel="1">
      <c r="A18" t="s">
        <v>483</v>
      </c>
      <c r="B18" s="191">
        <f>B17-273</f>
        <v>15</v>
      </c>
      <c r="C18" s="191">
        <f t="shared" ref="C18:K18" si="11">C17-273</f>
        <v>15.189999999999998</v>
      </c>
      <c r="D18" s="191">
        <f t="shared" si="11"/>
        <v>15.189999999999998</v>
      </c>
      <c r="E18" s="191">
        <f t="shared" si="11"/>
        <v>15.189999999999998</v>
      </c>
      <c r="F18" s="191">
        <f t="shared" si="11"/>
        <v>15.189999999999998</v>
      </c>
      <c r="G18" s="191">
        <f t="shared" si="11"/>
        <v>15.189999999999998</v>
      </c>
      <c r="H18" s="191">
        <f t="shared" si="11"/>
        <v>15.189999999999998</v>
      </c>
      <c r="I18" s="191">
        <f t="shared" si="11"/>
        <v>15.189999999999998</v>
      </c>
      <c r="J18" s="191">
        <f t="shared" si="11"/>
        <v>15.189999999999998</v>
      </c>
      <c r="K18" s="191">
        <f t="shared" si="11"/>
        <v>15.189999999999998</v>
      </c>
    </row>
    <row r="19" spans="1:11" ht="14.5" outlineLevel="1">
      <c r="A19" t="s">
        <v>339</v>
      </c>
      <c r="B19" s="186">
        <f>(1.76*10^-5)*((B17/273)^(3/2))*((273+110)/(B17+110))</f>
        <v>1.8351566035015911E-5</v>
      </c>
      <c r="C19" s="186">
        <f t="shared" ref="C19:K19" si="12">(1.76*10^-5)*((C17/273)^(3/2))*((273+110)/(C17+110))</f>
        <v>1.8360964149388051E-5</v>
      </c>
      <c r="D19" s="186">
        <f t="shared" si="12"/>
        <v>1.8360964149388051E-5</v>
      </c>
      <c r="E19" s="186">
        <f t="shared" si="12"/>
        <v>1.8360964149388051E-5</v>
      </c>
      <c r="F19" s="186">
        <f t="shared" si="12"/>
        <v>1.8360964149388051E-5</v>
      </c>
      <c r="G19" s="186">
        <f t="shared" si="12"/>
        <v>1.8360964149388051E-5</v>
      </c>
      <c r="H19" s="186">
        <f t="shared" si="12"/>
        <v>1.8360964149388051E-5</v>
      </c>
      <c r="I19" s="186">
        <f t="shared" si="12"/>
        <v>1.8360964149388051E-5</v>
      </c>
      <c r="J19" s="186">
        <f t="shared" si="12"/>
        <v>1.8360964149388051E-5</v>
      </c>
      <c r="K19" s="186">
        <f t="shared" si="12"/>
        <v>1.8360964149388051E-5</v>
      </c>
    </row>
    <row r="20" spans="1:11" ht="14.5" outlineLevel="1">
      <c r="A20" t="s">
        <v>340</v>
      </c>
      <c r="B20" s="186">
        <f t="shared" ref="B20:K20" si="13">B19/B16</f>
        <v>1.4992183346228143E-5</v>
      </c>
      <c r="C20" s="186">
        <f t="shared" si="13"/>
        <v>1.4957817712121631E-5</v>
      </c>
      <c r="D20" s="186">
        <f t="shared" si="13"/>
        <v>1.4957817712121631E-5</v>
      </c>
      <c r="E20" s="186">
        <f t="shared" si="13"/>
        <v>1.4957817712121631E-5</v>
      </c>
      <c r="F20" s="186">
        <f t="shared" si="13"/>
        <v>1.4957817712121631E-5</v>
      </c>
      <c r="G20" s="186">
        <f t="shared" si="13"/>
        <v>1.4957817712121631E-5</v>
      </c>
      <c r="H20" s="186">
        <f t="shared" si="13"/>
        <v>1.4957817712121631E-5</v>
      </c>
      <c r="I20" s="186">
        <f t="shared" si="13"/>
        <v>1.4957817712121631E-5</v>
      </c>
      <c r="J20" s="186">
        <f t="shared" si="13"/>
        <v>1.4957817712121631E-5</v>
      </c>
      <c r="K20" s="186">
        <f t="shared" si="13"/>
        <v>1.4957817712121631E-5</v>
      </c>
    </row>
    <row r="21" spans="1:11" ht="14.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5" outlineLevel="1">
      <c r="A22" t="s">
        <v>349</v>
      </c>
    </row>
    <row r="23" spans="1:11" ht="14.5" outlineLevel="1">
      <c r="A23" t="s">
        <v>350</v>
      </c>
    </row>
    <row r="24" spans="1:11" ht="14.5" outlineLevel="1">
      <c r="A24" t="s">
        <v>351</v>
      </c>
    </row>
    <row r="25" spans="1:11" ht="14.5" outlineLevel="1">
      <c r="A25" t="s">
        <v>342</v>
      </c>
      <c r="B25" s="191">
        <f t="shared" ref="B25:K25" si="14">DEGREES(ATAN((B5+B21)/B3))</f>
        <v>35.921637338271211</v>
      </c>
      <c r="C25" s="191">
        <f t="shared" si="14"/>
        <v>14.814555975479079</v>
      </c>
      <c r="D25" s="191">
        <f t="shared" si="14"/>
        <v>5.0382309646817349</v>
      </c>
      <c r="E25" s="191">
        <f t="shared" si="14"/>
        <v>3.0279322124746915</v>
      </c>
      <c r="F25" s="191">
        <f t="shared" si="14"/>
        <v>2.1637951681161911</v>
      </c>
      <c r="G25" s="191">
        <f t="shared" si="14"/>
        <v>1.5150239133225982</v>
      </c>
      <c r="H25" s="191">
        <f t="shared" si="14"/>
        <v>1.0101467304454064</v>
      </c>
      <c r="I25" s="191">
        <f t="shared" si="14"/>
        <v>0.75764439054895982</v>
      </c>
      <c r="J25" s="191">
        <f t="shared" si="14"/>
        <v>0.505112616327407</v>
      </c>
      <c r="K25" s="191">
        <f t="shared" si="14"/>
        <v>0.30307259479063259</v>
      </c>
    </row>
    <row r="26" spans="1:11" ht="14.5" outlineLevel="1">
      <c r="A26" t="s">
        <v>343</v>
      </c>
      <c r="B26" s="191">
        <f t="shared" ref="B26:K26" si="15">DEGREES(ATAN((B4+B21)/B3))</f>
        <v>24.536971295091643</v>
      </c>
      <c r="C26" s="191">
        <f t="shared" si="15"/>
        <v>14.814555975479079</v>
      </c>
      <c r="D26" s="191">
        <f t="shared" si="15"/>
        <v>5.0382309646817349</v>
      </c>
      <c r="E26" s="191">
        <f t="shared" si="15"/>
        <v>3.0279322124746915</v>
      </c>
      <c r="F26" s="191">
        <f t="shared" si="15"/>
        <v>2.1637951681161911</v>
      </c>
      <c r="G26" s="191">
        <f t="shared" si="15"/>
        <v>1.5150239133225982</v>
      </c>
      <c r="H26" s="191">
        <f t="shared" si="15"/>
        <v>1.0101467304454064</v>
      </c>
      <c r="I26" s="191">
        <f t="shared" si="15"/>
        <v>0.75764439054895982</v>
      </c>
      <c r="J26" s="191">
        <f t="shared" si="15"/>
        <v>0.505112616327407</v>
      </c>
      <c r="K26" s="191">
        <f t="shared" si="15"/>
        <v>0.30307259479063259</v>
      </c>
    </row>
    <row r="27" spans="1:11" ht="14.5" outlineLevel="1">
      <c r="A27" t="s">
        <v>344</v>
      </c>
      <c r="B27" s="191">
        <f t="shared" ref="B27:K28" si="16">RADIANS(B25)</f>
        <v>0.62695084426016467</v>
      </c>
      <c r="C27" s="191">
        <f t="shared" si="16"/>
        <v>0.25856277899311025</v>
      </c>
      <c r="D27" s="191">
        <f t="shared" si="16"/>
        <v>8.7933718809626416E-2</v>
      </c>
      <c r="E27" s="191">
        <f t="shared" si="16"/>
        <v>5.2847386634879888E-2</v>
      </c>
      <c r="F27" s="191">
        <f t="shared" si="16"/>
        <v>3.776535002237176E-2</v>
      </c>
      <c r="G27" s="191">
        <f t="shared" si="16"/>
        <v>2.6442155533928525E-2</v>
      </c>
      <c r="H27" s="191">
        <f t="shared" si="16"/>
        <v>1.7630386374527986E-2</v>
      </c>
      <c r="I27" s="191">
        <f t="shared" si="16"/>
        <v>1.3223389174345157E-2</v>
      </c>
      <c r="J27" s="191">
        <f t="shared" si="16"/>
        <v>8.8158782482761211E-3</v>
      </c>
      <c r="K27" s="191">
        <f t="shared" si="16"/>
        <v>5.2896146516591535E-3</v>
      </c>
    </row>
    <row r="28" spans="1:11" ht="14.5" outlineLevel="1">
      <c r="A28" t="s">
        <v>345</v>
      </c>
      <c r="B28" s="191">
        <f t="shared" si="16"/>
        <v>0.42825093756668631</v>
      </c>
      <c r="C28" s="191">
        <f t="shared" si="16"/>
        <v>0.25856277899311025</v>
      </c>
      <c r="D28" s="191">
        <f t="shared" si="16"/>
        <v>8.7933718809626416E-2</v>
      </c>
      <c r="E28" s="191">
        <f t="shared" si="16"/>
        <v>5.2847386634879888E-2</v>
      </c>
      <c r="F28" s="191">
        <f t="shared" si="16"/>
        <v>3.776535002237176E-2</v>
      </c>
      <c r="G28" s="191">
        <f t="shared" si="16"/>
        <v>2.6442155533928525E-2</v>
      </c>
      <c r="H28" s="191">
        <f t="shared" si="16"/>
        <v>1.7630386374527986E-2</v>
      </c>
      <c r="I28" s="191">
        <f t="shared" si="16"/>
        <v>1.3223389174345157E-2</v>
      </c>
      <c r="J28" s="191">
        <f t="shared" si="16"/>
        <v>8.8158782482761211E-3</v>
      </c>
      <c r="K28" s="191">
        <f t="shared" si="16"/>
        <v>5.2896146516591535E-3</v>
      </c>
    </row>
    <row r="29" spans="1:11" ht="14.5" outlineLevel="1">
      <c r="A29" t="s">
        <v>346</v>
      </c>
      <c r="B29" s="191">
        <f t="shared" ref="B29:K29" si="17">0.5*B16*B2^2</f>
        <v>254.96652875988138</v>
      </c>
      <c r="C29" s="191">
        <f t="shared" si="17"/>
        <v>710.69963127932442</v>
      </c>
      <c r="D29" s="191">
        <f t="shared" si="17"/>
        <v>6396.2966815139198</v>
      </c>
      <c r="E29" s="191">
        <f t="shared" si="17"/>
        <v>17767.49078198311</v>
      </c>
      <c r="F29" s="191">
        <f t="shared" si="17"/>
        <v>34824.281932686892</v>
      </c>
      <c r="G29" s="191">
        <f t="shared" si="17"/>
        <v>71069.963127932439</v>
      </c>
      <c r="H29" s="191">
        <f t="shared" si="17"/>
        <v>159907.41703784798</v>
      </c>
      <c r="I29" s="191">
        <f t="shared" si="17"/>
        <v>284279.85251172975</v>
      </c>
      <c r="J29" s="191">
        <f t="shared" si="17"/>
        <v>639629.6681513919</v>
      </c>
      <c r="K29" s="191">
        <f t="shared" si="17"/>
        <v>1776749.0781983112</v>
      </c>
    </row>
    <row r="30" spans="1:11" ht="14.5" outlineLevel="1">
      <c r="A30" t="s">
        <v>347</v>
      </c>
      <c r="B30" s="191">
        <f t="shared" ref="B30:K30" si="18">CrossSecAreaRocket</f>
        <v>6.2265482457436686E-3</v>
      </c>
      <c r="C30" s="191">
        <f t="shared" si="18"/>
        <v>6.2265482457436686E-3</v>
      </c>
      <c r="D30" s="191">
        <f t="shared" si="18"/>
        <v>6.2265482457436686E-3</v>
      </c>
      <c r="E30" s="191">
        <f t="shared" si="18"/>
        <v>6.2265482457436686E-3</v>
      </c>
      <c r="F30" s="191">
        <f t="shared" si="18"/>
        <v>6.2265482457436686E-3</v>
      </c>
      <c r="G30" s="191">
        <f t="shared" si="18"/>
        <v>6.2265482457436686E-3</v>
      </c>
      <c r="H30" s="191">
        <f t="shared" si="18"/>
        <v>6.2265482457436686E-3</v>
      </c>
      <c r="I30" s="191">
        <f t="shared" si="18"/>
        <v>6.2265482457436686E-3</v>
      </c>
      <c r="J30" s="191">
        <f t="shared" si="18"/>
        <v>6.2265482457436686E-3</v>
      </c>
      <c r="K30" s="191">
        <f t="shared" si="18"/>
        <v>6.2265482457436686E-3</v>
      </c>
    </row>
    <row r="31" spans="1:11" ht="15" customHeight="1" thickBot="1"/>
    <row r="32" spans="1:11" thickBot="1">
      <c r="A32" s="268" t="s">
        <v>352</v>
      </c>
    </row>
    <row r="33" spans="1:11" ht="14.5" outlineLevel="1">
      <c r="A33" t="s">
        <v>353</v>
      </c>
      <c r="B33" s="191">
        <f t="shared" ref="B33:K33" si="19">DiameterRocket</f>
        <v>8</v>
      </c>
      <c r="C33" s="191">
        <f t="shared" si="19"/>
        <v>8</v>
      </c>
      <c r="D33" s="191">
        <f t="shared" si="19"/>
        <v>8</v>
      </c>
      <c r="E33" s="191">
        <f t="shared" si="19"/>
        <v>8</v>
      </c>
      <c r="F33" s="191">
        <f t="shared" si="19"/>
        <v>8</v>
      </c>
      <c r="G33" s="191">
        <f t="shared" si="19"/>
        <v>8</v>
      </c>
      <c r="H33" s="191">
        <f t="shared" si="19"/>
        <v>8</v>
      </c>
      <c r="I33" s="191">
        <f t="shared" si="19"/>
        <v>8</v>
      </c>
      <c r="J33" s="191">
        <f t="shared" si="19"/>
        <v>8</v>
      </c>
      <c r="K33" s="191">
        <f t="shared" si="19"/>
        <v>8</v>
      </c>
    </row>
    <row r="34" spans="1:11" ht="14.5" outlineLevel="1">
      <c r="A34" t="s">
        <v>354</v>
      </c>
      <c r="B34" s="191">
        <f t="shared" ref="B34:K34" si="20">B33/100</f>
        <v>0.08</v>
      </c>
      <c r="C34" s="191">
        <f t="shared" si="20"/>
        <v>0.08</v>
      </c>
      <c r="D34" s="191">
        <f t="shared" si="20"/>
        <v>0.08</v>
      </c>
      <c r="E34" s="191">
        <f t="shared" si="20"/>
        <v>0.08</v>
      </c>
      <c r="F34" s="191">
        <f t="shared" si="20"/>
        <v>0.08</v>
      </c>
      <c r="G34" s="191">
        <f t="shared" si="20"/>
        <v>0.08</v>
      </c>
      <c r="H34" s="191">
        <f t="shared" si="20"/>
        <v>0.08</v>
      </c>
      <c r="I34" s="191">
        <f t="shared" si="20"/>
        <v>0.08</v>
      </c>
      <c r="J34" s="191">
        <f t="shared" si="20"/>
        <v>0.08</v>
      </c>
      <c r="K34" s="191">
        <f t="shared" si="20"/>
        <v>0.08</v>
      </c>
    </row>
    <row r="35" spans="1:11" ht="14.5" outlineLevel="1">
      <c r="A35" t="s">
        <v>355</v>
      </c>
      <c r="B35" s="261">
        <f t="shared" ref="B35:K35" si="21">((B39-B37)/(-B47))*(B47+B33/2)+B39</f>
        <v>16.333333333333332</v>
      </c>
      <c r="C35" s="261">
        <f t="shared" si="21"/>
        <v>16.333333333333332</v>
      </c>
      <c r="D35" s="261">
        <f t="shared" si="21"/>
        <v>16.333333333333332</v>
      </c>
      <c r="E35" s="261">
        <f t="shared" si="21"/>
        <v>16.333333333333332</v>
      </c>
      <c r="F35" s="261">
        <f t="shared" si="21"/>
        <v>16.333333333333332</v>
      </c>
      <c r="G35" s="261">
        <f t="shared" si="21"/>
        <v>16.333333333333332</v>
      </c>
      <c r="H35" s="261">
        <f t="shared" si="21"/>
        <v>16.333333333333332</v>
      </c>
      <c r="I35" s="261">
        <f t="shared" si="21"/>
        <v>16.333333333333332</v>
      </c>
      <c r="J35" s="261">
        <f t="shared" si="21"/>
        <v>16.333333333333332</v>
      </c>
      <c r="K35" s="261">
        <f t="shared" si="21"/>
        <v>16.333333333333332</v>
      </c>
    </row>
    <row r="36" spans="1:11" ht="14.5" outlineLevel="1">
      <c r="A36" t="s">
        <v>356</v>
      </c>
      <c r="B36" s="191">
        <f t="shared" ref="B36:K36" si="22">B35/100</f>
        <v>0.16333333333333333</v>
      </c>
      <c r="C36" s="191">
        <f t="shared" si="22"/>
        <v>0.16333333333333333</v>
      </c>
      <c r="D36" s="191">
        <f t="shared" si="22"/>
        <v>0.16333333333333333</v>
      </c>
      <c r="E36" s="191">
        <f t="shared" si="22"/>
        <v>0.16333333333333333</v>
      </c>
      <c r="F36" s="191">
        <f t="shared" si="22"/>
        <v>0.16333333333333333</v>
      </c>
      <c r="G36" s="191">
        <f t="shared" si="22"/>
        <v>0.16333333333333333</v>
      </c>
      <c r="H36" s="191">
        <f t="shared" si="22"/>
        <v>0.16333333333333333</v>
      </c>
      <c r="I36" s="191">
        <f t="shared" si="22"/>
        <v>0.16333333333333333</v>
      </c>
      <c r="J36" s="191">
        <f t="shared" si="22"/>
        <v>0.16333333333333333</v>
      </c>
      <c r="K36" s="191">
        <f t="shared" si="22"/>
        <v>0.16333333333333333</v>
      </c>
    </row>
    <row r="37" spans="1:11" ht="14.5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5" outlineLevel="1">
      <c r="A38" t="s">
        <v>354</v>
      </c>
      <c r="B38" s="191">
        <f t="shared" ref="B38:K38" si="23">B37/100</f>
        <v>0.15</v>
      </c>
      <c r="C38" s="191">
        <f t="shared" si="23"/>
        <v>0.15</v>
      </c>
      <c r="D38" s="191">
        <f t="shared" si="23"/>
        <v>0.15</v>
      </c>
      <c r="E38" s="191">
        <f t="shared" si="23"/>
        <v>0.15</v>
      </c>
      <c r="F38" s="191">
        <f t="shared" si="23"/>
        <v>0.15</v>
      </c>
      <c r="G38" s="191">
        <f t="shared" si="23"/>
        <v>0.15</v>
      </c>
      <c r="H38" s="191">
        <f t="shared" si="23"/>
        <v>0.15</v>
      </c>
      <c r="I38" s="191">
        <f t="shared" si="23"/>
        <v>0.15</v>
      </c>
      <c r="J38" s="191">
        <f t="shared" si="23"/>
        <v>0.15</v>
      </c>
      <c r="K38" s="191">
        <f t="shared" si="23"/>
        <v>0.15</v>
      </c>
    </row>
    <row r="39" spans="1:11" ht="14.5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5" outlineLevel="1">
      <c r="A40" t="s">
        <v>354</v>
      </c>
      <c r="B40" s="191">
        <f t="shared" ref="B40:K40" si="24">B39/100</f>
        <v>0.1</v>
      </c>
      <c r="C40" s="191">
        <f t="shared" si="24"/>
        <v>0.1</v>
      </c>
      <c r="D40" s="191">
        <f t="shared" si="24"/>
        <v>0.1</v>
      </c>
      <c r="E40" s="191">
        <f t="shared" si="24"/>
        <v>0.1</v>
      </c>
      <c r="F40" s="191">
        <f t="shared" si="24"/>
        <v>0.1</v>
      </c>
      <c r="G40" s="191">
        <f t="shared" si="24"/>
        <v>0.1</v>
      </c>
      <c r="H40" s="191">
        <f t="shared" si="24"/>
        <v>0.1</v>
      </c>
      <c r="I40" s="191">
        <f t="shared" si="24"/>
        <v>0.1</v>
      </c>
      <c r="J40" s="191">
        <f t="shared" si="24"/>
        <v>0.1</v>
      </c>
      <c r="K40" s="191">
        <f t="shared" si="24"/>
        <v>0.1</v>
      </c>
    </row>
    <row r="41" spans="1:11" ht="14.5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5" outlineLevel="1">
      <c r="A42" t="s">
        <v>354</v>
      </c>
      <c r="B42" s="191">
        <f t="shared" ref="B42:K42" si="25">B41/100</f>
        <v>0.02</v>
      </c>
      <c r="C42" s="191">
        <f t="shared" si="25"/>
        <v>0.02</v>
      </c>
      <c r="D42" s="191">
        <f t="shared" si="25"/>
        <v>0.02</v>
      </c>
      <c r="E42" s="191">
        <f t="shared" si="25"/>
        <v>0.02</v>
      </c>
      <c r="F42" s="191">
        <f t="shared" si="25"/>
        <v>0.02</v>
      </c>
      <c r="G42" s="191">
        <f t="shared" si="25"/>
        <v>0.02</v>
      </c>
      <c r="H42" s="191">
        <f t="shared" si="25"/>
        <v>0.02</v>
      </c>
      <c r="I42" s="191">
        <f t="shared" si="25"/>
        <v>0.02</v>
      </c>
      <c r="J42" s="191">
        <f t="shared" si="25"/>
        <v>0.02</v>
      </c>
      <c r="K42" s="191">
        <f t="shared" si="25"/>
        <v>0.02</v>
      </c>
    </row>
    <row r="43" spans="1:11" ht="14.5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5" outlineLevel="1">
      <c r="A44" t="s">
        <v>361</v>
      </c>
      <c r="B44" s="191">
        <f t="shared" ref="B44:K44" si="26">B39/B37</f>
        <v>0.66666666666666663</v>
      </c>
      <c r="C44" s="191">
        <f t="shared" si="26"/>
        <v>0.66666666666666663</v>
      </c>
      <c r="D44" s="191">
        <f t="shared" si="26"/>
        <v>0.66666666666666663</v>
      </c>
      <c r="E44" s="191">
        <f t="shared" si="26"/>
        <v>0.66666666666666663</v>
      </c>
      <c r="F44" s="191">
        <f t="shared" si="26"/>
        <v>0.66666666666666663</v>
      </c>
      <c r="G44" s="191">
        <f t="shared" si="26"/>
        <v>0.66666666666666663</v>
      </c>
      <c r="H44" s="191">
        <f t="shared" si="26"/>
        <v>0.66666666666666663</v>
      </c>
      <c r="I44" s="191">
        <f t="shared" si="26"/>
        <v>0.66666666666666663</v>
      </c>
      <c r="J44" s="191">
        <f t="shared" si="26"/>
        <v>0.66666666666666663</v>
      </c>
      <c r="K44" s="191">
        <f t="shared" si="26"/>
        <v>0.66666666666666663</v>
      </c>
    </row>
    <row r="45" spans="1:11" ht="14.5" outlineLevel="1">
      <c r="A45" t="s">
        <v>362</v>
      </c>
      <c r="B45" s="191">
        <f t="shared" ref="B45:K45" si="27">B47+B33/2</f>
        <v>19</v>
      </c>
      <c r="C45" s="191">
        <f t="shared" si="27"/>
        <v>19</v>
      </c>
      <c r="D45" s="191">
        <f t="shared" si="27"/>
        <v>19</v>
      </c>
      <c r="E45" s="191">
        <f t="shared" si="27"/>
        <v>19</v>
      </c>
      <c r="F45" s="191">
        <f t="shared" si="27"/>
        <v>19</v>
      </c>
      <c r="G45" s="191">
        <f t="shared" si="27"/>
        <v>19</v>
      </c>
      <c r="H45" s="191">
        <f t="shared" si="27"/>
        <v>19</v>
      </c>
      <c r="I45" s="191">
        <f t="shared" si="27"/>
        <v>19</v>
      </c>
      <c r="J45" s="191">
        <f t="shared" si="27"/>
        <v>19</v>
      </c>
      <c r="K45" s="191">
        <f t="shared" si="27"/>
        <v>19</v>
      </c>
    </row>
    <row r="46" spans="1:11" ht="14.5" outlineLevel="1">
      <c r="A46" t="s">
        <v>354</v>
      </c>
      <c r="B46" s="191">
        <f t="shared" ref="B46:K46" si="28">B45/100</f>
        <v>0.19</v>
      </c>
      <c r="C46" s="191">
        <f t="shared" si="28"/>
        <v>0.19</v>
      </c>
      <c r="D46" s="191">
        <f t="shared" si="28"/>
        <v>0.19</v>
      </c>
      <c r="E46" s="191">
        <f t="shared" si="28"/>
        <v>0.19</v>
      </c>
      <c r="F46" s="191">
        <f t="shared" si="28"/>
        <v>0.19</v>
      </c>
      <c r="G46" s="191">
        <f t="shared" si="28"/>
        <v>0.19</v>
      </c>
      <c r="H46" s="191">
        <f t="shared" si="28"/>
        <v>0.19</v>
      </c>
      <c r="I46" s="191">
        <f t="shared" si="28"/>
        <v>0.19</v>
      </c>
      <c r="J46" s="191">
        <f t="shared" si="28"/>
        <v>0.19</v>
      </c>
      <c r="K46" s="191">
        <f t="shared" si="28"/>
        <v>0.19</v>
      </c>
    </row>
    <row r="47" spans="1:11" ht="14.5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5" outlineLevel="1">
      <c r="A48" t="s">
        <v>356</v>
      </c>
      <c r="B48" s="191">
        <f t="shared" ref="B48:K48" si="29">B47/100</f>
        <v>0.15</v>
      </c>
      <c r="C48" s="191">
        <f t="shared" si="29"/>
        <v>0.15</v>
      </c>
      <c r="D48" s="191">
        <f t="shared" si="29"/>
        <v>0.15</v>
      </c>
      <c r="E48" s="191">
        <f t="shared" si="29"/>
        <v>0.15</v>
      </c>
      <c r="F48" s="191">
        <f t="shared" si="29"/>
        <v>0.15</v>
      </c>
      <c r="G48" s="191">
        <f t="shared" si="29"/>
        <v>0.15</v>
      </c>
      <c r="H48" s="191">
        <f t="shared" si="29"/>
        <v>0.15</v>
      </c>
      <c r="I48" s="191">
        <f t="shared" si="29"/>
        <v>0.15</v>
      </c>
      <c r="J48" s="191">
        <f t="shared" si="29"/>
        <v>0.15</v>
      </c>
      <c r="K48" s="191">
        <f t="shared" si="29"/>
        <v>0.15</v>
      </c>
    </row>
    <row r="49" spans="1:11" ht="14.5" outlineLevel="1">
      <c r="A49" t="s">
        <v>364</v>
      </c>
      <c r="B49" s="191">
        <f>(B40+B36)*B46/2</f>
        <v>2.5016666666666666E-2</v>
      </c>
      <c r="C49" s="191">
        <f t="shared" ref="C49:K49" si="30">(C40+C36)*C46/2</f>
        <v>2.5016666666666666E-2</v>
      </c>
      <c r="D49" s="191">
        <f t="shared" si="30"/>
        <v>2.5016666666666666E-2</v>
      </c>
      <c r="E49" s="191">
        <f t="shared" si="30"/>
        <v>2.5016666666666666E-2</v>
      </c>
      <c r="F49" s="191">
        <f t="shared" si="30"/>
        <v>2.5016666666666666E-2</v>
      </c>
      <c r="G49" s="191">
        <f t="shared" si="30"/>
        <v>2.5016666666666666E-2</v>
      </c>
      <c r="H49" s="191">
        <f t="shared" si="30"/>
        <v>2.5016666666666666E-2</v>
      </c>
      <c r="I49" s="191">
        <f t="shared" si="30"/>
        <v>2.5016666666666666E-2</v>
      </c>
      <c r="J49" s="191">
        <f t="shared" si="30"/>
        <v>2.5016666666666666E-2</v>
      </c>
      <c r="K49" s="191">
        <f t="shared" si="30"/>
        <v>2.5016666666666666E-2</v>
      </c>
    </row>
    <row r="50" spans="1:11" ht="14.5" outlineLevel="1">
      <c r="A50" t="s">
        <v>365</v>
      </c>
      <c r="B50" s="191">
        <f t="shared" ref="B50:K50" si="31">(B38+B40)*B48/2</f>
        <v>1.8749999999999999E-2</v>
      </c>
      <c r="C50" s="191">
        <f t="shared" si="31"/>
        <v>1.8749999999999999E-2</v>
      </c>
      <c r="D50" s="191">
        <f t="shared" si="31"/>
        <v>1.8749999999999999E-2</v>
      </c>
      <c r="E50" s="191">
        <f t="shared" si="31"/>
        <v>1.8749999999999999E-2</v>
      </c>
      <c r="F50" s="191">
        <f t="shared" si="31"/>
        <v>1.8749999999999999E-2</v>
      </c>
      <c r="G50" s="191">
        <f t="shared" si="31"/>
        <v>1.8749999999999999E-2</v>
      </c>
      <c r="H50" s="191">
        <f t="shared" si="31"/>
        <v>1.8749999999999999E-2</v>
      </c>
      <c r="I50" s="191">
        <f t="shared" si="31"/>
        <v>1.8749999999999999E-2</v>
      </c>
      <c r="J50" s="191">
        <f t="shared" si="31"/>
        <v>1.8749999999999999E-2</v>
      </c>
      <c r="K50" s="191">
        <f t="shared" si="31"/>
        <v>1.8749999999999999E-2</v>
      </c>
    </row>
    <row r="51" spans="1:11" ht="14.5" outlineLevel="1">
      <c r="A51" t="s">
        <v>366</v>
      </c>
      <c r="B51" s="261">
        <f>((B46+B46)^2)/(B49+B49)</f>
        <v>2.8860759493670889</v>
      </c>
      <c r="C51" s="261">
        <f t="shared" ref="C51:K51" si="32">((C46+C46)^2)/(C49+C49)</f>
        <v>2.8860759493670889</v>
      </c>
      <c r="D51" s="261">
        <f t="shared" si="32"/>
        <v>2.8860759493670889</v>
      </c>
      <c r="E51" s="261">
        <f t="shared" si="32"/>
        <v>2.8860759493670889</v>
      </c>
      <c r="F51" s="261">
        <f t="shared" si="32"/>
        <v>2.8860759493670889</v>
      </c>
      <c r="G51" s="261">
        <f t="shared" si="32"/>
        <v>2.8860759493670889</v>
      </c>
      <c r="H51" s="261">
        <f t="shared" si="32"/>
        <v>2.8860759493670889</v>
      </c>
      <c r="I51" s="261">
        <f t="shared" si="32"/>
        <v>2.8860759493670889</v>
      </c>
      <c r="J51" s="261">
        <f t="shared" si="32"/>
        <v>2.8860759493670889</v>
      </c>
      <c r="K51" s="261">
        <f t="shared" si="32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5">
      <c r="A54" t="s">
        <v>368</v>
      </c>
      <c r="B54" s="261">
        <f t="shared" ref="B54:K54" si="33">B48/(10+1)</f>
        <v>1.3636363636363636E-2</v>
      </c>
      <c r="C54" s="261">
        <f t="shared" si="33"/>
        <v>1.3636363636363636E-2</v>
      </c>
      <c r="D54" s="261">
        <f t="shared" si="33"/>
        <v>1.3636363636363636E-2</v>
      </c>
      <c r="E54" s="261">
        <f t="shared" si="33"/>
        <v>1.3636363636363636E-2</v>
      </c>
      <c r="F54" s="261">
        <f t="shared" si="33"/>
        <v>1.3636363636363636E-2</v>
      </c>
      <c r="G54" s="261">
        <f t="shared" si="33"/>
        <v>1.3636363636363636E-2</v>
      </c>
      <c r="H54" s="261">
        <f t="shared" si="33"/>
        <v>1.3636363636363636E-2</v>
      </c>
      <c r="I54" s="261">
        <f t="shared" si="33"/>
        <v>1.3636363636363636E-2</v>
      </c>
      <c r="J54" s="261">
        <f t="shared" si="33"/>
        <v>1.3636363636363636E-2</v>
      </c>
      <c r="K54" s="261">
        <f t="shared" si="33"/>
        <v>1.3636363636363636E-2</v>
      </c>
    </row>
    <row r="55" spans="1:11" ht="14.5">
      <c r="A55" t="s">
        <v>369</v>
      </c>
      <c r="B55" s="261">
        <f t="shared" ref="B55:K55" si="34">(B37-B39)/(-B47)</f>
        <v>-0.33333333333333331</v>
      </c>
      <c r="C55" s="261">
        <f t="shared" si="34"/>
        <v>-0.33333333333333331</v>
      </c>
      <c r="D55" s="261">
        <f t="shared" si="34"/>
        <v>-0.33333333333333331</v>
      </c>
      <c r="E55" s="261">
        <f t="shared" si="34"/>
        <v>-0.33333333333333331</v>
      </c>
      <c r="F55" s="261">
        <f t="shared" si="34"/>
        <v>-0.33333333333333331</v>
      </c>
      <c r="G55" s="261">
        <f t="shared" si="34"/>
        <v>-0.33333333333333331</v>
      </c>
      <c r="H55" s="261">
        <f t="shared" si="34"/>
        <v>-0.33333333333333331</v>
      </c>
      <c r="I55" s="261">
        <f t="shared" si="34"/>
        <v>-0.33333333333333331</v>
      </c>
      <c r="J55" s="261">
        <f t="shared" si="34"/>
        <v>-0.33333333333333331</v>
      </c>
      <c r="K55" s="261">
        <f t="shared" si="34"/>
        <v>-0.33333333333333331</v>
      </c>
    </row>
    <row r="56" spans="1:11" ht="14.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5" hidden="1" outlineLevel="1">
      <c r="A57">
        <v>1</v>
      </c>
      <c r="B57" s="261">
        <f>(B54/2)</f>
        <v>6.8181818181818179E-3</v>
      </c>
      <c r="C57" s="261">
        <f t="shared" ref="C57:K57" si="35">(C54/2)</f>
        <v>6.8181818181818179E-3</v>
      </c>
      <c r="D57" s="261">
        <f t="shared" si="35"/>
        <v>6.8181818181818179E-3</v>
      </c>
      <c r="E57" s="261">
        <f t="shared" si="35"/>
        <v>6.8181818181818179E-3</v>
      </c>
      <c r="F57" s="261">
        <f t="shared" si="35"/>
        <v>6.8181818181818179E-3</v>
      </c>
      <c r="G57" s="261">
        <f t="shared" si="35"/>
        <v>6.8181818181818179E-3</v>
      </c>
      <c r="H57" s="261">
        <f t="shared" si="35"/>
        <v>6.8181818181818179E-3</v>
      </c>
      <c r="I57" s="261">
        <f t="shared" si="35"/>
        <v>6.8181818181818179E-3</v>
      </c>
      <c r="J57" s="261">
        <f t="shared" si="35"/>
        <v>6.8181818181818179E-3</v>
      </c>
      <c r="K57" s="261">
        <f t="shared" si="35"/>
        <v>6.8181818181818179E-3</v>
      </c>
    </row>
    <row r="58" spans="1:11" ht="14.5" hidden="1" outlineLevel="1">
      <c r="A58">
        <v>2</v>
      </c>
      <c r="B58" s="261">
        <f>B57+B54</f>
        <v>2.0454545454545454E-2</v>
      </c>
      <c r="C58" s="261">
        <f t="shared" ref="C58:K58" si="36">C57+C54</f>
        <v>2.0454545454545454E-2</v>
      </c>
      <c r="D58" s="261">
        <f t="shared" si="36"/>
        <v>2.0454545454545454E-2</v>
      </c>
      <c r="E58" s="261">
        <f t="shared" si="36"/>
        <v>2.0454545454545454E-2</v>
      </c>
      <c r="F58" s="261">
        <f t="shared" si="36"/>
        <v>2.0454545454545454E-2</v>
      </c>
      <c r="G58" s="261">
        <f t="shared" si="36"/>
        <v>2.0454545454545454E-2</v>
      </c>
      <c r="H58" s="261">
        <f t="shared" si="36"/>
        <v>2.0454545454545454E-2</v>
      </c>
      <c r="I58" s="261">
        <f t="shared" si="36"/>
        <v>2.0454545454545454E-2</v>
      </c>
      <c r="J58" s="261">
        <f t="shared" si="36"/>
        <v>2.0454545454545454E-2</v>
      </c>
      <c r="K58" s="261">
        <f t="shared" si="36"/>
        <v>2.0454545454545454E-2</v>
      </c>
    </row>
    <row r="59" spans="1:11" ht="14.5" hidden="1" outlineLevel="1">
      <c r="A59">
        <v>3</v>
      </c>
      <c r="B59" s="261">
        <f t="shared" ref="B59:K67" si="37">B58+B$54</f>
        <v>3.4090909090909088E-2</v>
      </c>
      <c r="C59" s="261">
        <f t="shared" si="37"/>
        <v>3.4090909090909088E-2</v>
      </c>
      <c r="D59" s="261">
        <f t="shared" si="37"/>
        <v>3.4090909090909088E-2</v>
      </c>
      <c r="E59" s="261">
        <f t="shared" si="37"/>
        <v>3.4090909090909088E-2</v>
      </c>
      <c r="F59" s="261">
        <f t="shared" si="37"/>
        <v>3.4090909090909088E-2</v>
      </c>
      <c r="G59" s="261">
        <f t="shared" si="37"/>
        <v>3.4090909090909088E-2</v>
      </c>
      <c r="H59" s="261">
        <f t="shared" si="37"/>
        <v>3.4090909090909088E-2</v>
      </c>
      <c r="I59" s="261">
        <f t="shared" si="37"/>
        <v>3.4090909090909088E-2</v>
      </c>
      <c r="J59" s="261">
        <f t="shared" si="37"/>
        <v>3.4090909090909088E-2</v>
      </c>
      <c r="K59" s="261">
        <f t="shared" si="37"/>
        <v>3.4090909090909088E-2</v>
      </c>
    </row>
    <row r="60" spans="1:11" ht="14.5" hidden="1" outlineLevel="1">
      <c r="A60">
        <v>4</v>
      </c>
      <c r="B60" s="261">
        <f t="shared" si="37"/>
        <v>4.7727272727272722E-2</v>
      </c>
      <c r="C60" s="261">
        <f t="shared" si="37"/>
        <v>4.7727272727272722E-2</v>
      </c>
      <c r="D60" s="261">
        <f t="shared" si="37"/>
        <v>4.7727272727272722E-2</v>
      </c>
      <c r="E60" s="261">
        <f t="shared" si="37"/>
        <v>4.7727272727272722E-2</v>
      </c>
      <c r="F60" s="261">
        <f t="shared" si="37"/>
        <v>4.7727272727272722E-2</v>
      </c>
      <c r="G60" s="261">
        <f t="shared" si="37"/>
        <v>4.7727272727272722E-2</v>
      </c>
      <c r="H60" s="261">
        <f t="shared" si="37"/>
        <v>4.7727272727272722E-2</v>
      </c>
      <c r="I60" s="261">
        <f t="shared" si="37"/>
        <v>4.7727272727272722E-2</v>
      </c>
      <c r="J60" s="261">
        <f t="shared" si="37"/>
        <v>4.7727272727272722E-2</v>
      </c>
      <c r="K60" s="261">
        <f t="shared" si="37"/>
        <v>4.7727272727272722E-2</v>
      </c>
    </row>
    <row r="61" spans="1:11" ht="14.5" hidden="1" outlineLevel="1">
      <c r="A61">
        <v>5</v>
      </c>
      <c r="B61" s="261">
        <f t="shared" si="37"/>
        <v>6.1363636363636356E-2</v>
      </c>
      <c r="C61" s="261">
        <f t="shared" si="37"/>
        <v>6.1363636363636356E-2</v>
      </c>
      <c r="D61" s="261">
        <f t="shared" si="37"/>
        <v>6.1363636363636356E-2</v>
      </c>
      <c r="E61" s="261">
        <f t="shared" si="37"/>
        <v>6.1363636363636356E-2</v>
      </c>
      <c r="F61" s="261">
        <f t="shared" si="37"/>
        <v>6.1363636363636356E-2</v>
      </c>
      <c r="G61" s="261">
        <f t="shared" si="37"/>
        <v>6.1363636363636356E-2</v>
      </c>
      <c r="H61" s="261">
        <f t="shared" si="37"/>
        <v>6.1363636363636356E-2</v>
      </c>
      <c r="I61" s="261">
        <f t="shared" si="37"/>
        <v>6.1363636363636356E-2</v>
      </c>
      <c r="J61" s="261">
        <f t="shared" si="37"/>
        <v>6.1363636363636356E-2</v>
      </c>
      <c r="K61" s="261">
        <f t="shared" si="37"/>
        <v>6.1363636363636356E-2</v>
      </c>
    </row>
    <row r="62" spans="1:11" ht="14.5" hidden="1" outlineLevel="1">
      <c r="A62">
        <v>6</v>
      </c>
      <c r="B62" s="261">
        <f t="shared" si="37"/>
        <v>7.4999999999999997E-2</v>
      </c>
      <c r="C62" s="261">
        <f t="shared" si="37"/>
        <v>7.4999999999999997E-2</v>
      </c>
      <c r="D62" s="261">
        <f t="shared" si="37"/>
        <v>7.4999999999999997E-2</v>
      </c>
      <c r="E62" s="261">
        <f t="shared" si="37"/>
        <v>7.4999999999999997E-2</v>
      </c>
      <c r="F62" s="261">
        <f t="shared" si="37"/>
        <v>7.4999999999999997E-2</v>
      </c>
      <c r="G62" s="261">
        <f t="shared" si="37"/>
        <v>7.4999999999999997E-2</v>
      </c>
      <c r="H62" s="261">
        <f t="shared" si="37"/>
        <v>7.4999999999999997E-2</v>
      </c>
      <c r="I62" s="261">
        <f t="shared" si="37"/>
        <v>7.4999999999999997E-2</v>
      </c>
      <c r="J62" s="261">
        <f t="shared" si="37"/>
        <v>7.4999999999999997E-2</v>
      </c>
      <c r="K62" s="261">
        <f t="shared" si="37"/>
        <v>7.4999999999999997E-2</v>
      </c>
    </row>
    <row r="63" spans="1:11" ht="14.5" hidden="1" outlineLevel="1">
      <c r="A63">
        <v>7</v>
      </c>
      <c r="B63" s="261">
        <f t="shared" si="37"/>
        <v>8.8636363636363638E-2</v>
      </c>
      <c r="C63" s="261">
        <f t="shared" si="37"/>
        <v>8.8636363636363638E-2</v>
      </c>
      <c r="D63" s="261">
        <f t="shared" si="37"/>
        <v>8.8636363636363638E-2</v>
      </c>
      <c r="E63" s="261">
        <f t="shared" si="37"/>
        <v>8.8636363636363638E-2</v>
      </c>
      <c r="F63" s="261">
        <f t="shared" si="37"/>
        <v>8.8636363636363638E-2</v>
      </c>
      <c r="G63" s="261">
        <f t="shared" si="37"/>
        <v>8.8636363636363638E-2</v>
      </c>
      <c r="H63" s="261">
        <f t="shared" si="37"/>
        <v>8.8636363636363638E-2</v>
      </c>
      <c r="I63" s="261">
        <f t="shared" si="37"/>
        <v>8.8636363636363638E-2</v>
      </c>
      <c r="J63" s="261">
        <f t="shared" si="37"/>
        <v>8.8636363636363638E-2</v>
      </c>
      <c r="K63" s="261">
        <f t="shared" si="37"/>
        <v>8.8636363636363638E-2</v>
      </c>
    </row>
    <row r="64" spans="1:11" ht="14.5" hidden="1" outlineLevel="1">
      <c r="A64">
        <v>8</v>
      </c>
      <c r="B64" s="261">
        <f t="shared" si="37"/>
        <v>0.10227272727272728</v>
      </c>
      <c r="C64" s="261">
        <f t="shared" si="37"/>
        <v>0.10227272727272728</v>
      </c>
      <c r="D64" s="261">
        <f t="shared" si="37"/>
        <v>0.10227272727272728</v>
      </c>
      <c r="E64" s="261">
        <f t="shared" si="37"/>
        <v>0.10227272727272728</v>
      </c>
      <c r="F64" s="261">
        <f t="shared" si="37"/>
        <v>0.10227272727272728</v>
      </c>
      <c r="G64" s="261">
        <f t="shared" si="37"/>
        <v>0.10227272727272728</v>
      </c>
      <c r="H64" s="261">
        <f t="shared" si="37"/>
        <v>0.10227272727272728</v>
      </c>
      <c r="I64" s="261">
        <f t="shared" si="37"/>
        <v>0.10227272727272728</v>
      </c>
      <c r="J64" s="261">
        <f t="shared" si="37"/>
        <v>0.10227272727272728</v>
      </c>
      <c r="K64" s="261">
        <f t="shared" si="37"/>
        <v>0.10227272727272728</v>
      </c>
    </row>
    <row r="65" spans="1:11" ht="14.5" hidden="1" outlineLevel="1">
      <c r="A65">
        <v>9</v>
      </c>
      <c r="B65" s="261">
        <f t="shared" si="37"/>
        <v>0.11590909090909092</v>
      </c>
      <c r="C65" s="261">
        <f t="shared" si="37"/>
        <v>0.11590909090909092</v>
      </c>
      <c r="D65" s="261">
        <f t="shared" si="37"/>
        <v>0.11590909090909092</v>
      </c>
      <c r="E65" s="261">
        <f t="shared" si="37"/>
        <v>0.11590909090909092</v>
      </c>
      <c r="F65" s="261">
        <f t="shared" si="37"/>
        <v>0.11590909090909092</v>
      </c>
      <c r="G65" s="261">
        <f t="shared" si="37"/>
        <v>0.11590909090909092</v>
      </c>
      <c r="H65" s="261">
        <f t="shared" si="37"/>
        <v>0.11590909090909092</v>
      </c>
      <c r="I65" s="261">
        <f t="shared" si="37"/>
        <v>0.11590909090909092</v>
      </c>
      <c r="J65" s="261">
        <f t="shared" si="37"/>
        <v>0.11590909090909092</v>
      </c>
      <c r="K65" s="261">
        <f t="shared" si="37"/>
        <v>0.11590909090909092</v>
      </c>
    </row>
    <row r="66" spans="1:11" ht="14.5" hidden="1" outlineLevel="1">
      <c r="A66">
        <v>10</v>
      </c>
      <c r="B66" s="261">
        <f t="shared" si="37"/>
        <v>0.12954545454545455</v>
      </c>
      <c r="C66" s="261">
        <f t="shared" si="37"/>
        <v>0.12954545454545455</v>
      </c>
      <c r="D66" s="261">
        <f t="shared" si="37"/>
        <v>0.12954545454545455</v>
      </c>
      <c r="E66" s="261">
        <f t="shared" si="37"/>
        <v>0.12954545454545455</v>
      </c>
      <c r="F66" s="261">
        <f t="shared" si="37"/>
        <v>0.12954545454545455</v>
      </c>
      <c r="G66" s="261">
        <f t="shared" si="37"/>
        <v>0.12954545454545455</v>
      </c>
      <c r="H66" s="261">
        <f t="shared" si="37"/>
        <v>0.12954545454545455</v>
      </c>
      <c r="I66" s="261">
        <f t="shared" si="37"/>
        <v>0.12954545454545455</v>
      </c>
      <c r="J66" s="261">
        <f t="shared" si="37"/>
        <v>0.12954545454545455</v>
      </c>
      <c r="K66" s="261">
        <f t="shared" si="37"/>
        <v>0.12954545454545455</v>
      </c>
    </row>
    <row r="67" spans="1:11" ht="14.5" hidden="1" outlineLevel="1">
      <c r="A67">
        <v>11</v>
      </c>
      <c r="B67" s="261">
        <f t="shared" si="37"/>
        <v>0.14318181818181819</v>
      </c>
      <c r="C67" s="261">
        <f t="shared" si="37"/>
        <v>0.14318181818181819</v>
      </c>
      <c r="D67" s="261">
        <f t="shared" si="37"/>
        <v>0.14318181818181819</v>
      </c>
      <c r="E67" s="261">
        <f t="shared" si="37"/>
        <v>0.14318181818181819</v>
      </c>
      <c r="F67" s="261">
        <f t="shared" si="37"/>
        <v>0.14318181818181819</v>
      </c>
      <c r="G67" s="261">
        <f t="shared" si="37"/>
        <v>0.14318181818181819</v>
      </c>
      <c r="H67" s="261">
        <f t="shared" si="37"/>
        <v>0.14318181818181819</v>
      </c>
      <c r="I67" s="261">
        <f t="shared" si="37"/>
        <v>0.14318181818181819</v>
      </c>
      <c r="J67" s="261">
        <f t="shared" si="37"/>
        <v>0.14318181818181819</v>
      </c>
      <c r="K67" s="261">
        <f t="shared" si="37"/>
        <v>0.14318181818181819</v>
      </c>
    </row>
    <row r="68" spans="1:11" ht="14.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5" hidden="1" outlineLevel="1">
      <c r="A69">
        <v>1</v>
      </c>
      <c r="B69" s="261">
        <f t="shared" ref="B69:K79" si="38">(B57*B$55)+B$38</f>
        <v>0.14772727272727273</v>
      </c>
      <c r="C69" s="261">
        <f t="shared" si="38"/>
        <v>0.14772727272727273</v>
      </c>
      <c r="D69" s="261">
        <f t="shared" si="38"/>
        <v>0.14772727272727273</v>
      </c>
      <c r="E69" s="261">
        <f t="shared" si="38"/>
        <v>0.14772727272727273</v>
      </c>
      <c r="F69" s="261">
        <f t="shared" si="38"/>
        <v>0.14772727272727273</v>
      </c>
      <c r="G69" s="261">
        <f t="shared" si="38"/>
        <v>0.14772727272727273</v>
      </c>
      <c r="H69" s="261">
        <f t="shared" si="38"/>
        <v>0.14772727272727273</v>
      </c>
      <c r="I69" s="261">
        <f t="shared" si="38"/>
        <v>0.14772727272727273</v>
      </c>
      <c r="J69" s="261">
        <f t="shared" si="38"/>
        <v>0.14772727272727273</v>
      </c>
      <c r="K69" s="261">
        <f t="shared" si="38"/>
        <v>0.14772727272727273</v>
      </c>
    </row>
    <row r="70" spans="1:11" ht="14.5" hidden="1" outlineLevel="1">
      <c r="A70">
        <v>2</v>
      </c>
      <c r="B70" s="261">
        <f t="shared" si="38"/>
        <v>0.14318181818181819</v>
      </c>
      <c r="C70" s="261">
        <f t="shared" si="38"/>
        <v>0.14318181818181819</v>
      </c>
      <c r="D70" s="261">
        <f t="shared" si="38"/>
        <v>0.14318181818181819</v>
      </c>
      <c r="E70" s="261">
        <f t="shared" si="38"/>
        <v>0.14318181818181819</v>
      </c>
      <c r="F70" s="261">
        <f t="shared" si="38"/>
        <v>0.14318181818181819</v>
      </c>
      <c r="G70" s="261">
        <f t="shared" si="38"/>
        <v>0.14318181818181819</v>
      </c>
      <c r="H70" s="261">
        <f t="shared" si="38"/>
        <v>0.14318181818181819</v>
      </c>
      <c r="I70" s="261">
        <f t="shared" si="38"/>
        <v>0.14318181818181819</v>
      </c>
      <c r="J70" s="261">
        <f t="shared" si="38"/>
        <v>0.14318181818181819</v>
      </c>
      <c r="K70" s="261">
        <f t="shared" si="38"/>
        <v>0.14318181818181819</v>
      </c>
    </row>
    <row r="71" spans="1:11" ht="14.5" hidden="1" outlineLevel="1">
      <c r="A71">
        <v>3</v>
      </c>
      <c r="B71" s="261">
        <f t="shared" si="38"/>
        <v>0.13863636363636364</v>
      </c>
      <c r="C71" s="261">
        <f t="shared" si="38"/>
        <v>0.13863636363636364</v>
      </c>
      <c r="D71" s="261">
        <f t="shared" si="38"/>
        <v>0.13863636363636364</v>
      </c>
      <c r="E71" s="261">
        <f t="shared" si="38"/>
        <v>0.13863636363636364</v>
      </c>
      <c r="F71" s="261">
        <f t="shared" si="38"/>
        <v>0.13863636363636364</v>
      </c>
      <c r="G71" s="261">
        <f t="shared" si="38"/>
        <v>0.13863636363636364</v>
      </c>
      <c r="H71" s="261">
        <f t="shared" si="38"/>
        <v>0.13863636363636364</v>
      </c>
      <c r="I71" s="261">
        <f t="shared" si="38"/>
        <v>0.13863636363636364</v>
      </c>
      <c r="J71" s="261">
        <f t="shared" si="38"/>
        <v>0.13863636363636364</v>
      </c>
      <c r="K71" s="261">
        <f t="shared" si="38"/>
        <v>0.13863636363636364</v>
      </c>
    </row>
    <row r="72" spans="1:11" ht="14.5" hidden="1" outlineLevel="1">
      <c r="A72">
        <v>4</v>
      </c>
      <c r="B72" s="261">
        <f t="shared" si="38"/>
        <v>0.13409090909090909</v>
      </c>
      <c r="C72" s="261">
        <f t="shared" si="38"/>
        <v>0.13409090909090909</v>
      </c>
      <c r="D72" s="261">
        <f t="shared" si="38"/>
        <v>0.13409090909090909</v>
      </c>
      <c r="E72" s="261">
        <f t="shared" si="38"/>
        <v>0.13409090909090909</v>
      </c>
      <c r="F72" s="261">
        <f t="shared" si="38"/>
        <v>0.13409090909090909</v>
      </c>
      <c r="G72" s="261">
        <f t="shared" si="38"/>
        <v>0.13409090909090909</v>
      </c>
      <c r="H72" s="261">
        <f t="shared" si="38"/>
        <v>0.13409090909090909</v>
      </c>
      <c r="I72" s="261">
        <f t="shared" si="38"/>
        <v>0.13409090909090909</v>
      </c>
      <c r="J72" s="261">
        <f t="shared" si="38"/>
        <v>0.13409090909090909</v>
      </c>
      <c r="K72" s="261">
        <f t="shared" si="38"/>
        <v>0.13409090909090909</v>
      </c>
    </row>
    <row r="73" spans="1:11" ht="14.5" hidden="1" outlineLevel="1">
      <c r="A73">
        <v>5</v>
      </c>
      <c r="B73" s="261">
        <f t="shared" si="38"/>
        <v>0.12954545454545455</v>
      </c>
      <c r="C73" s="261">
        <f t="shared" si="38"/>
        <v>0.12954545454545455</v>
      </c>
      <c r="D73" s="261">
        <f t="shared" si="38"/>
        <v>0.12954545454545455</v>
      </c>
      <c r="E73" s="261">
        <f t="shared" si="38"/>
        <v>0.12954545454545455</v>
      </c>
      <c r="F73" s="261">
        <f t="shared" si="38"/>
        <v>0.12954545454545455</v>
      </c>
      <c r="G73" s="261">
        <f t="shared" si="38"/>
        <v>0.12954545454545455</v>
      </c>
      <c r="H73" s="261">
        <f t="shared" si="38"/>
        <v>0.12954545454545455</v>
      </c>
      <c r="I73" s="261">
        <f t="shared" si="38"/>
        <v>0.12954545454545455</v>
      </c>
      <c r="J73" s="261">
        <f t="shared" si="38"/>
        <v>0.12954545454545455</v>
      </c>
      <c r="K73" s="261">
        <f t="shared" si="38"/>
        <v>0.12954545454545455</v>
      </c>
    </row>
    <row r="74" spans="1:11" ht="14.5" hidden="1" outlineLevel="1">
      <c r="A74">
        <v>6</v>
      </c>
      <c r="B74" s="261">
        <f t="shared" si="38"/>
        <v>0.125</v>
      </c>
      <c r="C74" s="261">
        <f t="shared" si="38"/>
        <v>0.125</v>
      </c>
      <c r="D74" s="261">
        <f t="shared" si="38"/>
        <v>0.125</v>
      </c>
      <c r="E74" s="261">
        <f t="shared" si="38"/>
        <v>0.125</v>
      </c>
      <c r="F74" s="261">
        <f t="shared" si="38"/>
        <v>0.125</v>
      </c>
      <c r="G74" s="261">
        <f t="shared" si="38"/>
        <v>0.125</v>
      </c>
      <c r="H74" s="261">
        <f t="shared" si="38"/>
        <v>0.125</v>
      </c>
      <c r="I74" s="261">
        <f t="shared" si="38"/>
        <v>0.125</v>
      </c>
      <c r="J74" s="261">
        <f t="shared" si="38"/>
        <v>0.125</v>
      </c>
      <c r="K74" s="261">
        <f t="shared" si="38"/>
        <v>0.125</v>
      </c>
    </row>
    <row r="75" spans="1:11" ht="14.5" hidden="1" outlineLevel="1">
      <c r="A75">
        <v>7</v>
      </c>
      <c r="B75" s="261">
        <f t="shared" si="38"/>
        <v>0.12045454545454545</v>
      </c>
      <c r="C75" s="261">
        <f t="shared" si="38"/>
        <v>0.12045454545454545</v>
      </c>
      <c r="D75" s="261">
        <f t="shared" si="38"/>
        <v>0.12045454545454545</v>
      </c>
      <c r="E75" s="261">
        <f t="shared" si="38"/>
        <v>0.12045454545454545</v>
      </c>
      <c r="F75" s="261">
        <f t="shared" si="38"/>
        <v>0.12045454545454545</v>
      </c>
      <c r="G75" s="261">
        <f t="shared" si="38"/>
        <v>0.12045454545454545</v>
      </c>
      <c r="H75" s="261">
        <f t="shared" si="38"/>
        <v>0.12045454545454545</v>
      </c>
      <c r="I75" s="261">
        <f t="shared" si="38"/>
        <v>0.12045454545454545</v>
      </c>
      <c r="J75" s="261">
        <f t="shared" si="38"/>
        <v>0.12045454545454545</v>
      </c>
      <c r="K75" s="261">
        <f t="shared" si="38"/>
        <v>0.12045454545454545</v>
      </c>
    </row>
    <row r="76" spans="1:11" ht="14.5" hidden="1" outlineLevel="1">
      <c r="A76">
        <v>8</v>
      </c>
      <c r="B76" s="261">
        <f t="shared" si="38"/>
        <v>0.11590909090909091</v>
      </c>
      <c r="C76" s="261">
        <f t="shared" si="38"/>
        <v>0.11590909090909091</v>
      </c>
      <c r="D76" s="261">
        <f t="shared" si="38"/>
        <v>0.11590909090909091</v>
      </c>
      <c r="E76" s="261">
        <f t="shared" si="38"/>
        <v>0.11590909090909091</v>
      </c>
      <c r="F76" s="261">
        <f t="shared" si="38"/>
        <v>0.11590909090909091</v>
      </c>
      <c r="G76" s="261">
        <f t="shared" si="38"/>
        <v>0.11590909090909091</v>
      </c>
      <c r="H76" s="261">
        <f t="shared" si="38"/>
        <v>0.11590909090909091</v>
      </c>
      <c r="I76" s="261">
        <f t="shared" si="38"/>
        <v>0.11590909090909091</v>
      </c>
      <c r="J76" s="261">
        <f t="shared" si="38"/>
        <v>0.11590909090909091</v>
      </c>
      <c r="K76" s="261">
        <f t="shared" si="38"/>
        <v>0.11590909090909091</v>
      </c>
    </row>
    <row r="77" spans="1:11" ht="14.5" hidden="1" outlineLevel="1">
      <c r="A77">
        <v>9</v>
      </c>
      <c r="B77" s="261">
        <f t="shared" si="38"/>
        <v>0.11136363636363636</v>
      </c>
      <c r="C77" s="261">
        <f t="shared" si="38"/>
        <v>0.11136363636363636</v>
      </c>
      <c r="D77" s="261">
        <f t="shared" si="38"/>
        <v>0.11136363636363636</v>
      </c>
      <c r="E77" s="261">
        <f t="shared" si="38"/>
        <v>0.11136363636363636</v>
      </c>
      <c r="F77" s="261">
        <f t="shared" si="38"/>
        <v>0.11136363636363636</v>
      </c>
      <c r="G77" s="261">
        <f t="shared" si="38"/>
        <v>0.11136363636363636</v>
      </c>
      <c r="H77" s="261">
        <f t="shared" si="38"/>
        <v>0.11136363636363636</v>
      </c>
      <c r="I77" s="261">
        <f t="shared" si="38"/>
        <v>0.11136363636363636</v>
      </c>
      <c r="J77" s="261">
        <f t="shared" si="38"/>
        <v>0.11136363636363636</v>
      </c>
      <c r="K77" s="261">
        <f t="shared" si="38"/>
        <v>0.11136363636363636</v>
      </c>
    </row>
    <row r="78" spans="1:11" ht="14.5" hidden="1" outlineLevel="1">
      <c r="A78">
        <v>10</v>
      </c>
      <c r="B78" s="261">
        <f t="shared" si="38"/>
        <v>0.10681818181818181</v>
      </c>
      <c r="C78" s="261">
        <f t="shared" si="38"/>
        <v>0.10681818181818181</v>
      </c>
      <c r="D78" s="261">
        <f t="shared" si="38"/>
        <v>0.10681818181818181</v>
      </c>
      <c r="E78" s="261">
        <f t="shared" si="38"/>
        <v>0.10681818181818181</v>
      </c>
      <c r="F78" s="261">
        <f t="shared" si="38"/>
        <v>0.10681818181818181</v>
      </c>
      <c r="G78" s="261">
        <f t="shared" si="38"/>
        <v>0.10681818181818181</v>
      </c>
      <c r="H78" s="261">
        <f t="shared" si="38"/>
        <v>0.10681818181818181</v>
      </c>
      <c r="I78" s="261">
        <f t="shared" si="38"/>
        <v>0.10681818181818181</v>
      </c>
      <c r="J78" s="261">
        <f t="shared" si="38"/>
        <v>0.10681818181818181</v>
      </c>
      <c r="K78" s="261">
        <f t="shared" si="38"/>
        <v>0.10681818181818181</v>
      </c>
    </row>
    <row r="79" spans="1:11" ht="14.5" hidden="1" outlineLevel="1">
      <c r="A79">
        <v>11</v>
      </c>
      <c r="B79" s="261">
        <f t="shared" si="38"/>
        <v>0.10227272727272727</v>
      </c>
      <c r="C79" s="261">
        <f t="shared" si="38"/>
        <v>0.10227272727272727</v>
      </c>
      <c r="D79" s="261">
        <f t="shared" si="38"/>
        <v>0.10227272727272727</v>
      </c>
      <c r="E79" s="261">
        <f t="shared" si="38"/>
        <v>0.10227272727272727</v>
      </c>
      <c r="F79" s="261">
        <f t="shared" si="38"/>
        <v>0.10227272727272727</v>
      </c>
      <c r="G79" s="261">
        <f t="shared" si="38"/>
        <v>0.10227272727272727</v>
      </c>
      <c r="H79" s="261">
        <f t="shared" si="38"/>
        <v>0.10227272727272727</v>
      </c>
      <c r="I79" s="261">
        <f t="shared" si="38"/>
        <v>0.10227272727272727</v>
      </c>
      <c r="J79" s="261">
        <f t="shared" si="38"/>
        <v>0.10227272727272727</v>
      </c>
      <c r="K79" s="261">
        <f t="shared" si="38"/>
        <v>0.10227272727272727</v>
      </c>
    </row>
    <row r="80" spans="1:11" ht="14.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5" hidden="1" outlineLevel="1">
      <c r="A81">
        <v>1</v>
      </c>
      <c r="B81" s="262">
        <f t="shared" ref="B81:K90" si="39">(B69+B70)*B$54/2</f>
        <v>1.9834710743801649E-3</v>
      </c>
      <c r="C81" s="262">
        <f t="shared" si="39"/>
        <v>1.9834710743801649E-3</v>
      </c>
      <c r="D81" s="262">
        <f t="shared" si="39"/>
        <v>1.9834710743801649E-3</v>
      </c>
      <c r="E81" s="262">
        <f t="shared" si="39"/>
        <v>1.9834710743801649E-3</v>
      </c>
      <c r="F81" s="262">
        <f t="shared" si="39"/>
        <v>1.9834710743801649E-3</v>
      </c>
      <c r="G81" s="262">
        <f t="shared" si="39"/>
        <v>1.9834710743801649E-3</v>
      </c>
      <c r="H81" s="262">
        <f t="shared" si="39"/>
        <v>1.9834710743801649E-3</v>
      </c>
      <c r="I81" s="262">
        <f t="shared" si="39"/>
        <v>1.9834710743801649E-3</v>
      </c>
      <c r="J81" s="262">
        <f t="shared" si="39"/>
        <v>1.9834710743801649E-3</v>
      </c>
      <c r="K81" s="262">
        <f t="shared" si="39"/>
        <v>1.9834710743801649E-3</v>
      </c>
    </row>
    <row r="82" spans="1:11" ht="14.5" hidden="1" outlineLevel="1">
      <c r="A82">
        <v>2</v>
      </c>
      <c r="B82" s="262">
        <f t="shared" si="39"/>
        <v>1.9214876033057853E-3</v>
      </c>
      <c r="C82" s="262">
        <f t="shared" si="39"/>
        <v>1.9214876033057853E-3</v>
      </c>
      <c r="D82" s="262">
        <f t="shared" si="39"/>
        <v>1.9214876033057853E-3</v>
      </c>
      <c r="E82" s="262">
        <f t="shared" si="39"/>
        <v>1.9214876033057853E-3</v>
      </c>
      <c r="F82" s="262">
        <f t="shared" si="39"/>
        <v>1.9214876033057853E-3</v>
      </c>
      <c r="G82" s="262">
        <f t="shared" si="39"/>
        <v>1.9214876033057853E-3</v>
      </c>
      <c r="H82" s="262">
        <f t="shared" si="39"/>
        <v>1.9214876033057853E-3</v>
      </c>
      <c r="I82" s="262">
        <f t="shared" si="39"/>
        <v>1.9214876033057853E-3</v>
      </c>
      <c r="J82" s="262">
        <f t="shared" si="39"/>
        <v>1.9214876033057853E-3</v>
      </c>
      <c r="K82" s="262">
        <f t="shared" si="39"/>
        <v>1.9214876033057853E-3</v>
      </c>
    </row>
    <row r="83" spans="1:11" ht="14.5" hidden="1" outlineLevel="1">
      <c r="A83">
        <v>3</v>
      </c>
      <c r="B83" s="262">
        <f t="shared" si="39"/>
        <v>1.8595041322314048E-3</v>
      </c>
      <c r="C83" s="262">
        <f t="shared" si="39"/>
        <v>1.8595041322314048E-3</v>
      </c>
      <c r="D83" s="262">
        <f t="shared" si="39"/>
        <v>1.8595041322314048E-3</v>
      </c>
      <c r="E83" s="262">
        <f t="shared" si="39"/>
        <v>1.8595041322314048E-3</v>
      </c>
      <c r="F83" s="262">
        <f t="shared" si="39"/>
        <v>1.8595041322314048E-3</v>
      </c>
      <c r="G83" s="262">
        <f t="shared" si="39"/>
        <v>1.8595041322314048E-3</v>
      </c>
      <c r="H83" s="262">
        <f t="shared" si="39"/>
        <v>1.8595041322314048E-3</v>
      </c>
      <c r="I83" s="262">
        <f t="shared" si="39"/>
        <v>1.8595041322314048E-3</v>
      </c>
      <c r="J83" s="262">
        <f t="shared" si="39"/>
        <v>1.8595041322314048E-3</v>
      </c>
      <c r="K83" s="262">
        <f t="shared" si="39"/>
        <v>1.8595041322314048E-3</v>
      </c>
    </row>
    <row r="84" spans="1:11" ht="14.5" hidden="1" outlineLevel="1">
      <c r="A84">
        <v>4</v>
      </c>
      <c r="B84" s="262">
        <f t="shared" si="39"/>
        <v>1.7975206611570249E-3</v>
      </c>
      <c r="C84" s="262">
        <f t="shared" si="39"/>
        <v>1.7975206611570249E-3</v>
      </c>
      <c r="D84" s="262">
        <f t="shared" si="39"/>
        <v>1.7975206611570249E-3</v>
      </c>
      <c r="E84" s="262">
        <f t="shared" si="39"/>
        <v>1.7975206611570249E-3</v>
      </c>
      <c r="F84" s="262">
        <f t="shared" si="39"/>
        <v>1.7975206611570249E-3</v>
      </c>
      <c r="G84" s="262">
        <f t="shared" si="39"/>
        <v>1.7975206611570249E-3</v>
      </c>
      <c r="H84" s="262">
        <f t="shared" si="39"/>
        <v>1.7975206611570249E-3</v>
      </c>
      <c r="I84" s="262">
        <f t="shared" si="39"/>
        <v>1.7975206611570249E-3</v>
      </c>
      <c r="J84" s="262">
        <f t="shared" si="39"/>
        <v>1.7975206611570249E-3</v>
      </c>
      <c r="K84" s="262">
        <f t="shared" si="39"/>
        <v>1.7975206611570249E-3</v>
      </c>
    </row>
    <row r="85" spans="1:11" ht="14.5" hidden="1" outlineLevel="1">
      <c r="A85">
        <v>5</v>
      </c>
      <c r="B85" s="262">
        <f t="shared" si="39"/>
        <v>1.7355371900826444E-3</v>
      </c>
      <c r="C85" s="262">
        <f t="shared" si="39"/>
        <v>1.7355371900826444E-3</v>
      </c>
      <c r="D85" s="262">
        <f t="shared" si="39"/>
        <v>1.7355371900826444E-3</v>
      </c>
      <c r="E85" s="262">
        <f t="shared" si="39"/>
        <v>1.7355371900826444E-3</v>
      </c>
      <c r="F85" s="262">
        <f t="shared" si="39"/>
        <v>1.7355371900826444E-3</v>
      </c>
      <c r="G85" s="262">
        <f t="shared" si="39"/>
        <v>1.7355371900826444E-3</v>
      </c>
      <c r="H85" s="262">
        <f t="shared" si="39"/>
        <v>1.7355371900826444E-3</v>
      </c>
      <c r="I85" s="262">
        <f t="shared" si="39"/>
        <v>1.7355371900826444E-3</v>
      </c>
      <c r="J85" s="262">
        <f t="shared" si="39"/>
        <v>1.7355371900826444E-3</v>
      </c>
      <c r="K85" s="262">
        <f t="shared" si="39"/>
        <v>1.7355371900826444E-3</v>
      </c>
    </row>
    <row r="86" spans="1:11" ht="14.5" hidden="1" outlineLevel="1">
      <c r="A86">
        <v>6</v>
      </c>
      <c r="B86" s="262">
        <f t="shared" si="39"/>
        <v>1.6735537190082643E-3</v>
      </c>
      <c r="C86" s="262">
        <f t="shared" si="39"/>
        <v>1.6735537190082643E-3</v>
      </c>
      <c r="D86" s="262">
        <f t="shared" si="39"/>
        <v>1.6735537190082643E-3</v>
      </c>
      <c r="E86" s="262">
        <f t="shared" si="39"/>
        <v>1.6735537190082643E-3</v>
      </c>
      <c r="F86" s="262">
        <f t="shared" si="39"/>
        <v>1.6735537190082643E-3</v>
      </c>
      <c r="G86" s="262">
        <f t="shared" si="39"/>
        <v>1.6735537190082643E-3</v>
      </c>
      <c r="H86" s="262">
        <f t="shared" si="39"/>
        <v>1.6735537190082643E-3</v>
      </c>
      <c r="I86" s="262">
        <f t="shared" si="39"/>
        <v>1.6735537190082643E-3</v>
      </c>
      <c r="J86" s="262">
        <f t="shared" si="39"/>
        <v>1.6735537190082643E-3</v>
      </c>
      <c r="K86" s="262">
        <f t="shared" si="39"/>
        <v>1.6735537190082643E-3</v>
      </c>
    </row>
    <row r="87" spans="1:11" ht="14.5" hidden="1" outlineLevel="1">
      <c r="A87">
        <v>7</v>
      </c>
      <c r="B87" s="262">
        <f t="shared" si="39"/>
        <v>1.6115702479338842E-3</v>
      </c>
      <c r="C87" s="262">
        <f t="shared" si="39"/>
        <v>1.6115702479338842E-3</v>
      </c>
      <c r="D87" s="262">
        <f t="shared" si="39"/>
        <v>1.6115702479338842E-3</v>
      </c>
      <c r="E87" s="262">
        <f t="shared" si="39"/>
        <v>1.6115702479338842E-3</v>
      </c>
      <c r="F87" s="262">
        <f t="shared" si="39"/>
        <v>1.6115702479338842E-3</v>
      </c>
      <c r="G87" s="262">
        <f t="shared" si="39"/>
        <v>1.6115702479338842E-3</v>
      </c>
      <c r="H87" s="262">
        <f t="shared" si="39"/>
        <v>1.6115702479338842E-3</v>
      </c>
      <c r="I87" s="262">
        <f t="shared" si="39"/>
        <v>1.6115702479338842E-3</v>
      </c>
      <c r="J87" s="262">
        <f t="shared" si="39"/>
        <v>1.6115702479338842E-3</v>
      </c>
      <c r="K87" s="262">
        <f t="shared" si="39"/>
        <v>1.6115702479338842E-3</v>
      </c>
    </row>
    <row r="88" spans="1:11" ht="14.5" hidden="1" outlineLevel="1">
      <c r="A88">
        <v>8</v>
      </c>
      <c r="B88" s="262">
        <f t="shared" si="39"/>
        <v>1.549586776859504E-3</v>
      </c>
      <c r="C88" s="262">
        <f t="shared" si="39"/>
        <v>1.549586776859504E-3</v>
      </c>
      <c r="D88" s="262">
        <f t="shared" si="39"/>
        <v>1.549586776859504E-3</v>
      </c>
      <c r="E88" s="262">
        <f t="shared" si="39"/>
        <v>1.549586776859504E-3</v>
      </c>
      <c r="F88" s="262">
        <f t="shared" si="39"/>
        <v>1.549586776859504E-3</v>
      </c>
      <c r="G88" s="262">
        <f t="shared" si="39"/>
        <v>1.549586776859504E-3</v>
      </c>
      <c r="H88" s="262">
        <f t="shared" si="39"/>
        <v>1.549586776859504E-3</v>
      </c>
      <c r="I88" s="262">
        <f t="shared" si="39"/>
        <v>1.549586776859504E-3</v>
      </c>
      <c r="J88" s="262">
        <f t="shared" si="39"/>
        <v>1.549586776859504E-3</v>
      </c>
      <c r="K88" s="262">
        <f t="shared" si="39"/>
        <v>1.549586776859504E-3</v>
      </c>
    </row>
    <row r="89" spans="1:11" ht="14.5" hidden="1" outlineLevel="1">
      <c r="A89">
        <v>9</v>
      </c>
      <c r="B89" s="262">
        <f t="shared" si="39"/>
        <v>1.4876033057851239E-3</v>
      </c>
      <c r="C89" s="262">
        <f t="shared" si="39"/>
        <v>1.4876033057851239E-3</v>
      </c>
      <c r="D89" s="262">
        <f t="shared" si="39"/>
        <v>1.4876033057851239E-3</v>
      </c>
      <c r="E89" s="262">
        <f t="shared" si="39"/>
        <v>1.4876033057851239E-3</v>
      </c>
      <c r="F89" s="262">
        <f t="shared" si="39"/>
        <v>1.4876033057851239E-3</v>
      </c>
      <c r="G89" s="262">
        <f t="shared" si="39"/>
        <v>1.4876033057851239E-3</v>
      </c>
      <c r="H89" s="262">
        <f t="shared" si="39"/>
        <v>1.4876033057851239E-3</v>
      </c>
      <c r="I89" s="262">
        <f t="shared" si="39"/>
        <v>1.4876033057851239E-3</v>
      </c>
      <c r="J89" s="262">
        <f t="shared" si="39"/>
        <v>1.4876033057851239E-3</v>
      </c>
      <c r="K89" s="262">
        <f t="shared" si="39"/>
        <v>1.4876033057851239E-3</v>
      </c>
    </row>
    <row r="90" spans="1:11" ht="14.5" hidden="1" outlineLevel="1">
      <c r="A90">
        <v>10</v>
      </c>
      <c r="B90" s="262">
        <f>(B78+B79)*B$54/2</f>
        <v>1.4256198347107436E-3</v>
      </c>
      <c r="C90" s="262">
        <f t="shared" si="39"/>
        <v>1.4256198347107436E-3</v>
      </c>
      <c r="D90" s="262">
        <f t="shared" si="39"/>
        <v>1.4256198347107436E-3</v>
      </c>
      <c r="E90" s="262">
        <f t="shared" si="39"/>
        <v>1.4256198347107436E-3</v>
      </c>
      <c r="F90" s="262">
        <f t="shared" si="39"/>
        <v>1.4256198347107436E-3</v>
      </c>
      <c r="G90" s="262">
        <f t="shared" si="39"/>
        <v>1.4256198347107436E-3</v>
      </c>
      <c r="H90" s="262">
        <f t="shared" si="39"/>
        <v>1.4256198347107436E-3</v>
      </c>
      <c r="I90" s="262">
        <f t="shared" si="39"/>
        <v>1.4256198347107436E-3</v>
      </c>
      <c r="J90" s="262">
        <f t="shared" si="39"/>
        <v>1.4256198347107436E-3</v>
      </c>
      <c r="K90" s="262">
        <f t="shared" si="39"/>
        <v>1.4256198347107436E-3</v>
      </c>
    </row>
    <row r="91" spans="1:11" ht="14.5" collapsed="1">
      <c r="A91" t="s">
        <v>492</v>
      </c>
      <c r="B91" s="261">
        <f>SUM(B81:B90)</f>
        <v>1.7045454545454544E-2</v>
      </c>
      <c r="C91" s="261">
        <f t="shared" ref="C91:K91" si="40">SUM(C81:C90)</f>
        <v>1.7045454545454544E-2</v>
      </c>
      <c r="D91" s="261">
        <f t="shared" si="40"/>
        <v>1.7045454545454544E-2</v>
      </c>
      <c r="E91" s="261">
        <f t="shared" si="40"/>
        <v>1.7045454545454544E-2</v>
      </c>
      <c r="F91" s="261">
        <f t="shared" si="40"/>
        <v>1.7045454545454544E-2</v>
      </c>
      <c r="G91" s="261">
        <f t="shared" si="40"/>
        <v>1.7045454545454544E-2</v>
      </c>
      <c r="H91" s="261">
        <f t="shared" si="40"/>
        <v>1.7045454545454544E-2</v>
      </c>
      <c r="I91" s="261">
        <f t="shared" si="40"/>
        <v>1.7045454545454544E-2</v>
      </c>
      <c r="J91" s="261">
        <f t="shared" si="40"/>
        <v>1.7045454545454544E-2</v>
      </c>
      <c r="K91" s="261">
        <f t="shared" si="40"/>
        <v>1.7045454545454544E-2</v>
      </c>
    </row>
    <row r="92" spans="1:11" ht="14.5">
      <c r="A92" s="265" t="s">
        <v>373</v>
      </c>
    </row>
    <row r="93" spans="1:11" s="167" customFormat="1" ht="14.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K93" si="41">IF(C7&lt;1,(C95/(C96+C97))/SQRT(1-C7^2),(C95/(C96+C97))/SQRT(1-0.99^2))</f>
        <v>1.7516574184821574</v>
      </c>
      <c r="D93" s="288">
        <f t="shared" si="41"/>
        <v>1.8270316629357042</v>
      </c>
      <c r="E93" s="288">
        <f t="shared" si="41"/>
        <v>2.0125011551487666</v>
      </c>
      <c r="F93" s="288">
        <f t="shared" si="41"/>
        <v>2.4405161277517413</v>
      </c>
      <c r="G93" s="288">
        <f t="shared" si="41"/>
        <v>12.354928369089945</v>
      </c>
      <c r="H93" s="288">
        <f t="shared" si="41"/>
        <v>12.354928369089945</v>
      </c>
      <c r="I93" s="288">
        <f t="shared" si="41"/>
        <v>12.354928369089945</v>
      </c>
      <c r="J93" s="288">
        <f t="shared" si="41"/>
        <v>12.354928369089945</v>
      </c>
      <c r="K93" s="288">
        <f t="shared" si="41"/>
        <v>12.354928369089945</v>
      </c>
    </row>
    <row r="94" spans="1:11" s="167" customFormat="1" ht="14.5">
      <c r="A94" s="167" t="s">
        <v>511</v>
      </c>
      <c r="B94" s="288">
        <f>IF(B6&lt;1,B93,IF(B6&gt;1,(4)/SQRT(B6^2-1),(4)/SQRT((1.01)^2-1)))</f>
        <v>1.7460228002045515</v>
      </c>
      <c r="C94" s="288">
        <f t="shared" ref="C94:K94" si="42">IF(C6&lt;1,C93,IF(C6&gt;1,(4)/SQRT(C6^2-1),(4)/SQRT((1.01)^2-1)))</f>
        <v>1.7516574184821574</v>
      </c>
      <c r="D94" s="288">
        <f t="shared" si="42"/>
        <v>1.8270316629357042</v>
      </c>
      <c r="E94" s="288">
        <f t="shared" si="42"/>
        <v>2.0125011551487666</v>
      </c>
      <c r="F94" s="288">
        <f t="shared" si="42"/>
        <v>2.4405161277517413</v>
      </c>
      <c r="G94" s="288">
        <f t="shared" si="42"/>
        <v>28.213824634343929</v>
      </c>
      <c r="H94" s="288">
        <f t="shared" si="42"/>
        <v>3.5777087639996634</v>
      </c>
      <c r="I94" s="288">
        <f t="shared" si="42"/>
        <v>2.3094010767585034</v>
      </c>
      <c r="J94" s="288">
        <f t="shared" si="42"/>
        <v>1.4142135623730949</v>
      </c>
      <c r="K94" s="288">
        <f t="shared" si="42"/>
        <v>0.81649658092772615</v>
      </c>
    </row>
    <row r="95" spans="1:11" ht="14.5" hidden="1" outlineLevel="1">
      <c r="A95" t="s">
        <v>375</v>
      </c>
      <c r="B95" s="191">
        <f>PI()*COS(RADIANS(B43))</f>
        <v>2.2214414690791831</v>
      </c>
      <c r="C95" s="191">
        <f t="shared" ref="C95:K95" si="43">PI()*COS(RADIANS(C43))</f>
        <v>2.2214414690791831</v>
      </c>
      <c r="D95" s="191">
        <f t="shared" si="43"/>
        <v>2.2214414690791831</v>
      </c>
      <c r="E95" s="191">
        <f t="shared" si="43"/>
        <v>2.2214414690791831</v>
      </c>
      <c r="F95" s="191">
        <f t="shared" si="43"/>
        <v>2.2214414690791831</v>
      </c>
      <c r="G95" s="191">
        <f t="shared" si="43"/>
        <v>2.2214414690791831</v>
      </c>
      <c r="H95" s="191">
        <f t="shared" si="43"/>
        <v>2.2214414690791831</v>
      </c>
      <c r="I95" s="191">
        <f t="shared" si="43"/>
        <v>2.2214414690791831</v>
      </c>
      <c r="J95" s="191">
        <f t="shared" si="43"/>
        <v>2.2214414690791831</v>
      </c>
      <c r="K95" s="191">
        <f t="shared" si="43"/>
        <v>2.2214414690791831</v>
      </c>
    </row>
    <row r="96" spans="1:11" ht="14.5" hidden="1" outlineLevel="1">
      <c r="A96" t="s">
        <v>376</v>
      </c>
      <c r="B96" s="191">
        <f>SQRT(1+((B95/(PI()*B51))^2))</f>
        <v>1.0295766535643616</v>
      </c>
      <c r="C96" s="191">
        <f t="shared" ref="C96:K96" si="44">SQRT(1+((C95/(PI()*C51))^2))</f>
        <v>1.0295766535643616</v>
      </c>
      <c r="D96" s="191">
        <f t="shared" si="44"/>
        <v>1.0295766535643616</v>
      </c>
      <c r="E96" s="191">
        <f t="shared" si="44"/>
        <v>1.0295766535643616</v>
      </c>
      <c r="F96" s="191">
        <f t="shared" si="44"/>
        <v>1.0295766535643616</v>
      </c>
      <c r="G96" s="191">
        <f t="shared" si="44"/>
        <v>1.0295766535643616</v>
      </c>
      <c r="H96" s="191">
        <f t="shared" si="44"/>
        <v>1.0295766535643616</v>
      </c>
      <c r="I96" s="191">
        <f t="shared" si="44"/>
        <v>1.0295766535643616</v>
      </c>
      <c r="J96" s="191">
        <f t="shared" si="44"/>
        <v>1.0295766535643616</v>
      </c>
      <c r="K96" s="191">
        <f t="shared" si="44"/>
        <v>1.0295766535643616</v>
      </c>
    </row>
    <row r="97" spans="1:11" ht="14.5" hidden="1" outlineLevel="1">
      <c r="A97" t="s">
        <v>377</v>
      </c>
      <c r="B97" s="191">
        <f>B95/(PI()*B51)</f>
        <v>0.24500629699007567</v>
      </c>
      <c r="C97" s="191">
        <f t="shared" ref="C97:K97" si="45">C95/(PI()*C51)</f>
        <v>0.24500629699007567</v>
      </c>
      <c r="D97" s="191">
        <f t="shared" si="45"/>
        <v>0.24500629699007567</v>
      </c>
      <c r="E97" s="191">
        <f t="shared" si="45"/>
        <v>0.24500629699007567</v>
      </c>
      <c r="F97" s="191">
        <f t="shared" si="45"/>
        <v>0.24500629699007567</v>
      </c>
      <c r="G97" s="191">
        <f t="shared" si="45"/>
        <v>0.24500629699007567</v>
      </c>
      <c r="H97" s="191">
        <f t="shared" si="45"/>
        <v>0.24500629699007567</v>
      </c>
      <c r="I97" s="191">
        <f t="shared" si="45"/>
        <v>0.24500629699007567</v>
      </c>
      <c r="J97" s="191">
        <f t="shared" si="45"/>
        <v>0.24500629699007567</v>
      </c>
      <c r="K97" s="191">
        <f t="shared" si="45"/>
        <v>0.24500629699007567</v>
      </c>
    </row>
    <row r="98" spans="1:11" ht="14.5" hidden="1" outlineLevel="1"/>
    <row r="99" spans="1:11" ht="14.5" collapsed="1">
      <c r="A99" t="s">
        <v>378</v>
      </c>
      <c r="B99" s="186">
        <f>(B16*B3*B38)/B19</f>
        <v>197252.54389944818</v>
      </c>
      <c r="C99" s="186">
        <f t="shared" ref="C99:K99" si="46">(C16*C3*C38)/C19</f>
        <v>341245.90030331042</v>
      </c>
      <c r="D99" s="186">
        <f t="shared" si="46"/>
        <v>1023737.7009099312</v>
      </c>
      <c r="E99" s="186">
        <f t="shared" si="46"/>
        <v>1706229.5015165519</v>
      </c>
      <c r="F99" s="186">
        <f t="shared" si="46"/>
        <v>2388721.3021231727</v>
      </c>
      <c r="G99" s="186">
        <f t="shared" si="46"/>
        <v>3412459.0030331039</v>
      </c>
      <c r="H99" s="186">
        <f t="shared" si="46"/>
        <v>5118688.5045496561</v>
      </c>
      <c r="I99" s="186">
        <f t="shared" si="46"/>
        <v>6824918.0060662078</v>
      </c>
      <c r="J99" s="186">
        <f t="shared" si="46"/>
        <v>10237377.009099312</v>
      </c>
      <c r="K99" s="186">
        <f t="shared" si="46"/>
        <v>17062295.015165523</v>
      </c>
    </row>
    <row r="100" spans="1:11" ht="14.5">
      <c r="A100" t="s">
        <v>379</v>
      </c>
      <c r="B100" s="186">
        <f>(B16*B3*B39)/B19</f>
        <v>13150169.593296546</v>
      </c>
      <c r="C100" s="186">
        <f t="shared" ref="C100:K100" si="47">(C16*C3*C39)/C19</f>
        <v>22749726.686887365</v>
      </c>
      <c r="D100" s="186">
        <f t="shared" si="47"/>
        <v>68249180.060662091</v>
      </c>
      <c r="E100" s="186">
        <f t="shared" si="47"/>
        <v>113748633.4344368</v>
      </c>
      <c r="F100" s="186">
        <f t="shared" si="47"/>
        <v>159248086.80821151</v>
      </c>
      <c r="G100" s="186">
        <f t="shared" si="47"/>
        <v>227497266.8688736</v>
      </c>
      <c r="H100" s="186">
        <f t="shared" si="47"/>
        <v>341245900.30331039</v>
      </c>
      <c r="I100" s="186">
        <f t="shared" si="47"/>
        <v>454994533.73774719</v>
      </c>
      <c r="J100" s="186">
        <f t="shared" si="47"/>
        <v>682491800.60662079</v>
      </c>
      <c r="K100" s="186">
        <f t="shared" si="47"/>
        <v>1137486334.3443682</v>
      </c>
    </row>
    <row r="101" spans="1:11" s="274" customFormat="1" ht="14.5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 ht="14.5">
      <c r="A102" s="275" t="s">
        <v>489</v>
      </c>
      <c r="B102" s="186">
        <f>B101/1000</f>
        <v>1.8564485158890635E-5</v>
      </c>
      <c r="C102" s="186">
        <f t="shared" ref="C102:K102" si="48">C101/1000</f>
        <v>1.0835747058992552E-6</v>
      </c>
      <c r="D102" s="186">
        <f t="shared" si="48"/>
        <v>1.0835747058992552E-6</v>
      </c>
      <c r="E102" s="186">
        <f t="shared" si="48"/>
        <v>1.0835747058992552E-6</v>
      </c>
      <c r="F102" s="186">
        <f t="shared" si="48"/>
        <v>1.0835747058992552E-6</v>
      </c>
      <c r="G102" s="186">
        <f t="shared" si="48"/>
        <v>1.0835747058992552E-6</v>
      </c>
      <c r="H102" s="186">
        <f t="shared" si="48"/>
        <v>1.0835747058992552E-6</v>
      </c>
      <c r="I102" s="186">
        <f t="shared" si="48"/>
        <v>1.0835747058992552E-6</v>
      </c>
      <c r="J102" s="186">
        <f t="shared" si="48"/>
        <v>1.0835747058992552E-6</v>
      </c>
      <c r="K102" s="186">
        <f t="shared" si="48"/>
        <v>1.0835747058992552E-6</v>
      </c>
    </row>
    <row r="103" spans="1:11" ht="14.5">
      <c r="A103" t="s">
        <v>490</v>
      </c>
      <c r="B103" s="191">
        <f>(B102*B3)/B19</f>
        <v>19.94371307260672</v>
      </c>
      <c r="C103" s="191">
        <f t="shared" ref="C103:K103" si="49">(C102*C3)/C19</f>
        <v>2.0082038518447769</v>
      </c>
      <c r="D103" s="191">
        <f t="shared" si="49"/>
        <v>6.0246115555343307</v>
      </c>
      <c r="E103" s="191">
        <f t="shared" si="49"/>
        <v>10.041019259223885</v>
      </c>
      <c r="F103" s="191">
        <f t="shared" si="49"/>
        <v>14.057426962913439</v>
      </c>
      <c r="G103" s="191">
        <f t="shared" si="49"/>
        <v>20.082038518447771</v>
      </c>
      <c r="H103" s="191">
        <f t="shared" si="49"/>
        <v>30.123057777671651</v>
      </c>
      <c r="I103" s="191">
        <f t="shared" si="49"/>
        <v>40.164077036895542</v>
      </c>
      <c r="J103" s="191">
        <f t="shared" si="49"/>
        <v>60.246115555343302</v>
      </c>
      <c r="K103" s="191">
        <f t="shared" si="49"/>
        <v>100.41019259223886</v>
      </c>
    </row>
    <row r="104" spans="1:11" s="187" customFormat="1" ht="14.5">
      <c r="A104" s="272" t="s">
        <v>495</v>
      </c>
      <c r="B104" s="278">
        <f>B116</f>
        <v>0.99999999999999989</v>
      </c>
      <c r="C104" s="278">
        <f t="shared" ref="C104:K104" si="50">C116</f>
        <v>0.10069357920131253</v>
      </c>
      <c r="D104" s="278">
        <f t="shared" si="50"/>
        <v>0.30208073760393755</v>
      </c>
      <c r="E104" s="278">
        <f t="shared" si="50"/>
        <v>0.50346789600656272</v>
      </c>
      <c r="F104" s="278">
        <f t="shared" si="50"/>
        <v>0.70485505440918772</v>
      </c>
      <c r="G104" s="278">
        <f t="shared" si="50"/>
        <v>1.0069357920131254</v>
      </c>
      <c r="H104" s="278">
        <f t="shared" si="50"/>
        <v>1.5104036880196878</v>
      </c>
      <c r="I104" s="278">
        <f t="shared" si="50"/>
        <v>2.0138715840262509</v>
      </c>
      <c r="J104" s="278">
        <f t="shared" si="50"/>
        <v>3.0208073760393757</v>
      </c>
      <c r="K104" s="278">
        <f t="shared" si="50"/>
        <v>5.0346789600656265</v>
      </c>
    </row>
    <row r="105" spans="1:11" ht="14.5">
      <c r="A105" s="271" t="s">
        <v>527</v>
      </c>
      <c r="B105" s="191">
        <f>B38/$A110</f>
        <v>0.03</v>
      </c>
      <c r="C105" s="191">
        <f t="shared" ref="C105:K105" si="51">C38/$A110</f>
        <v>0.03</v>
      </c>
      <c r="D105" s="191">
        <f t="shared" si="51"/>
        <v>0.03</v>
      </c>
      <c r="E105" s="191">
        <f t="shared" si="51"/>
        <v>0.03</v>
      </c>
      <c r="F105" s="191">
        <f t="shared" si="51"/>
        <v>0.03</v>
      </c>
      <c r="G105" s="191">
        <f t="shared" si="51"/>
        <v>0.03</v>
      </c>
      <c r="H105" s="191">
        <f t="shared" si="51"/>
        <v>0.03</v>
      </c>
      <c r="I105" s="191">
        <f t="shared" si="51"/>
        <v>0.03</v>
      </c>
      <c r="J105" s="191">
        <f t="shared" si="51"/>
        <v>0.03</v>
      </c>
      <c r="K105" s="191">
        <f t="shared" si="51"/>
        <v>0.03</v>
      </c>
    </row>
    <row r="106" spans="1:11" ht="14.5" hidden="1" outlineLevel="1">
      <c r="A106">
        <v>1</v>
      </c>
      <c r="B106" s="186">
        <f>(B$16*B$3*($A106*B$105))/B$19</f>
        <v>39450.508779889642</v>
      </c>
      <c r="C106" s="186">
        <f t="shared" ref="C106:K110" si="52">(C$16*C$3*($A106*C$105))/C$19</f>
        <v>68249.180060662082</v>
      </c>
      <c r="D106" s="186">
        <f t="shared" si="52"/>
        <v>204747.54018198623</v>
      </c>
      <c r="E106" s="186">
        <f t="shared" si="52"/>
        <v>341245.90030331037</v>
      </c>
      <c r="F106" s="186">
        <f t="shared" si="52"/>
        <v>477744.26042463456</v>
      </c>
      <c r="G106" s="186">
        <f t="shared" si="52"/>
        <v>682491.80060662073</v>
      </c>
      <c r="H106" s="186">
        <f t="shared" si="52"/>
        <v>1023737.7009099312</v>
      </c>
      <c r="I106" s="186">
        <f t="shared" si="52"/>
        <v>1364983.6012132415</v>
      </c>
      <c r="J106" s="186">
        <f t="shared" si="52"/>
        <v>2047475.4018198624</v>
      </c>
      <c r="K106" s="186">
        <f t="shared" si="52"/>
        <v>3412459.0030331044</v>
      </c>
    </row>
    <row r="107" spans="1:11" ht="14.5" hidden="1" outlineLevel="1">
      <c r="A107">
        <v>2</v>
      </c>
      <c r="B107" s="186">
        <f>(B$16*B$3*($A107*B$105))/B$19</f>
        <v>78901.017559779284</v>
      </c>
      <c r="C107" s="186">
        <f t="shared" si="52"/>
        <v>136498.36012132416</v>
      </c>
      <c r="D107" s="186">
        <f t="shared" si="52"/>
        <v>409495.08036397246</v>
      </c>
      <c r="E107" s="186">
        <f t="shared" si="52"/>
        <v>682491.80060662073</v>
      </c>
      <c r="F107" s="186">
        <f t="shared" si="52"/>
        <v>955488.52084926912</v>
      </c>
      <c r="G107" s="186">
        <f t="shared" si="52"/>
        <v>1364983.6012132415</v>
      </c>
      <c r="H107" s="186">
        <f t="shared" si="52"/>
        <v>2047475.4018198624</v>
      </c>
      <c r="I107" s="186">
        <f t="shared" si="52"/>
        <v>2729967.2024264829</v>
      </c>
      <c r="J107" s="186">
        <f t="shared" si="52"/>
        <v>4094950.8036397249</v>
      </c>
      <c r="K107" s="186">
        <f t="shared" si="52"/>
        <v>6824918.0060662087</v>
      </c>
    </row>
    <row r="108" spans="1:11" ht="14.5" hidden="1" outlineLevel="1">
      <c r="A108">
        <v>3</v>
      </c>
      <c r="B108" s="186">
        <f>(B$16*B$3*($A108*B$105))/B$19</f>
        <v>118351.52633966893</v>
      </c>
      <c r="C108" s="186">
        <f t="shared" si="52"/>
        <v>204747.54018198623</v>
      </c>
      <c r="D108" s="186">
        <f t="shared" si="52"/>
        <v>614242.62054595875</v>
      </c>
      <c r="E108" s="186">
        <f t="shared" si="52"/>
        <v>1023737.7009099312</v>
      </c>
      <c r="F108" s="186">
        <f t="shared" si="52"/>
        <v>1433232.7812739036</v>
      </c>
      <c r="G108" s="186">
        <f t="shared" si="52"/>
        <v>2047475.4018198624</v>
      </c>
      <c r="H108" s="186">
        <f t="shared" si="52"/>
        <v>3071213.1027297936</v>
      </c>
      <c r="I108" s="186">
        <f t="shared" si="52"/>
        <v>4094950.8036397249</v>
      </c>
      <c r="J108" s="186">
        <f t="shared" si="52"/>
        <v>6142426.2054595873</v>
      </c>
      <c r="K108" s="186">
        <f t="shared" si="52"/>
        <v>10237377.009099314</v>
      </c>
    </row>
    <row r="109" spans="1:11" ht="14.5" hidden="1" outlineLevel="1">
      <c r="A109">
        <v>4</v>
      </c>
      <c r="B109" s="186">
        <f>(B$16*B$3*($A109*B$105))/B$19</f>
        <v>157802.03511955857</v>
      </c>
      <c r="C109" s="186">
        <f t="shared" si="52"/>
        <v>272996.72024264833</v>
      </c>
      <c r="D109" s="186">
        <f t="shared" si="52"/>
        <v>818990.16072794492</v>
      </c>
      <c r="E109" s="186">
        <f t="shared" si="52"/>
        <v>1364983.6012132415</v>
      </c>
      <c r="F109" s="186">
        <f t="shared" si="52"/>
        <v>1910977.0416985382</v>
      </c>
      <c r="G109" s="186">
        <f t="shared" si="52"/>
        <v>2729967.2024264829</v>
      </c>
      <c r="H109" s="186">
        <f t="shared" si="52"/>
        <v>4094950.8036397249</v>
      </c>
      <c r="I109" s="186">
        <f t="shared" si="52"/>
        <v>5459934.4048529658</v>
      </c>
      <c r="J109" s="186">
        <f t="shared" si="52"/>
        <v>8189901.6072794497</v>
      </c>
      <c r="K109" s="186">
        <f t="shared" si="52"/>
        <v>13649836.012132417</v>
      </c>
    </row>
    <row r="110" spans="1:11" ht="14.5" hidden="1" outlineLevel="1">
      <c r="A110">
        <v>5</v>
      </c>
      <c r="B110" s="186">
        <f>(B$16*B$3*($A110*B$105))/B$19</f>
        <v>197252.54389944818</v>
      </c>
      <c r="C110" s="186">
        <f t="shared" si="52"/>
        <v>341245.90030331042</v>
      </c>
      <c r="D110" s="186">
        <f t="shared" si="52"/>
        <v>1023737.7009099312</v>
      </c>
      <c r="E110" s="186">
        <f t="shared" si="52"/>
        <v>1706229.5015165519</v>
      </c>
      <c r="F110" s="186">
        <f t="shared" si="52"/>
        <v>2388721.3021231727</v>
      </c>
      <c r="G110" s="186">
        <f t="shared" si="52"/>
        <v>3412459.0030331039</v>
      </c>
      <c r="H110" s="186">
        <f t="shared" si="52"/>
        <v>5118688.5045496561</v>
      </c>
      <c r="I110" s="186">
        <f t="shared" si="52"/>
        <v>6824918.0060662078</v>
      </c>
      <c r="J110" s="186">
        <f t="shared" si="52"/>
        <v>10237377.009099312</v>
      </c>
      <c r="K110" s="186">
        <f t="shared" si="52"/>
        <v>17062295.015165523</v>
      </c>
    </row>
    <row r="111" spans="1:11" ht="14.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5" hidden="1" outlineLevel="1">
      <c r="A112">
        <v>1</v>
      </c>
      <c r="B112" s="186">
        <f>B$103*(SQRT(0.0576/(2*($B106^(1/5)))))</f>
        <v>1.1746189430880187</v>
      </c>
      <c r="C112" s="186">
        <f t="shared" ref="C112:K116" si="53">C$103*(SQRT(0.0576/(2*($B106^(1/5)))))</f>
        <v>0.11827658557719543</v>
      </c>
      <c r="D112" s="186">
        <f t="shared" si="53"/>
        <v>0.35482975673158629</v>
      </c>
      <c r="E112" s="186">
        <f t="shared" si="53"/>
        <v>0.59138292788597724</v>
      </c>
      <c r="F112" s="186">
        <f t="shared" si="53"/>
        <v>0.82793609904036813</v>
      </c>
      <c r="G112" s="186">
        <f t="shared" si="53"/>
        <v>1.1827658557719545</v>
      </c>
      <c r="H112" s="186">
        <f t="shared" si="53"/>
        <v>1.7741487836579313</v>
      </c>
      <c r="I112" s="186">
        <f t="shared" si="53"/>
        <v>2.365531711543909</v>
      </c>
      <c r="J112" s="186">
        <f t="shared" si="53"/>
        <v>3.5482975673158625</v>
      </c>
      <c r="K112" s="186">
        <f t="shared" si="53"/>
        <v>5.9138292788597724</v>
      </c>
    </row>
    <row r="113" spans="1:11" ht="14.5" hidden="1" outlineLevel="1">
      <c r="A113">
        <v>2</v>
      </c>
      <c r="B113" s="186">
        <f t="shared" ref="B113:B116" si="54">B$103*(SQRT(0.0576/(2*($B107^(1/5)))))</f>
        <v>1.0959582263852172</v>
      </c>
      <c r="C113" s="186">
        <f t="shared" si="53"/>
        <v>0.11035595646984987</v>
      </c>
      <c r="D113" s="186">
        <f t="shared" si="53"/>
        <v>0.33106786940954963</v>
      </c>
      <c r="E113" s="186">
        <f t="shared" si="53"/>
        <v>0.5517797823492494</v>
      </c>
      <c r="F113" s="186">
        <f t="shared" si="53"/>
        <v>0.77249169528894912</v>
      </c>
      <c r="G113" s="186">
        <f t="shared" si="53"/>
        <v>1.1035595646984988</v>
      </c>
      <c r="H113" s="186">
        <f t="shared" si="53"/>
        <v>1.655339347047748</v>
      </c>
      <c r="I113" s="186">
        <f t="shared" si="53"/>
        <v>2.2071191293969976</v>
      </c>
      <c r="J113" s="186">
        <f t="shared" si="53"/>
        <v>3.310678694095496</v>
      </c>
      <c r="K113" s="186">
        <f t="shared" si="53"/>
        <v>5.5177978234924945</v>
      </c>
    </row>
    <row r="114" spans="1:11" ht="14.5" hidden="1" outlineLevel="1">
      <c r="A114">
        <v>3</v>
      </c>
      <c r="B114" s="186">
        <f t="shared" si="54"/>
        <v>1.0524097791489251</v>
      </c>
      <c r="C114" s="186">
        <f t="shared" si="53"/>
        <v>0.10597090744896813</v>
      </c>
      <c r="D114" s="186">
        <f t="shared" si="53"/>
        <v>0.31791272234690438</v>
      </c>
      <c r="E114" s="186">
        <f t="shared" si="53"/>
        <v>0.52985453724484066</v>
      </c>
      <c r="F114" s="186">
        <f t="shared" si="53"/>
        <v>0.74179635214277695</v>
      </c>
      <c r="G114" s="186">
        <f t="shared" si="53"/>
        <v>1.0597090744896813</v>
      </c>
      <c r="H114" s="186">
        <f t="shared" si="53"/>
        <v>1.5895636117345218</v>
      </c>
      <c r="I114" s="186">
        <f t="shared" si="53"/>
        <v>2.1194181489793626</v>
      </c>
      <c r="J114" s="186">
        <f t="shared" si="53"/>
        <v>3.1791272234690435</v>
      </c>
      <c r="K114" s="186">
        <f t="shared" si="53"/>
        <v>5.2985453724484071</v>
      </c>
    </row>
    <row r="115" spans="1:11" ht="14.5" hidden="1" outlineLevel="1">
      <c r="A115">
        <v>4</v>
      </c>
      <c r="B115" s="186">
        <f t="shared" si="54"/>
        <v>1.0225651825635729</v>
      </c>
      <c r="C115" s="186">
        <f t="shared" si="53"/>
        <v>0.10296574819896973</v>
      </c>
      <c r="D115" s="186">
        <f t="shared" si="53"/>
        <v>0.3088972445969092</v>
      </c>
      <c r="E115" s="186">
        <f t="shared" si="53"/>
        <v>0.51482874099484865</v>
      </c>
      <c r="F115" s="186">
        <f t="shared" si="53"/>
        <v>0.72076023739278816</v>
      </c>
      <c r="G115" s="186">
        <f t="shared" si="53"/>
        <v>1.0296574819896973</v>
      </c>
      <c r="H115" s="186">
        <f t="shared" si="53"/>
        <v>1.5444862229845457</v>
      </c>
      <c r="I115" s="186">
        <f t="shared" si="53"/>
        <v>2.0593149639793946</v>
      </c>
      <c r="J115" s="186">
        <f t="shared" si="53"/>
        <v>3.0889724459690915</v>
      </c>
      <c r="K115" s="186">
        <f t="shared" si="53"/>
        <v>5.1482874099484874</v>
      </c>
    </row>
    <row r="116" spans="1:11" ht="14.5" hidden="1" outlineLevel="1">
      <c r="A116">
        <v>5</v>
      </c>
      <c r="B116" s="186">
        <f t="shared" si="54"/>
        <v>0.99999999999999989</v>
      </c>
      <c r="C116" s="186">
        <f t="shared" si="53"/>
        <v>0.10069357920131253</v>
      </c>
      <c r="D116" s="186">
        <f t="shared" si="53"/>
        <v>0.30208073760393755</v>
      </c>
      <c r="E116" s="186">
        <f t="shared" si="53"/>
        <v>0.50346789600656272</v>
      </c>
      <c r="F116" s="186">
        <f t="shared" si="53"/>
        <v>0.70485505440918772</v>
      </c>
      <c r="G116" s="186">
        <f t="shared" si="53"/>
        <v>1.0069357920131254</v>
      </c>
      <c r="H116" s="186">
        <f t="shared" si="53"/>
        <v>1.5104036880196878</v>
      </c>
      <c r="I116" s="186">
        <f t="shared" si="53"/>
        <v>2.0138715840262509</v>
      </c>
      <c r="J116" s="186">
        <f t="shared" si="53"/>
        <v>3.0208073760393757</v>
      </c>
      <c r="K116" s="186">
        <f t="shared" si="53"/>
        <v>5.0346789600656265</v>
      </c>
    </row>
    <row r="117" spans="1:11" s="187" customFormat="1" ht="14.5" collapsed="1">
      <c r="A117" s="272" t="s">
        <v>494</v>
      </c>
      <c r="B117" s="278">
        <f>B123</f>
        <v>0.99983195461537211</v>
      </c>
      <c r="C117" s="278">
        <f t="shared" ref="C117:K117" si="55">C123</f>
        <v>0.10064661321757948</v>
      </c>
      <c r="D117" s="278">
        <f t="shared" si="55"/>
        <v>0.30082500105207111</v>
      </c>
      <c r="E117" s="278">
        <f t="shared" si="55"/>
        <v>0.49776468493298481</v>
      </c>
      <c r="F117" s="278">
        <f t="shared" si="55"/>
        <v>0.68963480542566613</v>
      </c>
      <c r="G117" s="278">
        <f t="shared" si="55"/>
        <v>0.96496810166095393</v>
      </c>
      <c r="H117" s="278">
        <f t="shared" si="55"/>
        <v>1.3848846732066717</v>
      </c>
      <c r="I117" s="278">
        <f t="shared" si="55"/>
        <v>1.7556002905898076</v>
      </c>
      <c r="J117" s="278">
        <f t="shared" si="55"/>
        <v>2.3752626118980853</v>
      </c>
      <c r="K117" s="278">
        <f t="shared" si="55"/>
        <v>3.3133969314461948</v>
      </c>
    </row>
    <row r="118" spans="1:11" ht="14.5">
      <c r="A118" s="271" t="s">
        <v>528</v>
      </c>
    </row>
    <row r="119" spans="1:11" ht="14.5" hidden="1" outlineLevel="1">
      <c r="A119">
        <v>1</v>
      </c>
      <c r="B119" s="186">
        <f>B112*SQRT((1+0.2*B$7^2)^(-0.467))</f>
        <v>1.1744215537959364</v>
      </c>
      <c r="C119" s="186">
        <f t="shared" ref="C119:K123" si="56">C112*SQRT((1+0.2*C$7^2)^(-0.467))</f>
        <v>0.11822141844302184</v>
      </c>
      <c r="D119" s="186">
        <f t="shared" si="56"/>
        <v>0.35335474479023593</v>
      </c>
      <c r="E119" s="186">
        <f t="shared" si="56"/>
        <v>0.58468382812252329</v>
      </c>
      <c r="F119" s="186">
        <f t="shared" si="56"/>
        <v>0.81005810626580743</v>
      </c>
      <c r="G119" s="186">
        <f t="shared" si="56"/>
        <v>1.1334698116866415</v>
      </c>
      <c r="H119" s="186">
        <f t="shared" si="56"/>
        <v>1.626711771140817</v>
      </c>
      <c r="I119" s="186">
        <f t="shared" si="56"/>
        <v>2.0621613578176183</v>
      </c>
      <c r="J119" s="186">
        <f t="shared" si="56"/>
        <v>2.7900284587442155</v>
      </c>
      <c r="K119" s="186">
        <f t="shared" si="56"/>
        <v>3.8919788016464145</v>
      </c>
    </row>
    <row r="120" spans="1:11" ht="14.5" hidden="1" outlineLevel="1">
      <c r="A120">
        <v>2</v>
      </c>
      <c r="B120" s="186">
        <f t="shared" ref="B120:B122" si="57">B113*SQRT((1+0.2*B$7^2)^(-0.467))</f>
        <v>1.0957740556635283</v>
      </c>
      <c r="C120" s="186">
        <f t="shared" si="56"/>
        <v>0.11030448371361737</v>
      </c>
      <c r="D120" s="186">
        <f t="shared" si="56"/>
        <v>0.329691634605359</v>
      </c>
      <c r="E120" s="186">
        <f t="shared" si="56"/>
        <v>0.54552930125635035</v>
      </c>
      <c r="F120" s="186">
        <f t="shared" si="56"/>
        <v>0.7558109382078273</v>
      </c>
      <c r="G120" s="186">
        <f t="shared" si="56"/>
        <v>1.0575647292146491</v>
      </c>
      <c r="H120" s="186">
        <f t="shared" si="56"/>
        <v>1.517775750195655</v>
      </c>
      <c r="I120" s="186">
        <f t="shared" si="56"/>
        <v>1.9240645807161774</v>
      </c>
      <c r="J120" s="186">
        <f t="shared" si="56"/>
        <v>2.6031885993349437</v>
      </c>
      <c r="K120" s="186">
        <f t="shared" si="56"/>
        <v>3.6313446242979937</v>
      </c>
    </row>
    <row r="121" spans="1:11" ht="14.5" hidden="1" outlineLevel="1">
      <c r="A121">
        <v>3</v>
      </c>
      <c r="B121" s="186">
        <f t="shared" si="57"/>
        <v>1.0522329265428019</v>
      </c>
      <c r="C121" s="186">
        <f t="shared" si="56"/>
        <v>0.10592147998840012</v>
      </c>
      <c r="D121" s="186">
        <f t="shared" si="56"/>
        <v>0.31659117291968536</v>
      </c>
      <c r="E121" s="186">
        <f t="shared" si="56"/>
        <v>0.52385242213845684</v>
      </c>
      <c r="F121" s="186">
        <f t="shared" si="56"/>
        <v>0.72577841327143733</v>
      </c>
      <c r="G121" s="186">
        <f t="shared" si="56"/>
        <v>1.015541866754762</v>
      </c>
      <c r="H121" s="186">
        <f t="shared" si="56"/>
        <v>1.4574661730761649</v>
      </c>
      <c r="I121" s="186">
        <f t="shared" si="56"/>
        <v>1.8476109140934081</v>
      </c>
      <c r="J121" s="186">
        <f t="shared" si="56"/>
        <v>2.4997496008083631</v>
      </c>
      <c r="K121" s="186">
        <f t="shared" si="56"/>
        <v>3.4870513328560171</v>
      </c>
    </row>
    <row r="122" spans="1:11" ht="14.5" hidden="1" outlineLevel="1">
      <c r="A122">
        <v>4</v>
      </c>
      <c r="B122" s="186">
        <f t="shared" si="57"/>
        <v>1.022393345204162</v>
      </c>
      <c r="C122" s="186">
        <f t="shared" si="56"/>
        <v>0.10291772241923947</v>
      </c>
      <c r="D122" s="186">
        <f t="shared" si="56"/>
        <v>0.30761317212049816</v>
      </c>
      <c r="E122" s="186">
        <f t="shared" si="56"/>
        <v>0.5089968359221968</v>
      </c>
      <c r="F122" s="186">
        <f t="shared" si="56"/>
        <v>0.70519654071229032</v>
      </c>
      <c r="G122" s="186">
        <f t="shared" si="56"/>
        <v>0.98674278304295759</v>
      </c>
      <c r="H122" s="186">
        <f t="shared" si="56"/>
        <v>1.4161348486870742</v>
      </c>
      <c r="I122" s="186">
        <f t="shared" si="56"/>
        <v>1.7952157316556279</v>
      </c>
      <c r="J122" s="186">
        <f t="shared" si="56"/>
        <v>2.4288608463719941</v>
      </c>
      <c r="K122" s="186">
        <f t="shared" si="56"/>
        <v>3.3881643381098612</v>
      </c>
    </row>
    <row r="123" spans="1:11" ht="14.5" hidden="1" outlineLevel="1">
      <c r="A123">
        <v>5</v>
      </c>
      <c r="B123" s="186">
        <f>B116*SQRT((1+0.2*B$7^2)^(-0.467))</f>
        <v>0.99983195461537211</v>
      </c>
      <c r="C123" s="186">
        <f t="shared" si="56"/>
        <v>0.10064661321757948</v>
      </c>
      <c r="D123" s="186">
        <f t="shared" si="56"/>
        <v>0.30082500105207111</v>
      </c>
      <c r="E123" s="186">
        <f t="shared" si="56"/>
        <v>0.49776468493298481</v>
      </c>
      <c r="F123" s="186">
        <f t="shared" si="56"/>
        <v>0.68963480542566613</v>
      </c>
      <c r="G123" s="186">
        <f t="shared" si="56"/>
        <v>0.96496810166095393</v>
      </c>
      <c r="H123" s="186">
        <f t="shared" si="56"/>
        <v>1.3848846732066717</v>
      </c>
      <c r="I123" s="186">
        <f t="shared" si="56"/>
        <v>1.7556002905898076</v>
      </c>
      <c r="J123" s="186">
        <f t="shared" si="56"/>
        <v>2.3752626118980853</v>
      </c>
      <c r="K123" s="186">
        <f t="shared" si="56"/>
        <v>3.3133969314461948</v>
      </c>
    </row>
    <row r="124" spans="1:11" ht="14.5" collapsed="1"/>
    <row r="125" spans="1:11" s="187" customFormat="1" ht="14.5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K128" si="58">IF(C6&lt;1,C93*RADIANS(C9),C94*RADIANS(C9))</f>
        <v>0</v>
      </c>
      <c r="D128" s="276">
        <f t="shared" si="58"/>
        <v>0</v>
      </c>
      <c r="E128" s="276">
        <f t="shared" si="58"/>
        <v>0</v>
      </c>
      <c r="F128" s="276">
        <f t="shared" si="58"/>
        <v>0</v>
      </c>
      <c r="G128" s="276">
        <f t="shared" si="58"/>
        <v>0</v>
      </c>
      <c r="H128" s="276">
        <f t="shared" si="58"/>
        <v>0</v>
      </c>
      <c r="I128" s="276">
        <f t="shared" si="58"/>
        <v>0</v>
      </c>
      <c r="J128" s="276">
        <f t="shared" si="58"/>
        <v>0</v>
      </c>
      <c r="K128" s="276">
        <f t="shared" si="5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K139" si="59">C$29*(C81)*C$128</f>
        <v>0</v>
      </c>
      <c r="D130" s="191">
        <f t="shared" si="59"/>
        <v>0</v>
      </c>
      <c r="E130" s="191">
        <f t="shared" si="59"/>
        <v>0</v>
      </c>
      <c r="F130" s="191">
        <f t="shared" si="59"/>
        <v>0</v>
      </c>
      <c r="G130" s="191">
        <f t="shared" si="59"/>
        <v>0</v>
      </c>
      <c r="H130" s="191">
        <f t="shared" si="59"/>
        <v>0</v>
      </c>
      <c r="I130" s="191">
        <f t="shared" si="59"/>
        <v>0</v>
      </c>
      <c r="J130" s="191">
        <f t="shared" si="59"/>
        <v>0</v>
      </c>
      <c r="K130" s="191">
        <f t="shared" si="59"/>
        <v>0</v>
      </c>
    </row>
    <row r="131" spans="1:11" ht="15" hidden="1" customHeight="1" outlineLevel="1">
      <c r="A131">
        <v>2</v>
      </c>
      <c r="B131" s="191">
        <f t="shared" ref="B131:B139" si="60">B$29*(B82)*B$128</f>
        <v>0.22394393002618301</v>
      </c>
      <c r="C131" s="191">
        <f t="shared" si="59"/>
        <v>0</v>
      </c>
      <c r="D131" s="191">
        <f t="shared" si="59"/>
        <v>0</v>
      </c>
      <c r="E131" s="191">
        <f t="shared" si="59"/>
        <v>0</v>
      </c>
      <c r="F131" s="191">
        <f t="shared" si="59"/>
        <v>0</v>
      </c>
      <c r="G131" s="191">
        <f t="shared" si="59"/>
        <v>0</v>
      </c>
      <c r="H131" s="191">
        <f t="shared" si="59"/>
        <v>0</v>
      </c>
      <c r="I131" s="191">
        <f t="shared" si="59"/>
        <v>0</v>
      </c>
      <c r="J131" s="191">
        <f t="shared" si="59"/>
        <v>0</v>
      </c>
      <c r="K131" s="191">
        <f t="shared" si="59"/>
        <v>0</v>
      </c>
    </row>
    <row r="132" spans="1:11" ht="15" hidden="1" customHeight="1" outlineLevel="1">
      <c r="A132">
        <v>3</v>
      </c>
      <c r="B132" s="191">
        <f t="shared" si="60"/>
        <v>0.21671993228340286</v>
      </c>
      <c r="C132" s="191">
        <f t="shared" si="59"/>
        <v>0</v>
      </c>
      <c r="D132" s="191">
        <f t="shared" si="59"/>
        <v>0</v>
      </c>
      <c r="E132" s="191">
        <f t="shared" si="59"/>
        <v>0</v>
      </c>
      <c r="F132" s="191">
        <f t="shared" si="59"/>
        <v>0</v>
      </c>
      <c r="G132" s="191">
        <f t="shared" si="59"/>
        <v>0</v>
      </c>
      <c r="H132" s="191">
        <f t="shared" si="59"/>
        <v>0</v>
      </c>
      <c r="I132" s="191">
        <f t="shared" si="59"/>
        <v>0</v>
      </c>
      <c r="J132" s="191">
        <f t="shared" si="59"/>
        <v>0</v>
      </c>
      <c r="K132" s="191">
        <f t="shared" si="59"/>
        <v>0</v>
      </c>
    </row>
    <row r="133" spans="1:11" ht="15" hidden="1" customHeight="1" outlineLevel="1">
      <c r="A133">
        <v>4</v>
      </c>
      <c r="B133" s="191">
        <f t="shared" si="60"/>
        <v>0.20949593454062282</v>
      </c>
      <c r="C133" s="191">
        <f t="shared" si="59"/>
        <v>0</v>
      </c>
      <c r="D133" s="191">
        <f t="shared" si="59"/>
        <v>0</v>
      </c>
      <c r="E133" s="191">
        <f t="shared" si="59"/>
        <v>0</v>
      </c>
      <c r="F133" s="191">
        <f t="shared" si="59"/>
        <v>0</v>
      </c>
      <c r="G133" s="191">
        <f t="shared" si="59"/>
        <v>0</v>
      </c>
      <c r="H133" s="191">
        <f t="shared" si="59"/>
        <v>0</v>
      </c>
      <c r="I133" s="191">
        <f t="shared" si="59"/>
        <v>0</v>
      </c>
      <c r="J133" s="191">
        <f t="shared" si="59"/>
        <v>0</v>
      </c>
      <c r="K133" s="191">
        <f t="shared" si="59"/>
        <v>0</v>
      </c>
    </row>
    <row r="134" spans="1:11" ht="15" hidden="1" customHeight="1" outlineLevel="1">
      <c r="A134">
        <v>5</v>
      </c>
      <c r="B134" s="191">
        <f t="shared" si="60"/>
        <v>0.20227193679784269</v>
      </c>
      <c r="C134" s="191">
        <f t="shared" si="59"/>
        <v>0</v>
      </c>
      <c r="D134" s="191">
        <f t="shared" si="59"/>
        <v>0</v>
      </c>
      <c r="E134" s="191">
        <f t="shared" si="59"/>
        <v>0</v>
      </c>
      <c r="F134" s="191">
        <f t="shared" si="59"/>
        <v>0</v>
      </c>
      <c r="G134" s="191">
        <f t="shared" si="59"/>
        <v>0</v>
      </c>
      <c r="H134" s="191">
        <f t="shared" si="59"/>
        <v>0</v>
      </c>
      <c r="I134" s="191">
        <f t="shared" si="59"/>
        <v>0</v>
      </c>
      <c r="J134" s="191">
        <f t="shared" si="59"/>
        <v>0</v>
      </c>
      <c r="K134" s="191">
        <f t="shared" si="59"/>
        <v>0</v>
      </c>
    </row>
    <row r="135" spans="1:11" ht="15" hidden="1" customHeight="1" outlineLevel="1">
      <c r="A135">
        <v>6</v>
      </c>
      <c r="B135" s="191">
        <f t="shared" si="60"/>
        <v>0.1950479390550626</v>
      </c>
      <c r="C135" s="191">
        <f t="shared" si="59"/>
        <v>0</v>
      </c>
      <c r="D135" s="191">
        <f t="shared" si="59"/>
        <v>0</v>
      </c>
      <c r="E135" s="191">
        <f t="shared" si="59"/>
        <v>0</v>
      </c>
      <c r="F135" s="191">
        <f t="shared" si="59"/>
        <v>0</v>
      </c>
      <c r="G135" s="191">
        <f t="shared" si="59"/>
        <v>0</v>
      </c>
      <c r="H135" s="191">
        <f t="shared" si="59"/>
        <v>0</v>
      </c>
      <c r="I135" s="191">
        <f t="shared" si="59"/>
        <v>0</v>
      </c>
      <c r="J135" s="191">
        <f t="shared" si="59"/>
        <v>0</v>
      </c>
      <c r="K135" s="191">
        <f t="shared" si="59"/>
        <v>0</v>
      </c>
    </row>
    <row r="136" spans="1:11" ht="15" hidden="1" customHeight="1" outlineLevel="1">
      <c r="A136">
        <v>7</v>
      </c>
      <c r="B136" s="191">
        <f t="shared" si="60"/>
        <v>0.18782394131228253</v>
      </c>
      <c r="C136" s="191">
        <f t="shared" si="59"/>
        <v>0</v>
      </c>
      <c r="D136" s="191">
        <f t="shared" si="59"/>
        <v>0</v>
      </c>
      <c r="E136" s="191">
        <f t="shared" si="59"/>
        <v>0</v>
      </c>
      <c r="F136" s="191">
        <f t="shared" si="59"/>
        <v>0</v>
      </c>
      <c r="G136" s="191">
        <f t="shared" si="59"/>
        <v>0</v>
      </c>
      <c r="H136" s="191">
        <f t="shared" si="59"/>
        <v>0</v>
      </c>
      <c r="I136" s="191">
        <f t="shared" si="59"/>
        <v>0</v>
      </c>
      <c r="J136" s="191">
        <f t="shared" si="59"/>
        <v>0</v>
      </c>
      <c r="K136" s="191">
        <f t="shared" si="59"/>
        <v>0</v>
      </c>
    </row>
    <row r="137" spans="1:11" ht="15" hidden="1" customHeight="1" outlineLevel="1">
      <c r="A137">
        <v>8</v>
      </c>
      <c r="B137" s="191">
        <f t="shared" si="60"/>
        <v>0.18059994356950237</v>
      </c>
      <c r="C137" s="191">
        <f t="shared" si="59"/>
        <v>0</v>
      </c>
      <c r="D137" s="191">
        <f t="shared" si="59"/>
        <v>0</v>
      </c>
      <c r="E137" s="191">
        <f t="shared" si="59"/>
        <v>0</v>
      </c>
      <c r="F137" s="191">
        <f t="shared" si="59"/>
        <v>0</v>
      </c>
      <c r="G137" s="191">
        <f t="shared" si="59"/>
        <v>0</v>
      </c>
      <c r="H137" s="191">
        <f t="shared" si="59"/>
        <v>0</v>
      </c>
      <c r="I137" s="191">
        <f t="shared" si="59"/>
        <v>0</v>
      </c>
      <c r="J137" s="191">
        <f t="shared" si="59"/>
        <v>0</v>
      </c>
      <c r="K137" s="191">
        <f t="shared" si="59"/>
        <v>0</v>
      </c>
    </row>
    <row r="138" spans="1:11" ht="15" hidden="1" customHeight="1" outlineLevel="1">
      <c r="A138">
        <v>9</v>
      </c>
      <c r="B138" s="191">
        <f t="shared" si="60"/>
        <v>0.17337594582672231</v>
      </c>
      <c r="C138" s="191">
        <f t="shared" si="59"/>
        <v>0</v>
      </c>
      <c r="D138" s="191">
        <f t="shared" si="59"/>
        <v>0</v>
      </c>
      <c r="E138" s="191">
        <f t="shared" si="59"/>
        <v>0</v>
      </c>
      <c r="F138" s="191">
        <f t="shared" si="59"/>
        <v>0</v>
      </c>
      <c r="G138" s="191">
        <f t="shared" si="59"/>
        <v>0</v>
      </c>
      <c r="H138" s="191">
        <f t="shared" si="59"/>
        <v>0</v>
      </c>
      <c r="I138" s="191">
        <f t="shared" si="59"/>
        <v>0</v>
      </c>
      <c r="J138" s="191">
        <f t="shared" si="59"/>
        <v>0</v>
      </c>
      <c r="K138" s="191">
        <f t="shared" si="59"/>
        <v>0</v>
      </c>
    </row>
    <row r="139" spans="1:11" ht="15" hidden="1" customHeight="1" outlineLevel="1">
      <c r="A139">
        <v>10</v>
      </c>
      <c r="B139" s="191">
        <f t="shared" si="60"/>
        <v>0.16615194808394221</v>
      </c>
      <c r="C139" s="191">
        <f t="shared" si="59"/>
        <v>0</v>
      </c>
      <c r="D139" s="191">
        <f t="shared" si="59"/>
        <v>0</v>
      </c>
      <c r="E139" s="191">
        <f t="shared" si="59"/>
        <v>0</v>
      </c>
      <c r="F139" s="191">
        <f t="shared" si="59"/>
        <v>0</v>
      </c>
      <c r="G139" s="191">
        <f t="shared" si="59"/>
        <v>0</v>
      </c>
      <c r="H139" s="191">
        <f t="shared" si="59"/>
        <v>0</v>
      </c>
      <c r="I139" s="191">
        <f t="shared" si="59"/>
        <v>0</v>
      </c>
      <c r="J139" s="191">
        <f t="shared" si="59"/>
        <v>0</v>
      </c>
      <c r="K139" s="191">
        <f t="shared" si="59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K150" si="61">C130*$A141*(C$48/11)</f>
        <v>0</v>
      </c>
      <c r="D141" s="191">
        <f t="shared" si="61"/>
        <v>0</v>
      </c>
      <c r="E141" s="191">
        <f t="shared" si="61"/>
        <v>0</v>
      </c>
      <c r="F141" s="191">
        <f t="shared" si="61"/>
        <v>0</v>
      </c>
      <c r="G141" s="191">
        <f t="shared" si="61"/>
        <v>0</v>
      </c>
      <c r="H141" s="191">
        <f t="shared" si="61"/>
        <v>0</v>
      </c>
      <c r="I141" s="191">
        <f t="shared" si="61"/>
        <v>0</v>
      </c>
      <c r="J141" s="191">
        <f t="shared" si="61"/>
        <v>0</v>
      </c>
      <c r="K141" s="191">
        <f t="shared" si="61"/>
        <v>0</v>
      </c>
    </row>
    <row r="142" spans="1:11" ht="15" hidden="1" customHeight="1" outlineLevel="1">
      <c r="A142">
        <v>2</v>
      </c>
      <c r="B142" s="191">
        <f t="shared" ref="B142:B150" si="62">B131*$A142*(B$48/11)</f>
        <v>6.1075617279868089E-3</v>
      </c>
      <c r="C142" s="191">
        <f t="shared" si="61"/>
        <v>0</v>
      </c>
      <c r="D142" s="191">
        <f t="shared" si="61"/>
        <v>0</v>
      </c>
      <c r="E142" s="191">
        <f t="shared" si="61"/>
        <v>0</v>
      </c>
      <c r="F142" s="191">
        <f t="shared" si="61"/>
        <v>0</v>
      </c>
      <c r="G142" s="191">
        <f t="shared" si="61"/>
        <v>0</v>
      </c>
      <c r="H142" s="191">
        <f t="shared" si="61"/>
        <v>0</v>
      </c>
      <c r="I142" s="191">
        <f t="shared" si="61"/>
        <v>0</v>
      </c>
      <c r="J142" s="191">
        <f t="shared" si="61"/>
        <v>0</v>
      </c>
      <c r="K142" s="191">
        <f t="shared" si="61"/>
        <v>0</v>
      </c>
    </row>
    <row r="143" spans="1:11" ht="15" hidden="1" customHeight="1" outlineLevel="1">
      <c r="A143">
        <v>3</v>
      </c>
      <c r="B143" s="191">
        <f t="shared" si="62"/>
        <v>8.865815411593753E-3</v>
      </c>
      <c r="C143" s="191">
        <f t="shared" si="61"/>
        <v>0</v>
      </c>
      <c r="D143" s="191">
        <f t="shared" si="61"/>
        <v>0</v>
      </c>
      <c r="E143" s="191">
        <f t="shared" si="61"/>
        <v>0</v>
      </c>
      <c r="F143" s="191">
        <f t="shared" si="61"/>
        <v>0</v>
      </c>
      <c r="G143" s="191">
        <f t="shared" si="61"/>
        <v>0</v>
      </c>
      <c r="H143" s="191">
        <f t="shared" si="61"/>
        <v>0</v>
      </c>
      <c r="I143" s="191">
        <f t="shared" si="61"/>
        <v>0</v>
      </c>
      <c r="J143" s="191">
        <f t="shared" si="61"/>
        <v>0</v>
      </c>
      <c r="K143" s="191">
        <f t="shared" si="61"/>
        <v>0</v>
      </c>
    </row>
    <row r="144" spans="1:11" ht="15" hidden="1" customHeight="1" outlineLevel="1">
      <c r="A144">
        <v>4</v>
      </c>
      <c r="B144" s="191">
        <f t="shared" si="62"/>
        <v>1.1427050974943063E-2</v>
      </c>
      <c r="C144" s="191">
        <f t="shared" si="61"/>
        <v>0</v>
      </c>
      <c r="D144" s="191">
        <f t="shared" si="61"/>
        <v>0</v>
      </c>
      <c r="E144" s="191">
        <f t="shared" si="61"/>
        <v>0</v>
      </c>
      <c r="F144" s="191">
        <f t="shared" si="61"/>
        <v>0</v>
      </c>
      <c r="G144" s="191">
        <f t="shared" si="61"/>
        <v>0</v>
      </c>
      <c r="H144" s="191">
        <f t="shared" si="61"/>
        <v>0</v>
      </c>
      <c r="I144" s="191">
        <f t="shared" si="61"/>
        <v>0</v>
      </c>
      <c r="J144" s="191">
        <f t="shared" si="61"/>
        <v>0</v>
      </c>
      <c r="K144" s="191">
        <f t="shared" si="61"/>
        <v>0</v>
      </c>
    </row>
    <row r="145" spans="1:11" ht="15" hidden="1" customHeight="1" outlineLevel="1">
      <c r="A145">
        <v>5</v>
      </c>
      <c r="B145" s="191">
        <f t="shared" si="62"/>
        <v>1.3791268418034727E-2</v>
      </c>
      <c r="C145" s="191">
        <f t="shared" si="61"/>
        <v>0</v>
      </c>
      <c r="D145" s="191">
        <f t="shared" si="61"/>
        <v>0</v>
      </c>
      <c r="E145" s="191">
        <f t="shared" si="61"/>
        <v>0</v>
      </c>
      <c r="F145" s="191">
        <f t="shared" si="61"/>
        <v>0</v>
      </c>
      <c r="G145" s="191">
        <f t="shared" si="61"/>
        <v>0</v>
      </c>
      <c r="H145" s="191">
        <f t="shared" si="61"/>
        <v>0</v>
      </c>
      <c r="I145" s="191">
        <f t="shared" si="61"/>
        <v>0</v>
      </c>
      <c r="J145" s="191">
        <f t="shared" si="61"/>
        <v>0</v>
      </c>
      <c r="K145" s="191">
        <f t="shared" si="61"/>
        <v>0</v>
      </c>
    </row>
    <row r="146" spans="1:11" ht="15" hidden="1" customHeight="1" outlineLevel="1">
      <c r="A146">
        <v>6</v>
      </c>
      <c r="B146" s="191">
        <f t="shared" si="62"/>
        <v>1.5958467740868759E-2</v>
      </c>
      <c r="C146" s="191">
        <f t="shared" si="61"/>
        <v>0</v>
      </c>
      <c r="D146" s="191">
        <f t="shared" si="61"/>
        <v>0</v>
      </c>
      <c r="E146" s="191">
        <f t="shared" si="61"/>
        <v>0</v>
      </c>
      <c r="F146" s="191">
        <f t="shared" si="61"/>
        <v>0</v>
      </c>
      <c r="G146" s="191">
        <f t="shared" si="61"/>
        <v>0</v>
      </c>
      <c r="H146" s="191">
        <f t="shared" si="61"/>
        <v>0</v>
      </c>
      <c r="I146" s="191">
        <f t="shared" si="61"/>
        <v>0</v>
      </c>
      <c r="J146" s="191">
        <f t="shared" si="61"/>
        <v>0</v>
      </c>
      <c r="K146" s="191">
        <f t="shared" si="61"/>
        <v>0</v>
      </c>
    </row>
    <row r="147" spans="1:11" ht="15" hidden="1" customHeight="1" outlineLevel="1">
      <c r="A147">
        <v>7</v>
      </c>
      <c r="B147" s="191">
        <f t="shared" si="62"/>
        <v>1.7928648943445147E-2</v>
      </c>
      <c r="C147" s="191">
        <f t="shared" si="61"/>
        <v>0</v>
      </c>
      <c r="D147" s="191">
        <f t="shared" si="61"/>
        <v>0</v>
      </c>
      <c r="E147" s="191">
        <f t="shared" si="61"/>
        <v>0</v>
      </c>
      <c r="F147" s="191">
        <f t="shared" si="61"/>
        <v>0</v>
      </c>
      <c r="G147" s="191">
        <f t="shared" si="61"/>
        <v>0</v>
      </c>
      <c r="H147" s="191">
        <f t="shared" si="61"/>
        <v>0</v>
      </c>
      <c r="I147" s="191">
        <f t="shared" si="61"/>
        <v>0</v>
      </c>
      <c r="J147" s="191">
        <f t="shared" si="61"/>
        <v>0</v>
      </c>
      <c r="K147" s="191">
        <f t="shared" si="61"/>
        <v>0</v>
      </c>
    </row>
    <row r="148" spans="1:11" ht="15" hidden="1" customHeight="1" outlineLevel="1">
      <c r="A148">
        <v>8</v>
      </c>
      <c r="B148" s="191">
        <f t="shared" si="62"/>
        <v>1.9701812025763894E-2</v>
      </c>
      <c r="C148" s="191">
        <f t="shared" si="61"/>
        <v>0</v>
      </c>
      <c r="D148" s="191">
        <f t="shared" si="61"/>
        <v>0</v>
      </c>
      <c r="E148" s="191">
        <f t="shared" si="61"/>
        <v>0</v>
      </c>
      <c r="F148" s="191">
        <f t="shared" si="61"/>
        <v>0</v>
      </c>
      <c r="G148" s="191">
        <f t="shared" si="61"/>
        <v>0</v>
      </c>
      <c r="H148" s="191">
        <f t="shared" si="61"/>
        <v>0</v>
      </c>
      <c r="I148" s="191">
        <f t="shared" si="61"/>
        <v>0</v>
      </c>
      <c r="J148" s="191">
        <f t="shared" si="61"/>
        <v>0</v>
      </c>
      <c r="K148" s="191">
        <f t="shared" si="61"/>
        <v>0</v>
      </c>
    </row>
    <row r="149" spans="1:11" ht="15" hidden="1" customHeight="1" outlineLevel="1">
      <c r="A149">
        <v>9</v>
      </c>
      <c r="B149" s="191">
        <f t="shared" si="62"/>
        <v>2.127795698782501E-2</v>
      </c>
      <c r="C149" s="191">
        <f t="shared" si="61"/>
        <v>0</v>
      </c>
      <c r="D149" s="191">
        <f t="shared" si="61"/>
        <v>0</v>
      </c>
      <c r="E149" s="191">
        <f t="shared" si="61"/>
        <v>0</v>
      </c>
      <c r="F149" s="191">
        <f t="shared" si="61"/>
        <v>0</v>
      </c>
      <c r="G149" s="191">
        <f t="shared" si="61"/>
        <v>0</v>
      </c>
      <c r="H149" s="191">
        <f t="shared" si="61"/>
        <v>0</v>
      </c>
      <c r="I149" s="191">
        <f t="shared" si="61"/>
        <v>0</v>
      </c>
      <c r="J149" s="191">
        <f t="shared" si="61"/>
        <v>0</v>
      </c>
      <c r="K149" s="191">
        <f t="shared" si="61"/>
        <v>0</v>
      </c>
    </row>
    <row r="150" spans="1:11" ht="15" hidden="1" customHeight="1" outlineLevel="1">
      <c r="A150">
        <v>10</v>
      </c>
      <c r="B150" s="191">
        <f t="shared" si="62"/>
        <v>2.2657083829628482E-2</v>
      </c>
      <c r="C150" s="191">
        <f t="shared" si="61"/>
        <v>0</v>
      </c>
      <c r="D150" s="191">
        <f t="shared" si="61"/>
        <v>0</v>
      </c>
      <c r="E150" s="191">
        <f t="shared" si="61"/>
        <v>0</v>
      </c>
      <c r="F150" s="191">
        <f t="shared" si="61"/>
        <v>0</v>
      </c>
      <c r="G150" s="191">
        <f t="shared" si="61"/>
        <v>0</v>
      </c>
      <c r="H150" s="191">
        <f t="shared" si="61"/>
        <v>0</v>
      </c>
      <c r="I150" s="191">
        <f t="shared" si="61"/>
        <v>0</v>
      </c>
      <c r="J150" s="191">
        <f t="shared" si="61"/>
        <v>0</v>
      </c>
      <c r="K150" s="191">
        <f t="shared" si="61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K151" si="63">SUM(C130:C139)</f>
        <v>0</v>
      </c>
      <c r="D151" s="191">
        <f t="shared" si="63"/>
        <v>0</v>
      </c>
      <c r="E151" s="191">
        <f t="shared" si="63"/>
        <v>0</v>
      </c>
      <c r="F151" s="191">
        <f t="shared" si="63"/>
        <v>0</v>
      </c>
      <c r="G151" s="191">
        <f t="shared" si="63"/>
        <v>0</v>
      </c>
      <c r="H151" s="191">
        <f t="shared" si="63"/>
        <v>0</v>
      </c>
      <c r="I151" s="191">
        <f t="shared" si="63"/>
        <v>0</v>
      </c>
      <c r="J151" s="191">
        <f t="shared" si="63"/>
        <v>0</v>
      </c>
      <c r="K151" s="191">
        <f t="shared" si="63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K152" si="64">SUM(C141:C150)</f>
        <v>0</v>
      </c>
      <c r="D152" s="191">
        <f t="shared" si="64"/>
        <v>0</v>
      </c>
      <c r="E152" s="191">
        <f t="shared" si="64"/>
        <v>0</v>
      </c>
      <c r="F152" s="191">
        <f t="shared" si="64"/>
        <v>0</v>
      </c>
      <c r="G152" s="191">
        <f t="shared" si="64"/>
        <v>0</v>
      </c>
      <c r="H152" s="191">
        <f t="shared" si="64"/>
        <v>0</v>
      </c>
      <c r="I152" s="191">
        <f t="shared" si="64"/>
        <v>0</v>
      </c>
      <c r="J152" s="191">
        <f t="shared" si="64"/>
        <v>0</v>
      </c>
      <c r="K152" s="191">
        <f t="shared" si="64"/>
        <v>0</v>
      </c>
    </row>
    <row r="153" spans="1:11" ht="15" customHeight="1">
      <c r="A153" s="275" t="s">
        <v>382</v>
      </c>
      <c r="B153" s="191">
        <f t="shared" ref="B153:K153" si="65">(2*B151)/(B29*B91)</f>
        <v>0.91421540035381643</v>
      </c>
      <c r="C153" s="191">
        <f t="shared" si="65"/>
        <v>0</v>
      </c>
      <c r="D153" s="191">
        <f t="shared" si="65"/>
        <v>0</v>
      </c>
      <c r="E153" s="191">
        <f t="shared" si="65"/>
        <v>0</v>
      </c>
      <c r="F153" s="191">
        <f t="shared" si="65"/>
        <v>0</v>
      </c>
      <c r="G153" s="191">
        <f t="shared" si="65"/>
        <v>0</v>
      </c>
      <c r="H153" s="191">
        <f t="shared" si="65"/>
        <v>0</v>
      </c>
      <c r="I153" s="191">
        <f t="shared" si="65"/>
        <v>0</v>
      </c>
      <c r="J153" s="191">
        <f t="shared" si="65"/>
        <v>0</v>
      </c>
      <c r="K153" s="191">
        <f t="shared" si="6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K154" si="66">(C152/C151)*100</f>
        <v>#DIV/0!</v>
      </c>
      <c r="D154" s="191" t="e">
        <f t="shared" si="66"/>
        <v>#DIV/0!</v>
      </c>
      <c r="E154" s="191" t="e">
        <f t="shared" si="66"/>
        <v>#DIV/0!</v>
      </c>
      <c r="F154" s="191" t="e">
        <f t="shared" si="66"/>
        <v>#DIV/0!</v>
      </c>
      <c r="G154" s="191" t="e">
        <f t="shared" si="66"/>
        <v>#DIV/0!</v>
      </c>
      <c r="H154" s="191" t="e">
        <f t="shared" si="66"/>
        <v>#DIV/0!</v>
      </c>
      <c r="I154" s="191" t="e">
        <f t="shared" si="66"/>
        <v>#DIV/0!</v>
      </c>
      <c r="J154" s="191" t="e">
        <f t="shared" si="66"/>
        <v>#DIV/0!</v>
      </c>
      <c r="K154" s="191" t="e">
        <f t="shared" si="66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K163" si="67">AVERAGE(C164:C168)</f>
        <v>7.1191308614214271E-2</v>
      </c>
      <c r="D163" s="263">
        <f t="shared" si="67"/>
        <v>7.1191308614214271E-2</v>
      </c>
      <c r="E163" s="263">
        <f t="shared" si="67"/>
        <v>7.1191308614214271E-2</v>
      </c>
      <c r="F163" s="263">
        <f t="shared" si="67"/>
        <v>7.1191308614214271E-2</v>
      </c>
      <c r="G163" s="263">
        <f t="shared" si="67"/>
        <v>7.1191308614214271E-2</v>
      </c>
      <c r="H163" s="263">
        <f t="shared" si="67"/>
        <v>7.1191308614214271E-2</v>
      </c>
      <c r="I163" s="263">
        <f t="shared" si="67"/>
        <v>7.1191308614214271E-2</v>
      </c>
      <c r="J163" s="263">
        <f t="shared" si="67"/>
        <v>7.1191308614214271E-2</v>
      </c>
      <c r="K163" s="263">
        <f t="shared" si="67"/>
        <v>7.1191308614214271E-2</v>
      </c>
    </row>
    <row r="164" spans="1:11" ht="15" hidden="1" customHeight="1" outlineLevel="1">
      <c r="A164">
        <v>0</v>
      </c>
      <c r="B164" s="263">
        <f t="shared" ref="B164:K168" si="68">(B157-B156)/($A157-$A156)</f>
        <v>7.1191308614214202E-2</v>
      </c>
      <c r="C164" s="263">
        <f t="shared" si="68"/>
        <v>7.1191308614214202E-2</v>
      </c>
      <c r="D164" s="263">
        <f t="shared" si="68"/>
        <v>7.1191308614214202E-2</v>
      </c>
      <c r="E164" s="263">
        <f t="shared" si="68"/>
        <v>7.1191308614214202E-2</v>
      </c>
      <c r="F164" s="263">
        <f t="shared" si="68"/>
        <v>7.1191308614214202E-2</v>
      </c>
      <c r="G164" s="263">
        <f t="shared" si="68"/>
        <v>7.1191308614214202E-2</v>
      </c>
      <c r="H164" s="263">
        <f t="shared" si="68"/>
        <v>7.1191308614214202E-2</v>
      </c>
      <c r="I164" s="263">
        <f t="shared" si="68"/>
        <v>7.1191308614214202E-2</v>
      </c>
      <c r="J164" s="263">
        <f t="shared" si="68"/>
        <v>7.1191308614214202E-2</v>
      </c>
      <c r="K164" s="263">
        <f t="shared" si="68"/>
        <v>7.1191308614214202E-2</v>
      </c>
    </row>
    <row r="165" spans="1:11" ht="15" hidden="1" customHeight="1" outlineLevel="1">
      <c r="A165">
        <v>5</v>
      </c>
      <c r="B165" s="263">
        <f t="shared" si="68"/>
        <v>7.1191308614214355E-2</v>
      </c>
      <c r="C165" s="263">
        <f t="shared" si="68"/>
        <v>7.1191308614214355E-2</v>
      </c>
      <c r="D165" s="263">
        <f t="shared" si="68"/>
        <v>7.1191308614214355E-2</v>
      </c>
      <c r="E165" s="263">
        <f t="shared" si="68"/>
        <v>7.1191308614214355E-2</v>
      </c>
      <c r="F165" s="263">
        <f t="shared" si="68"/>
        <v>7.1191308614214355E-2</v>
      </c>
      <c r="G165" s="263">
        <f t="shared" si="68"/>
        <v>7.1191308614214355E-2</v>
      </c>
      <c r="H165" s="263">
        <f t="shared" si="68"/>
        <v>7.1191308614214355E-2</v>
      </c>
      <c r="I165" s="263">
        <f t="shared" si="68"/>
        <v>7.1191308614214355E-2</v>
      </c>
      <c r="J165" s="263">
        <f t="shared" si="68"/>
        <v>7.1191308614214355E-2</v>
      </c>
      <c r="K165" s="263">
        <f t="shared" si="68"/>
        <v>7.1191308614214355E-2</v>
      </c>
    </row>
    <row r="166" spans="1:11" ht="15" hidden="1" customHeight="1" outlineLevel="1">
      <c r="A166">
        <v>10</v>
      </c>
      <c r="B166" s="263">
        <f t="shared" si="68"/>
        <v>7.1191308614214271E-2</v>
      </c>
      <c r="C166" s="263">
        <f t="shared" si="68"/>
        <v>7.1191308614214271E-2</v>
      </c>
      <c r="D166" s="263">
        <f t="shared" si="68"/>
        <v>7.1191308614214271E-2</v>
      </c>
      <c r="E166" s="263">
        <f t="shared" si="68"/>
        <v>7.1191308614214271E-2</v>
      </c>
      <c r="F166" s="263">
        <f t="shared" si="68"/>
        <v>7.1191308614214271E-2</v>
      </c>
      <c r="G166" s="263">
        <f t="shared" si="68"/>
        <v>7.1191308614214271E-2</v>
      </c>
      <c r="H166" s="263">
        <f t="shared" si="68"/>
        <v>7.1191308614214271E-2</v>
      </c>
      <c r="I166" s="263">
        <f t="shared" si="68"/>
        <v>7.1191308614214271E-2</v>
      </c>
      <c r="J166" s="263">
        <f t="shared" si="68"/>
        <v>7.1191308614214271E-2</v>
      </c>
      <c r="K166" s="263">
        <f t="shared" si="68"/>
        <v>7.1191308614214271E-2</v>
      </c>
    </row>
    <row r="167" spans="1:11" ht="15" hidden="1" customHeight="1" outlineLevel="1">
      <c r="A167">
        <v>15</v>
      </c>
      <c r="B167" s="263">
        <f t="shared" si="68"/>
        <v>7.1191308614214271E-2</v>
      </c>
      <c r="C167" s="263">
        <f t="shared" si="68"/>
        <v>7.1191308614214271E-2</v>
      </c>
      <c r="D167" s="263">
        <f t="shared" si="68"/>
        <v>7.1191308614214271E-2</v>
      </c>
      <c r="E167" s="263">
        <f t="shared" si="68"/>
        <v>7.1191308614214271E-2</v>
      </c>
      <c r="F167" s="263">
        <f t="shared" si="68"/>
        <v>7.1191308614214271E-2</v>
      </c>
      <c r="G167" s="263">
        <f t="shared" si="68"/>
        <v>7.1191308614214271E-2</v>
      </c>
      <c r="H167" s="263">
        <f t="shared" si="68"/>
        <v>7.1191308614214271E-2</v>
      </c>
      <c r="I167" s="263">
        <f t="shared" si="68"/>
        <v>7.1191308614214271E-2</v>
      </c>
      <c r="J167" s="263">
        <f t="shared" si="68"/>
        <v>7.1191308614214271E-2</v>
      </c>
      <c r="K167" s="263">
        <f t="shared" si="68"/>
        <v>7.1191308614214271E-2</v>
      </c>
    </row>
    <row r="168" spans="1:11" ht="15" hidden="1" customHeight="1" outlineLevel="1">
      <c r="A168">
        <v>20</v>
      </c>
      <c r="B168" s="263">
        <f t="shared" si="68"/>
        <v>7.1191308614214271E-2</v>
      </c>
      <c r="C168" s="263">
        <f t="shared" si="68"/>
        <v>7.1191308614214271E-2</v>
      </c>
      <c r="D168" s="263">
        <f t="shared" si="68"/>
        <v>7.1191308614214271E-2</v>
      </c>
      <c r="E168" s="263">
        <f t="shared" si="68"/>
        <v>7.1191308614214271E-2</v>
      </c>
      <c r="F168" s="263">
        <f t="shared" si="68"/>
        <v>7.1191308614214271E-2</v>
      </c>
      <c r="G168" s="263">
        <f t="shared" si="68"/>
        <v>7.1191308614214271E-2</v>
      </c>
      <c r="H168" s="263">
        <f t="shared" si="68"/>
        <v>7.1191308614214271E-2</v>
      </c>
      <c r="I168" s="263">
        <f t="shared" si="68"/>
        <v>7.1191308614214271E-2</v>
      </c>
      <c r="J168" s="263">
        <f t="shared" si="68"/>
        <v>7.1191308614214271E-2</v>
      </c>
      <c r="K168" s="263">
        <f t="shared" si="68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K185" si="69">IF(C6&lt;1,C93,C94)</f>
        <v>1.7516574184821574</v>
      </c>
      <c r="D185" s="191">
        <f t="shared" si="69"/>
        <v>1.8270316629357042</v>
      </c>
      <c r="E185" s="191">
        <f t="shared" si="69"/>
        <v>2.0125011551487666</v>
      </c>
      <c r="F185" s="191">
        <f t="shared" si="69"/>
        <v>2.4405161277517413</v>
      </c>
      <c r="G185" s="191">
        <f t="shared" si="69"/>
        <v>28.213824634343929</v>
      </c>
      <c r="H185" s="191">
        <f t="shared" si="69"/>
        <v>3.5777087639996634</v>
      </c>
      <c r="I185" s="191">
        <f t="shared" si="69"/>
        <v>2.3094010767585034</v>
      </c>
      <c r="J185" s="191">
        <f t="shared" si="69"/>
        <v>1.4142135623730949</v>
      </c>
      <c r="K185" s="191">
        <f t="shared" si="69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K187" si="70">C34*C186</f>
        <v>0.12</v>
      </c>
      <c r="D187" s="191">
        <f t="shared" si="70"/>
        <v>0.12</v>
      </c>
      <c r="E187" s="191">
        <f t="shared" si="70"/>
        <v>0.12</v>
      </c>
      <c r="F187" s="191">
        <f t="shared" si="70"/>
        <v>0.12</v>
      </c>
      <c r="G187" s="191">
        <f t="shared" si="70"/>
        <v>0.12</v>
      </c>
      <c r="H187" s="191">
        <f t="shared" si="70"/>
        <v>0.12</v>
      </c>
      <c r="I187" s="191">
        <f t="shared" si="70"/>
        <v>0.12</v>
      </c>
      <c r="J187" s="191">
        <f t="shared" si="70"/>
        <v>0.12</v>
      </c>
      <c r="K187" s="191">
        <f t="shared" si="70"/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K197" si="71">ATAN((-B$187*$A189)/B$3)</f>
        <v>-6.0867428441365628E-4</v>
      </c>
      <c r="C189" s="191">
        <f t="shared" si="71"/>
        <v>-3.5264425116361204E-4</v>
      </c>
      <c r="D189" s="191">
        <f t="shared" si="71"/>
        <v>-1.1754808805247553E-4</v>
      </c>
      <c r="E189" s="191">
        <f t="shared" si="71"/>
        <v>-7.0528853039386374E-5</v>
      </c>
      <c r="F189" s="191">
        <f t="shared" si="71"/>
        <v>-5.0377752211903743E-5</v>
      </c>
      <c r="G189" s="191">
        <f t="shared" si="71"/>
        <v>-3.5264426563547315E-5</v>
      </c>
      <c r="H189" s="191">
        <f t="shared" si="71"/>
        <v>-2.3509617714445632E-5</v>
      </c>
      <c r="I189" s="191">
        <f t="shared" si="71"/>
        <v>-1.7632213287255421E-5</v>
      </c>
      <c r="J189" s="191">
        <f t="shared" si="71"/>
        <v>-1.1754808858847044E-5</v>
      </c>
      <c r="K189" s="191">
        <f t="shared" si="71"/>
        <v>-7.052885315516126E-6</v>
      </c>
    </row>
    <row r="190" spans="1:11" ht="15" hidden="1" customHeight="1" outlineLevel="1">
      <c r="A190">
        <v>0.5</v>
      </c>
      <c r="B190" s="191">
        <f t="shared" si="71"/>
        <v>-3.0433624019443671E-3</v>
      </c>
      <c r="C190" s="191">
        <f t="shared" si="71"/>
        <v>-1.7632195016563466E-3</v>
      </c>
      <c r="D190" s="191">
        <f t="shared" si="71"/>
        <v>-5.8774037529331325E-4</v>
      </c>
      <c r="E190" s="191">
        <f t="shared" si="71"/>
        <v>-3.5264425116361198E-4</v>
      </c>
      <c r="F190" s="191">
        <f t="shared" si="71"/>
        <v>-2.5188875594533489E-4</v>
      </c>
      <c r="G190" s="191">
        <f t="shared" si="71"/>
        <v>-1.7632213106357145E-4</v>
      </c>
      <c r="H190" s="191">
        <f t="shared" si="71"/>
        <v>-1.1754808805247553E-4</v>
      </c>
      <c r="I190" s="191">
        <f t="shared" si="71"/>
        <v>-8.8161066217006459E-5</v>
      </c>
      <c r="J190" s="191">
        <f t="shared" si="71"/>
        <v>-5.8774044229266134E-5</v>
      </c>
      <c r="K190" s="191">
        <f t="shared" si="71"/>
        <v>-3.5264426563547315E-5</v>
      </c>
    </row>
    <row r="191" spans="1:11" ht="15" hidden="1" customHeight="1" outlineLevel="1">
      <c r="A191">
        <v>0.8</v>
      </c>
      <c r="B191" s="191">
        <f t="shared" si="71"/>
        <v>-4.8693563911172367E-3</v>
      </c>
      <c r="C191" s="191">
        <f t="shared" si="71"/>
        <v>-2.8211466418511387E-3</v>
      </c>
      <c r="D191" s="191">
        <f t="shared" si="71"/>
        <v>-9.4038443154982208E-4</v>
      </c>
      <c r="E191" s="191">
        <f t="shared" si="71"/>
        <v>-5.6423076537515451E-4</v>
      </c>
      <c r="F191" s="191">
        <f t="shared" si="71"/>
        <v>-4.0302199621565922E-4</v>
      </c>
      <c r="G191" s="191">
        <f t="shared" si="71"/>
        <v>-2.8211540514088535E-4</v>
      </c>
      <c r="H191" s="191">
        <f t="shared" si="71"/>
        <v>-1.8807693953260408E-4</v>
      </c>
      <c r="I191" s="191">
        <f t="shared" si="71"/>
        <v>-1.410577053771067E-4</v>
      </c>
      <c r="J191" s="191">
        <f t="shared" si="71"/>
        <v>-9.4038470597906221E-5</v>
      </c>
      <c r="K191" s="191">
        <f t="shared" si="71"/>
        <v>-5.6423082465189061E-5</v>
      </c>
    </row>
    <row r="192" spans="1:11" ht="15" hidden="1" customHeight="1" outlineLevel="1">
      <c r="A192">
        <v>1</v>
      </c>
      <c r="B192" s="191">
        <f t="shared" si="71"/>
        <v>-6.0866684293548823E-3</v>
      </c>
      <c r="C192" s="191">
        <f t="shared" si="71"/>
        <v>-3.5264280398829692E-3</v>
      </c>
      <c r="D192" s="191">
        <f t="shared" si="71"/>
        <v>-1.1754803445303073E-3</v>
      </c>
      <c r="E192" s="191">
        <f t="shared" si="71"/>
        <v>-7.0528841461900079E-4</v>
      </c>
      <c r="F192" s="191">
        <f t="shared" si="71"/>
        <v>-5.0377747992702581E-4</v>
      </c>
      <c r="G192" s="191">
        <f t="shared" si="71"/>
        <v>-3.5264425116361198E-4</v>
      </c>
      <c r="H192" s="191">
        <f t="shared" si="71"/>
        <v>-2.3509617285649728E-4</v>
      </c>
      <c r="I192" s="191">
        <f t="shared" si="71"/>
        <v>-1.7632213106357145E-4</v>
      </c>
      <c r="J192" s="191">
        <f t="shared" si="71"/>
        <v>-1.1754808805247553E-4</v>
      </c>
      <c r="K192" s="191">
        <f t="shared" si="71"/>
        <v>-7.0528853039386374E-5</v>
      </c>
    </row>
    <row r="193" spans="1:11" ht="15" hidden="1" customHeight="1" outlineLevel="1">
      <c r="A193">
        <v>5</v>
      </c>
      <c r="B193" s="191">
        <f t="shared" si="71"/>
        <v>-3.0424327180538641E-2</v>
      </c>
      <c r="C193" s="191">
        <f t="shared" si="71"/>
        <v>-1.7630386374527986E-2</v>
      </c>
      <c r="D193" s="191">
        <f t="shared" si="71"/>
        <v>-5.8773367549735467E-3</v>
      </c>
      <c r="E193" s="191">
        <f t="shared" si="71"/>
        <v>-3.5264280398829692E-3</v>
      </c>
      <c r="F193" s="191">
        <f t="shared" si="71"/>
        <v>-2.5188822854713636E-3</v>
      </c>
      <c r="G193" s="191">
        <f t="shared" si="71"/>
        <v>-1.7632195016563466E-3</v>
      </c>
      <c r="H193" s="191">
        <f t="shared" si="71"/>
        <v>-1.1754803445303075E-3</v>
      </c>
      <c r="I193" s="191">
        <f t="shared" si="71"/>
        <v>-8.8161043604732413E-4</v>
      </c>
      <c r="J193" s="191">
        <f t="shared" si="71"/>
        <v>-5.8774037529331336E-4</v>
      </c>
      <c r="K193" s="191">
        <f t="shared" si="71"/>
        <v>-3.5264425116361198E-4</v>
      </c>
    </row>
    <row r="194" spans="1:11" ht="15" hidden="1" customHeight="1" outlineLevel="1">
      <c r="A194">
        <v>10</v>
      </c>
      <c r="B194" s="191">
        <f t="shared" si="71"/>
        <v>-6.0792434475305641E-2</v>
      </c>
      <c r="C194" s="191">
        <f t="shared" si="71"/>
        <v>-3.5249819433070033E-2</v>
      </c>
      <c r="D194" s="191">
        <f t="shared" si="71"/>
        <v>-1.1754267495283133E-2</v>
      </c>
      <c r="E194" s="191">
        <f t="shared" si="71"/>
        <v>-7.0527683747821576E-3</v>
      </c>
      <c r="F194" s="191">
        <f t="shared" si="71"/>
        <v>-5.0377326079010416E-3</v>
      </c>
      <c r="G194" s="191">
        <f t="shared" si="71"/>
        <v>-3.5264280398829692E-3</v>
      </c>
      <c r="H194" s="191">
        <f t="shared" si="71"/>
        <v>-2.3509574406201613E-3</v>
      </c>
      <c r="I194" s="191">
        <f t="shared" si="71"/>
        <v>-1.7632195016563466E-3</v>
      </c>
      <c r="J194" s="191">
        <f t="shared" si="71"/>
        <v>-1.1754803445303075E-3</v>
      </c>
      <c r="K194" s="191">
        <f t="shared" si="71"/>
        <v>-7.0528841461900079E-4</v>
      </c>
    </row>
    <row r="195" spans="1:11" ht="15" hidden="1" customHeight="1" outlineLevel="1">
      <c r="A195">
        <v>20</v>
      </c>
      <c r="B195" s="191">
        <f t="shared" si="71"/>
        <v>-0.12113881782866458</v>
      </c>
      <c r="C195" s="191">
        <f t="shared" si="71"/>
        <v>-7.0412256610955959E-2</v>
      </c>
      <c r="D195" s="191">
        <f t="shared" si="71"/>
        <v>-2.3505287882659417E-2</v>
      </c>
      <c r="E195" s="191">
        <f t="shared" si="71"/>
        <v>-1.4104835188211418E-2</v>
      </c>
      <c r="F195" s="191">
        <f t="shared" si="71"/>
        <v>-1.0075209526069015E-2</v>
      </c>
      <c r="G195" s="191">
        <f t="shared" si="71"/>
        <v>-7.0527683747821576E-3</v>
      </c>
      <c r="H195" s="191">
        <f t="shared" si="71"/>
        <v>-4.7018888940398625E-3</v>
      </c>
      <c r="I195" s="191">
        <f t="shared" si="71"/>
        <v>-3.5264280398829692E-3</v>
      </c>
      <c r="J195" s="191">
        <f t="shared" si="71"/>
        <v>-2.3509574406201613E-3</v>
      </c>
      <c r="K195" s="191">
        <f t="shared" si="71"/>
        <v>-1.4105761275730023E-3</v>
      </c>
    </row>
    <row r="196" spans="1:11" ht="15" hidden="1" customHeight="1" outlineLevel="1">
      <c r="A196">
        <v>50</v>
      </c>
      <c r="B196" s="191">
        <f t="shared" si="71"/>
        <v>-0.29543109335942563</v>
      </c>
      <c r="C196" s="191">
        <f t="shared" si="71"/>
        <v>-0.17452822355748537</v>
      </c>
      <c r="D196" s="191">
        <f t="shared" si="71"/>
        <v>-5.8706508096212806E-2</v>
      </c>
      <c r="E196" s="191">
        <f t="shared" si="71"/>
        <v>-3.5249819433070033E-2</v>
      </c>
      <c r="F196" s="191">
        <f t="shared" si="71"/>
        <v>-2.5183550879356673E-2</v>
      </c>
      <c r="G196" s="191">
        <f t="shared" si="71"/>
        <v>-1.7630386374527986E-2</v>
      </c>
      <c r="H196" s="191">
        <f t="shared" si="71"/>
        <v>-1.1754267495283134E-2</v>
      </c>
      <c r="I196" s="191">
        <f t="shared" si="71"/>
        <v>-8.8158782482761211E-3</v>
      </c>
      <c r="J196" s="191">
        <f t="shared" si="71"/>
        <v>-5.8773367549735476E-3</v>
      </c>
      <c r="K196" s="191">
        <f t="shared" si="71"/>
        <v>-3.5264280398829692E-3</v>
      </c>
    </row>
    <row r="197" spans="1:11" ht="15" hidden="1" customHeight="1" outlineLevel="1">
      <c r="A197">
        <v>100</v>
      </c>
      <c r="B197" s="191">
        <f t="shared" si="71"/>
        <v>-0.54677330449233441</v>
      </c>
      <c r="C197" s="191">
        <f t="shared" si="71"/>
        <v>-0.33902856773486362</v>
      </c>
      <c r="D197" s="191">
        <f t="shared" si="71"/>
        <v>-0.11701112434581525</v>
      </c>
      <c r="E197" s="191">
        <f t="shared" si="71"/>
        <v>-7.0412256610955959E-2</v>
      </c>
      <c r="F197" s="191">
        <f t="shared" si="71"/>
        <v>-5.0335198833895742E-2</v>
      </c>
      <c r="G197" s="191">
        <f t="shared" si="71"/>
        <v>-3.5249819433070033E-2</v>
      </c>
      <c r="H197" s="191">
        <f t="shared" si="71"/>
        <v>-2.3505287882659421E-2</v>
      </c>
      <c r="I197" s="191">
        <f t="shared" si="71"/>
        <v>-1.7630386374527986E-2</v>
      </c>
      <c r="J197" s="191">
        <f t="shared" si="71"/>
        <v>-1.1754267495283134E-2</v>
      </c>
      <c r="K197" s="191">
        <f t="shared" si="71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K207" si="72">DEGREES(C189)</f>
        <v>-2.020502726122634E-2</v>
      </c>
      <c r="D199" s="191">
        <f t="shared" si="72"/>
        <v>-6.7350093352390242E-3</v>
      </c>
      <c r="E199" s="191">
        <f t="shared" si="72"/>
        <v>-4.0410056130552674E-3</v>
      </c>
      <c r="F199" s="191">
        <f t="shared" si="72"/>
        <v>-2.8864325830979323E-3</v>
      </c>
      <c r="G199" s="191">
        <f t="shared" si="72"/>
        <v>-2.0205028090402905E-3</v>
      </c>
      <c r="H199" s="191">
        <f t="shared" si="72"/>
        <v>-1.3470018730037314E-3</v>
      </c>
      <c r="I199" s="191">
        <f t="shared" si="72"/>
        <v>-1.0102514048342271E-3</v>
      </c>
      <c r="J199" s="191">
        <f t="shared" si="72"/>
        <v>-6.735009365949271E-4</v>
      </c>
      <c r="K199" s="191">
        <f t="shared" si="72"/>
        <v>-4.0410056196886799E-4</v>
      </c>
    </row>
    <row r="200" spans="1:11" ht="15" hidden="1" customHeight="1" outlineLevel="1">
      <c r="A200">
        <v>0.5</v>
      </c>
      <c r="B200" s="191">
        <f t="shared" ref="B200:B207" si="73">DEGREES(B190)</f>
        <v>-0.17437182116020908</v>
      </c>
      <c r="C200" s="191">
        <f t="shared" si="72"/>
        <v>-0.10102503580006893</v>
      </c>
      <c r="D200" s="191">
        <f t="shared" si="72"/>
        <v>-3.3675042953741935E-2</v>
      </c>
      <c r="E200" s="191">
        <f t="shared" si="72"/>
        <v>-2.0205027261226336E-2</v>
      </c>
      <c r="F200" s="191">
        <f t="shared" si="72"/>
        <v>-1.4432162622468513E-2</v>
      </c>
      <c r="G200" s="191">
        <f t="shared" si="72"/>
        <v>-1.0102513944695194E-2</v>
      </c>
      <c r="H200" s="191">
        <f t="shared" si="72"/>
        <v>-6.7350093352390242E-3</v>
      </c>
      <c r="I200" s="191">
        <f t="shared" si="72"/>
        <v>-5.0512570116078527E-3</v>
      </c>
      <c r="J200" s="191">
        <f t="shared" si="72"/>
        <v>-3.3675046792521809E-3</v>
      </c>
      <c r="K200" s="191">
        <f t="shared" si="72"/>
        <v>-2.0205028090402905E-3</v>
      </c>
    </row>
    <row r="201" spans="1:11" ht="15" hidden="1" customHeight="1" outlineLevel="1">
      <c r="A201">
        <v>0.8</v>
      </c>
      <c r="B201" s="191">
        <f t="shared" si="73"/>
        <v>-0.27899357015607146</v>
      </c>
      <c r="C201" s="191">
        <f t="shared" si="72"/>
        <v>-0.16163979596557546</v>
      </c>
      <c r="D201" s="191">
        <f t="shared" si="72"/>
        <v>-5.3880059047613865E-2</v>
      </c>
      <c r="E201" s="191">
        <f t="shared" si="72"/>
        <v>-3.2328041527432537E-2</v>
      </c>
      <c r="F201" s="191">
        <f t="shared" si="72"/>
        <v>-2.309145943409471E-2</v>
      </c>
      <c r="G201" s="191">
        <f t="shared" si="72"/>
        <v>-1.6164022050196059E-2</v>
      </c>
      <c r="H201" s="191">
        <f t="shared" si="72"/>
        <v>-1.07760148589554E-2</v>
      </c>
      <c r="I201" s="191">
        <f t="shared" si="72"/>
        <v>-8.0820111859080321E-3</v>
      </c>
      <c r="J201" s="191">
        <f t="shared" si="72"/>
        <v>-5.3880074771251096E-3</v>
      </c>
      <c r="K201" s="191">
        <f t="shared" si="72"/>
        <v>-3.2328044923739339E-3</v>
      </c>
    </row>
    <row r="202" spans="1:11" ht="15" hidden="1" customHeight="1" outlineLevel="1">
      <c r="A202">
        <v>1</v>
      </c>
      <c r="B202" s="191">
        <f t="shared" si="73"/>
        <v>-0.34874041229755642</v>
      </c>
      <c r="C202" s="191">
        <f t="shared" si="72"/>
        <v>-0.20204944344188569</v>
      </c>
      <c r="D202" s="191">
        <f t="shared" si="72"/>
        <v>-6.7350062642170527E-2</v>
      </c>
      <c r="E202" s="191">
        <f t="shared" si="72"/>
        <v>-4.0410049497141658E-2</v>
      </c>
      <c r="F202" s="191">
        <f t="shared" si="72"/>
        <v>-2.8864323413555128E-2</v>
      </c>
      <c r="G202" s="191">
        <f t="shared" si="72"/>
        <v>-2.0205027261226336E-2</v>
      </c>
      <c r="H202" s="191">
        <f t="shared" si="72"/>
        <v>-1.3470018484355356E-2</v>
      </c>
      <c r="I202" s="191">
        <f t="shared" si="72"/>
        <v>-1.0102513944695194E-2</v>
      </c>
      <c r="J202" s="191">
        <f t="shared" si="72"/>
        <v>-6.7350093352390242E-3</v>
      </c>
      <c r="K202" s="191">
        <f t="shared" si="72"/>
        <v>-4.0410056130552674E-3</v>
      </c>
    </row>
    <row r="203" spans="1:11" ht="15" hidden="1" customHeight="1" outlineLevel="1">
      <c r="A203">
        <v>5</v>
      </c>
      <c r="B203" s="191">
        <f t="shared" si="73"/>
        <v>-1.7431855419700195</v>
      </c>
      <c r="C203" s="191">
        <f t="shared" si="72"/>
        <v>-1.0101467304454064</v>
      </c>
      <c r="D203" s="191">
        <f t="shared" si="72"/>
        <v>-0.33674659083709907</v>
      </c>
      <c r="E203" s="191">
        <f t="shared" si="72"/>
        <v>-0.20204944344188569</v>
      </c>
      <c r="F203" s="191">
        <f t="shared" si="72"/>
        <v>-0.14432132404777614</v>
      </c>
      <c r="G203" s="191">
        <f t="shared" si="72"/>
        <v>-0.10102503580006893</v>
      </c>
      <c r="H203" s="191">
        <f t="shared" si="72"/>
        <v>-6.7350062642170541E-2</v>
      </c>
      <c r="I203" s="191">
        <f t="shared" si="72"/>
        <v>-5.0512557160199846E-2</v>
      </c>
      <c r="J203" s="191">
        <f t="shared" si="72"/>
        <v>-3.3675042953741942E-2</v>
      </c>
      <c r="K203" s="191">
        <f t="shared" si="72"/>
        <v>-2.0205027261226336E-2</v>
      </c>
    </row>
    <row r="204" spans="1:11" ht="15" hidden="1" customHeight="1" outlineLevel="1">
      <c r="A204">
        <v>10</v>
      </c>
      <c r="B204" s="191">
        <f t="shared" si="73"/>
        <v>-3.4831499217606163</v>
      </c>
      <c r="C204" s="191">
        <f t="shared" si="72"/>
        <v>-2.019665882113145</v>
      </c>
      <c r="D204" s="191">
        <f t="shared" si="72"/>
        <v>-0.67346991874753281</v>
      </c>
      <c r="E204" s="191">
        <f t="shared" si="72"/>
        <v>-0.40409386175835843</v>
      </c>
      <c r="F204" s="191">
        <f t="shared" si="72"/>
        <v>-0.28864081674816328</v>
      </c>
      <c r="G204" s="191">
        <f t="shared" si="72"/>
        <v>-0.20204944344188569</v>
      </c>
      <c r="H204" s="191">
        <f t="shared" si="72"/>
        <v>-0.1346999391624131</v>
      </c>
      <c r="I204" s="191">
        <f t="shared" si="72"/>
        <v>-0.10102503580006893</v>
      </c>
      <c r="J204" s="191">
        <f t="shared" si="72"/>
        <v>-6.7350062642170541E-2</v>
      </c>
      <c r="K204" s="191">
        <f t="shared" si="72"/>
        <v>-4.0410049497141658E-2</v>
      </c>
    </row>
    <row r="205" spans="1:11" ht="15" hidden="1" customHeight="1" outlineLevel="1">
      <c r="A205">
        <v>20</v>
      </c>
      <c r="B205" s="191">
        <f t="shared" si="73"/>
        <v>-6.9407429967866117</v>
      </c>
      <c r="C205" s="191">
        <f t="shared" si="72"/>
        <v>-4.0343251297999059</v>
      </c>
      <c r="D205" s="191">
        <f t="shared" si="72"/>
        <v>-1.3467537919163797</v>
      </c>
      <c r="E205" s="191">
        <f t="shared" si="72"/>
        <v>-0.80814752701212644</v>
      </c>
      <c r="F205" s="191">
        <f t="shared" si="72"/>
        <v>-0.57726698355375694</v>
      </c>
      <c r="G205" s="191">
        <f t="shared" si="72"/>
        <v>-0.40409386175835843</v>
      </c>
      <c r="H205" s="191">
        <f t="shared" si="72"/>
        <v>-0.26939838936791843</v>
      </c>
      <c r="I205" s="191">
        <f t="shared" si="72"/>
        <v>-0.20204944344188569</v>
      </c>
      <c r="J205" s="191">
        <f t="shared" si="72"/>
        <v>-0.1346999391624131</v>
      </c>
      <c r="K205" s="191">
        <f t="shared" si="72"/>
        <v>-8.0820058791840219E-2</v>
      </c>
    </row>
    <row r="206" spans="1:11" ht="15" hidden="1" customHeight="1" outlineLevel="1">
      <c r="A206">
        <v>50</v>
      </c>
      <c r="B206" s="191">
        <f t="shared" si="73"/>
        <v>-16.926954786430489</v>
      </c>
      <c r="C206" s="191">
        <f t="shared" si="72"/>
        <v>-9.9997306157596224</v>
      </c>
      <c r="D206" s="191">
        <f t="shared" si="72"/>
        <v>-3.3636351438635912</v>
      </c>
      <c r="E206" s="191">
        <f t="shared" si="72"/>
        <v>-2.019665882113145</v>
      </c>
      <c r="F206" s="191">
        <f t="shared" si="72"/>
        <v>-1.4429111785401103</v>
      </c>
      <c r="G206" s="191">
        <f t="shared" si="72"/>
        <v>-1.0101467304454064</v>
      </c>
      <c r="H206" s="191">
        <f t="shared" si="72"/>
        <v>-0.67346991874753293</v>
      </c>
      <c r="I206" s="191">
        <f t="shared" si="72"/>
        <v>-0.505112616327407</v>
      </c>
      <c r="J206" s="191">
        <f t="shared" si="72"/>
        <v>-0.33674659083709912</v>
      </c>
      <c r="K206" s="191">
        <f t="shared" si="72"/>
        <v>-0.20204944344188569</v>
      </c>
    </row>
    <row r="207" spans="1:11" ht="15" hidden="1" customHeight="1" outlineLevel="1">
      <c r="A207">
        <v>100</v>
      </c>
      <c r="B207" s="191">
        <f t="shared" si="73"/>
        <v>-31.327802697832215</v>
      </c>
      <c r="C207" s="191">
        <f t="shared" si="72"/>
        <v>-19.424906065572841</v>
      </c>
      <c r="D207" s="191">
        <f t="shared" si="72"/>
        <v>-6.7042435810956897</v>
      </c>
      <c r="E207" s="191">
        <f t="shared" si="72"/>
        <v>-4.0343251297999059</v>
      </c>
      <c r="F207" s="191">
        <f t="shared" si="72"/>
        <v>-2.883994454134049</v>
      </c>
      <c r="G207" s="191">
        <f t="shared" si="72"/>
        <v>-2.019665882113145</v>
      </c>
      <c r="H207" s="191">
        <f t="shared" si="72"/>
        <v>-1.3467537919163799</v>
      </c>
      <c r="I207" s="191">
        <f t="shared" si="72"/>
        <v>-1.0101467304454064</v>
      </c>
      <c r="J207" s="191">
        <f t="shared" si="72"/>
        <v>-0.67346991874753293</v>
      </c>
      <c r="K207" s="191">
        <f t="shared" si="72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K221" si="74">B$29*(B81)*B$210</f>
        <v>-0.1069651450496069</v>
      </c>
      <c r="C212" s="191">
        <f t="shared" si="74"/>
        <v>-0.29911932036933803</v>
      </c>
      <c r="D212" s="191">
        <f t="shared" si="74"/>
        <v>-2.8079144768257689</v>
      </c>
      <c r="E212" s="191">
        <f t="shared" si="74"/>
        <v>-8.5915483732577052</v>
      </c>
      <c r="F212" s="191">
        <f t="shared" si="74"/>
        <v>-20.420814236431884</v>
      </c>
      <c r="G212" s="191">
        <f t="shared" si="74"/>
        <v>-481.78941616092078</v>
      </c>
      <c r="H212" s="191">
        <f t="shared" si="74"/>
        <v>-137.46204343496663</v>
      </c>
      <c r="I212" s="191">
        <f t="shared" si="74"/>
        <v>-157.74465332126411</v>
      </c>
      <c r="J212" s="191">
        <f t="shared" si="74"/>
        <v>-217.34657453774517</v>
      </c>
      <c r="K212" s="191">
        <f t="shared" si="74"/>
        <v>-348.56973143558412</v>
      </c>
    </row>
    <row r="213" spans="1:11" ht="15" hidden="1" customHeight="1" outlineLevel="1">
      <c r="A213">
        <v>2</v>
      </c>
      <c r="B213" s="191">
        <f t="shared" si="74"/>
        <v>-0.1036224842668067</v>
      </c>
      <c r="C213" s="191">
        <f t="shared" si="74"/>
        <v>-0.28977184160779629</v>
      </c>
      <c r="D213" s="191">
        <f t="shared" si="74"/>
        <v>-2.7201671494249644</v>
      </c>
      <c r="E213" s="191">
        <f t="shared" si="74"/>
        <v>-8.3230624865934022</v>
      </c>
      <c r="F213" s="191">
        <f t="shared" si="74"/>
        <v>-19.782663791543388</v>
      </c>
      <c r="G213" s="191">
        <f t="shared" si="74"/>
        <v>-466.73349690589214</v>
      </c>
      <c r="H213" s="191">
        <f t="shared" si="74"/>
        <v>-133.16635457762396</v>
      </c>
      <c r="I213" s="191">
        <f t="shared" si="74"/>
        <v>-152.81513290497463</v>
      </c>
      <c r="J213" s="191">
        <f t="shared" si="74"/>
        <v>-210.55449408344069</v>
      </c>
      <c r="K213" s="191">
        <f t="shared" si="74"/>
        <v>-337.67692732822218</v>
      </c>
    </row>
    <row r="214" spans="1:11" ht="15" hidden="1" customHeight="1" outlineLevel="1">
      <c r="A214">
        <v>3</v>
      </c>
      <c r="B214" s="191">
        <f t="shared" si="74"/>
        <v>-0.10027982348400648</v>
      </c>
      <c r="C214" s="191">
        <f t="shared" si="74"/>
        <v>-0.28042436284625444</v>
      </c>
      <c r="D214" s="191">
        <f t="shared" si="74"/>
        <v>-2.6324198220241586</v>
      </c>
      <c r="E214" s="191">
        <f t="shared" si="74"/>
        <v>-8.0545765999290992</v>
      </c>
      <c r="F214" s="191">
        <f t="shared" si="74"/>
        <v>-19.14451334665489</v>
      </c>
      <c r="G214" s="191">
        <f t="shared" si="74"/>
        <v>-451.67757765086333</v>
      </c>
      <c r="H214" s="191">
        <f t="shared" si="74"/>
        <v>-128.87066572028121</v>
      </c>
      <c r="I214" s="191">
        <f t="shared" si="74"/>
        <v>-147.88561248868513</v>
      </c>
      <c r="J214" s="191">
        <f t="shared" si="74"/>
        <v>-203.76241362913609</v>
      </c>
      <c r="K214" s="191">
        <f t="shared" si="74"/>
        <v>-326.78412322086012</v>
      </c>
    </row>
    <row r="215" spans="1:11" ht="15" hidden="1" customHeight="1" outlineLevel="1">
      <c r="A215">
        <v>4</v>
      </c>
      <c r="B215" s="191">
        <f t="shared" si="74"/>
        <v>-9.6937162701206281E-2</v>
      </c>
      <c r="C215" s="191">
        <f t="shared" si="74"/>
        <v>-0.2710768840847127</v>
      </c>
      <c r="D215" s="191">
        <f t="shared" si="74"/>
        <v>-2.5446724946233537</v>
      </c>
      <c r="E215" s="191">
        <f t="shared" si="74"/>
        <v>-7.7860907132647963</v>
      </c>
      <c r="F215" s="191">
        <f t="shared" si="74"/>
        <v>-18.506362901766398</v>
      </c>
      <c r="G215" s="191">
        <f t="shared" si="74"/>
        <v>-436.62165839583457</v>
      </c>
      <c r="H215" s="191">
        <f t="shared" si="74"/>
        <v>-124.57497686293853</v>
      </c>
      <c r="I215" s="191">
        <f t="shared" si="74"/>
        <v>-142.95609207239565</v>
      </c>
      <c r="J215" s="191">
        <f t="shared" si="74"/>
        <v>-196.97033317483158</v>
      </c>
      <c r="K215" s="191">
        <f t="shared" si="74"/>
        <v>-315.89131911349818</v>
      </c>
    </row>
    <row r="216" spans="1:11" ht="15" hidden="1" customHeight="1" outlineLevel="1">
      <c r="A216">
        <v>5</v>
      </c>
      <c r="B216" s="191">
        <f t="shared" si="74"/>
        <v>-9.3594501918406042E-2</v>
      </c>
      <c r="C216" s="191">
        <f t="shared" si="74"/>
        <v>-0.26172940532317079</v>
      </c>
      <c r="D216" s="191">
        <f t="shared" si="74"/>
        <v>-2.4569251672225483</v>
      </c>
      <c r="E216" s="191">
        <f t="shared" si="74"/>
        <v>-7.5176048266004916</v>
      </c>
      <c r="F216" s="191">
        <f t="shared" si="74"/>
        <v>-17.868212456877899</v>
      </c>
      <c r="G216" s="191">
        <f t="shared" si="74"/>
        <v>-421.5657391408057</v>
      </c>
      <c r="H216" s="191">
        <f t="shared" si="74"/>
        <v>-120.27928800559579</v>
      </c>
      <c r="I216" s="191">
        <f t="shared" si="74"/>
        <v>-138.02657165610609</v>
      </c>
      <c r="J216" s="191">
        <f t="shared" si="74"/>
        <v>-190.17825272052701</v>
      </c>
      <c r="K216" s="191">
        <f t="shared" si="74"/>
        <v>-304.99851500613607</v>
      </c>
    </row>
    <row r="217" spans="1:11" ht="15" hidden="1" customHeight="1" outlineLevel="1">
      <c r="A217">
        <v>6</v>
      </c>
      <c r="B217" s="191">
        <f t="shared" si="74"/>
        <v>-9.0251841135605831E-2</v>
      </c>
      <c r="C217" s="191">
        <f t="shared" si="74"/>
        <v>-0.252381926561629</v>
      </c>
      <c r="D217" s="191">
        <f t="shared" si="74"/>
        <v>-2.3691778398217429</v>
      </c>
      <c r="E217" s="191">
        <f t="shared" si="74"/>
        <v>-7.2491189399361886</v>
      </c>
      <c r="F217" s="191">
        <f t="shared" si="74"/>
        <v>-17.2300620119894</v>
      </c>
      <c r="G217" s="191">
        <f t="shared" si="74"/>
        <v>-406.50981988577695</v>
      </c>
      <c r="H217" s="191">
        <f t="shared" si="74"/>
        <v>-115.98359914825311</v>
      </c>
      <c r="I217" s="191">
        <f t="shared" si="74"/>
        <v>-133.09705123981661</v>
      </c>
      <c r="J217" s="191">
        <f t="shared" si="74"/>
        <v>-183.3861722662225</v>
      </c>
      <c r="K217" s="191">
        <f t="shared" si="74"/>
        <v>-294.10571089877408</v>
      </c>
    </row>
    <row r="218" spans="1:11" ht="15" hidden="1" customHeight="1" outlineLevel="1">
      <c r="A218">
        <v>7</v>
      </c>
      <c r="B218" s="191">
        <f t="shared" si="74"/>
        <v>-8.6909180352805621E-2</v>
      </c>
      <c r="C218" s="191">
        <f t="shared" si="74"/>
        <v>-0.24303444780008718</v>
      </c>
      <c r="D218" s="191">
        <f t="shared" si="74"/>
        <v>-2.281430512420938</v>
      </c>
      <c r="E218" s="191">
        <f t="shared" si="74"/>
        <v>-6.9806330532718857</v>
      </c>
      <c r="F218" s="191">
        <f t="shared" si="74"/>
        <v>-16.591911567100908</v>
      </c>
      <c r="G218" s="191">
        <f t="shared" si="74"/>
        <v>-391.45390063074819</v>
      </c>
      <c r="H218" s="191">
        <f t="shared" si="74"/>
        <v>-111.68791029091038</v>
      </c>
      <c r="I218" s="191">
        <f t="shared" si="74"/>
        <v>-128.1675308235271</v>
      </c>
      <c r="J218" s="191">
        <f t="shared" si="74"/>
        <v>-176.59409181191793</v>
      </c>
      <c r="K218" s="191">
        <f t="shared" si="74"/>
        <v>-283.21290679141208</v>
      </c>
    </row>
    <row r="219" spans="1:11" ht="15" hidden="1" customHeight="1" outlineLevel="1">
      <c r="A219">
        <v>8</v>
      </c>
      <c r="B219" s="191">
        <f t="shared" si="74"/>
        <v>-8.3566519570005396E-2</v>
      </c>
      <c r="C219" s="191">
        <f t="shared" si="74"/>
        <v>-0.23368696903854533</v>
      </c>
      <c r="D219" s="191">
        <f t="shared" si="74"/>
        <v>-2.1936831850201322</v>
      </c>
      <c r="E219" s="191">
        <f t="shared" si="74"/>
        <v>-6.7121471666075818</v>
      </c>
      <c r="F219" s="191">
        <f t="shared" si="74"/>
        <v>-15.953761122212409</v>
      </c>
      <c r="G219" s="191">
        <f t="shared" si="74"/>
        <v>-376.39798137571944</v>
      </c>
      <c r="H219" s="191">
        <f t="shared" si="74"/>
        <v>-107.39222143356768</v>
      </c>
      <c r="I219" s="191">
        <f t="shared" si="74"/>
        <v>-123.2380104072376</v>
      </c>
      <c r="J219" s="191">
        <f t="shared" si="74"/>
        <v>-169.80201135761342</v>
      </c>
      <c r="K219" s="191">
        <f t="shared" si="74"/>
        <v>-272.32010268405008</v>
      </c>
    </row>
    <row r="220" spans="1:11" ht="15" hidden="1" customHeight="1" outlineLevel="1">
      <c r="A220">
        <v>9</v>
      </c>
      <c r="B220" s="191">
        <f t="shared" si="74"/>
        <v>-8.0223858787205185E-2</v>
      </c>
      <c r="C220" s="191">
        <f t="shared" si="74"/>
        <v>-0.22433949027700356</v>
      </c>
      <c r="D220" s="191">
        <f t="shared" si="74"/>
        <v>-2.1059358576193272</v>
      </c>
      <c r="E220" s="191">
        <f t="shared" si="74"/>
        <v>-6.4436612799432789</v>
      </c>
      <c r="F220" s="191">
        <f t="shared" si="74"/>
        <v>-15.315610677323914</v>
      </c>
      <c r="G220" s="191">
        <f t="shared" si="74"/>
        <v>-361.34206212069063</v>
      </c>
      <c r="H220" s="191">
        <f t="shared" si="74"/>
        <v>-103.09653257622499</v>
      </c>
      <c r="I220" s="191">
        <f t="shared" si="74"/>
        <v>-118.30848999094809</v>
      </c>
      <c r="J220" s="191">
        <f t="shared" si="74"/>
        <v>-163.00993090330888</v>
      </c>
      <c r="K220" s="191">
        <f t="shared" si="74"/>
        <v>-261.42729857668814</v>
      </c>
    </row>
    <row r="221" spans="1:11" ht="15" hidden="1" customHeight="1" outlineLevel="1">
      <c r="A221">
        <v>10</v>
      </c>
      <c r="B221" s="191">
        <f t="shared" si="74"/>
        <v>-7.688119800440496E-2</v>
      </c>
      <c r="C221" s="191">
        <f t="shared" si="74"/>
        <v>-0.21499201151546171</v>
      </c>
      <c r="D221" s="191">
        <f t="shared" si="74"/>
        <v>-2.0181885302185214</v>
      </c>
      <c r="E221" s="191">
        <f t="shared" si="74"/>
        <v>-6.175175393278975</v>
      </c>
      <c r="F221" s="191">
        <f t="shared" si="74"/>
        <v>-14.677460232435417</v>
      </c>
      <c r="G221" s="191">
        <f t="shared" si="74"/>
        <v>-346.28614286566182</v>
      </c>
      <c r="H221" s="191">
        <f t="shared" si="74"/>
        <v>-98.800843718882263</v>
      </c>
      <c r="I221" s="191">
        <f t="shared" si="74"/>
        <v>-113.37896957465858</v>
      </c>
      <c r="J221" s="191">
        <f t="shared" si="74"/>
        <v>-156.21785044900435</v>
      </c>
      <c r="K221" s="191">
        <f t="shared" si="74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K222" si="75">SUM(C212:C221)</f>
        <v>-2.5705566594239988</v>
      </c>
      <c r="D222" s="191">
        <f t="shared" si="75"/>
        <v>-24.130515035221453</v>
      </c>
      <c r="E222" s="191">
        <f t="shared" si="75"/>
        <v>-73.833618832683413</v>
      </c>
      <c r="F222" s="191">
        <f t="shared" si="75"/>
        <v>-175.4913723443365</v>
      </c>
      <c r="G222" s="191">
        <f t="shared" si="75"/>
        <v>-4140.377795132913</v>
      </c>
      <c r="H222" s="191">
        <f t="shared" si="75"/>
        <v>-1181.3144357692447</v>
      </c>
      <c r="I222" s="191">
        <f t="shared" si="75"/>
        <v>-1355.6181144796137</v>
      </c>
      <c r="J222" s="191">
        <f t="shared" si="75"/>
        <v>-1867.8221249337475</v>
      </c>
      <c r="K222" s="191">
        <f t="shared" si="75"/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K223" si="76">C222*C187</f>
        <v>-0.30846679913087982</v>
      </c>
      <c r="D223" s="191">
        <f t="shared" si="76"/>
        <v>-2.8956618042265743</v>
      </c>
      <c r="E223" s="191">
        <f t="shared" si="76"/>
        <v>-8.8600342599220099</v>
      </c>
      <c r="F223" s="191">
        <f t="shared" si="76"/>
        <v>-21.058964681320379</v>
      </c>
      <c r="G223" s="191">
        <f t="shared" si="76"/>
        <v>-496.84533541594953</v>
      </c>
      <c r="H223" s="191">
        <f t="shared" si="76"/>
        <v>-141.75773229230936</v>
      </c>
      <c r="I223" s="191">
        <f t="shared" si="76"/>
        <v>-162.67417373755364</v>
      </c>
      <c r="J223" s="191">
        <f t="shared" si="76"/>
        <v>-224.13865499204971</v>
      </c>
      <c r="K223" s="191">
        <f t="shared" si="76"/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K224" si="77">C38*(2/3)*((1+C44+C44^2)/(1+C44))</f>
        <v>0.12666666666666665</v>
      </c>
      <c r="D224" s="191">
        <f t="shared" si="77"/>
        <v>0.12666666666666665</v>
      </c>
      <c r="E224" s="191">
        <f t="shared" si="77"/>
        <v>0.12666666666666665</v>
      </c>
      <c r="F224" s="191">
        <f t="shared" si="77"/>
        <v>0.12666666666666665</v>
      </c>
      <c r="G224" s="191">
        <f t="shared" si="77"/>
        <v>0.12666666666666665</v>
      </c>
      <c r="H224" s="191">
        <f t="shared" si="77"/>
        <v>0.12666666666666665</v>
      </c>
      <c r="I224" s="191">
        <f t="shared" si="77"/>
        <v>0.12666666666666665</v>
      </c>
      <c r="J224" s="191">
        <f t="shared" si="77"/>
        <v>0.12666666666666665</v>
      </c>
      <c r="K224" s="191">
        <f t="shared" si="77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K226" si="78">C223/(C29*C91*C224)</f>
        <v>-0.20102561897280527</v>
      </c>
      <c r="D226" s="191">
        <f t="shared" si="78"/>
        <v>-0.20967580021601404</v>
      </c>
      <c r="E226" s="191">
        <f t="shared" si="78"/>
        <v>-0.23096085234967281</v>
      </c>
      <c r="F226" s="191">
        <f t="shared" si="78"/>
        <v>-0.28008117341776056</v>
      </c>
      <c r="G226" s="191">
        <f t="shared" si="78"/>
        <v>-3.2379057119649581</v>
      </c>
      <c r="H226" s="191">
        <f t="shared" si="78"/>
        <v>-0.41058891493216298</v>
      </c>
      <c r="I226" s="191">
        <f t="shared" si="78"/>
        <v>-0.26503400494494017</v>
      </c>
      <c r="J226" s="191">
        <f t="shared" si="78"/>
        <v>-0.16229951915034421</v>
      </c>
      <c r="K226" s="191">
        <f t="shared" si="78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K227" si="79">(-C185*C187^2)/(C225*C3)</f>
        <v>-9.2656791636244057E-4</v>
      </c>
      <c r="D227" s="289">
        <f t="shared" si="79"/>
        <v>-3.2214611966789743E-4</v>
      </c>
      <c r="E227" s="289">
        <f t="shared" si="79"/>
        <v>-2.1290909767264995E-4</v>
      </c>
      <c r="F227" s="289">
        <f t="shared" si="79"/>
        <v>-1.8442157528556364E-4</v>
      </c>
      <c r="G227" s="289">
        <f t="shared" si="79"/>
        <v>-1.4924165209605816E-3</v>
      </c>
      <c r="H227" s="289">
        <f t="shared" si="79"/>
        <v>-1.2616584802612485E-4</v>
      </c>
      <c r="I227" s="289">
        <f t="shared" si="79"/>
        <v>-6.1079778533164696E-5</v>
      </c>
      <c r="J227" s="289">
        <f t="shared" si="79"/>
        <v>-2.4935715168075836E-5</v>
      </c>
      <c r="K227" s="289">
        <f t="shared" si="79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K239" si="80">(C185*C187)/C225</f>
        <v>0.26274861277232359</v>
      </c>
      <c r="D239" s="191">
        <f t="shared" si="80"/>
        <v>0.27405474944035557</v>
      </c>
      <c r="E239" s="191">
        <f t="shared" si="80"/>
        <v>0.301875173272315</v>
      </c>
      <c r="F239" s="191">
        <f t="shared" si="80"/>
        <v>0.36607741916276115</v>
      </c>
      <c r="G239" s="191">
        <f t="shared" si="80"/>
        <v>4.2320736951515885</v>
      </c>
      <c r="H239" s="191">
        <f t="shared" si="80"/>
        <v>0.53665631459994945</v>
      </c>
      <c r="I239" s="191">
        <f t="shared" si="80"/>
        <v>0.34641016151377546</v>
      </c>
      <c r="J239" s="191">
        <f t="shared" si="80"/>
        <v>0.21213203435596423</v>
      </c>
      <c r="K239" s="191">
        <f t="shared" si="8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87"/>
  <sheetViews>
    <sheetView tabSelected="1" zoomScale="70" zoomScaleNormal="70" workbookViewId="0">
      <pane ySplit="12" topLeftCell="A68" activePane="bottomLeft" state="frozen"/>
      <selection pane="bottomLeft" activeCell="K82" sqref="K82"/>
    </sheetView>
  </sheetViews>
  <sheetFormatPr defaultColWidth="9.08984375" defaultRowHeight="15" customHeight="1" outlineLevelRow="1"/>
  <cols>
    <col min="1" max="1" width="46.08984375" customWidth="1"/>
    <col min="2" max="8" width="12.7265625" style="191" customWidth="1"/>
  </cols>
  <sheetData>
    <row r="1" spans="1:8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</row>
    <row r="2" spans="1:8" ht="14.5">
      <c r="A2" t="s">
        <v>327</v>
      </c>
      <c r="B2" s="191">
        <f>B7*B9</f>
        <v>20.178803730647662</v>
      </c>
      <c r="C2" s="191">
        <f t="shared" ref="C2:H2" si="0">C7*C9</f>
        <v>20.178803730647662</v>
      </c>
      <c r="D2" s="191">
        <f t="shared" si="0"/>
        <v>20.178803730647662</v>
      </c>
      <c r="E2" s="191">
        <f t="shared" si="0"/>
        <v>20.178803730647662</v>
      </c>
      <c r="F2" s="191">
        <f t="shared" si="0"/>
        <v>20.178803730647662</v>
      </c>
      <c r="G2" s="191">
        <f t="shared" si="0"/>
        <v>20.178803730647662</v>
      </c>
      <c r="H2" s="191">
        <f t="shared" si="0"/>
        <v>20.178803730647662</v>
      </c>
    </row>
    <row r="3" spans="1:8" ht="14.5" outlineLevel="1">
      <c r="A3" t="s">
        <v>328</v>
      </c>
      <c r="B3" s="191">
        <f>B2*COS(RADIANS(B11))*COS(RADIANS(B12))</f>
        <v>20.178803730647662</v>
      </c>
      <c r="C3" s="191">
        <f t="shared" ref="C3:H3" si="1">C2*COS(RADIANS(C11))*COS(RADIANS(C12))</f>
        <v>20.102017290305135</v>
      </c>
      <c r="D3" s="191">
        <f t="shared" si="1"/>
        <v>19.872242360453484</v>
      </c>
      <c r="E3" s="191">
        <f t="shared" si="1"/>
        <v>19.491227667050776</v>
      </c>
      <c r="F3" s="191">
        <f t="shared" si="1"/>
        <v>18.961872961976766</v>
      </c>
      <c r="G3" s="191">
        <f t="shared" si="1"/>
        <v>18.288206954170178</v>
      </c>
      <c r="H3" s="191">
        <f t="shared" si="1"/>
        <v>17.475356648721078</v>
      </c>
    </row>
    <row r="4" spans="1:8" ht="14.5" outlineLevel="1">
      <c r="A4" t="s">
        <v>329</v>
      </c>
      <c r="B4" s="191">
        <f t="shared" ref="B4" si="2">B2*SIN(RADIANS(B12))</f>
        <v>0</v>
      </c>
      <c r="C4" s="191">
        <f t="shared" ref="C4:H4" si="3">C2*SIN(RADIANS(C12))</f>
        <v>0</v>
      </c>
      <c r="D4" s="191">
        <f t="shared" si="3"/>
        <v>0</v>
      </c>
      <c r="E4" s="191">
        <f t="shared" si="3"/>
        <v>0</v>
      </c>
      <c r="F4" s="191">
        <f t="shared" si="3"/>
        <v>0</v>
      </c>
      <c r="G4" s="191">
        <f t="shared" si="3"/>
        <v>0</v>
      </c>
      <c r="H4" s="191">
        <f t="shared" si="3"/>
        <v>0</v>
      </c>
    </row>
    <row r="5" spans="1:8" ht="14.5" outlineLevel="1">
      <c r="A5" t="s">
        <v>330</v>
      </c>
      <c r="B5" s="191">
        <f t="shared" ref="B5" si="4">B2*SIN(RADIANS(B11))*COS(RADIANS(B12))</f>
        <v>0</v>
      </c>
      <c r="C5" s="191">
        <f t="shared" ref="C5:H5" si="5">C2*SIN(RADIANS(C11))*COS(RADIANS(C12))</f>
        <v>1.7586986269038125</v>
      </c>
      <c r="D5" s="191">
        <f t="shared" si="5"/>
        <v>3.5040124953256218</v>
      </c>
      <c r="E5" s="191">
        <f t="shared" si="5"/>
        <v>5.2226587128774113</v>
      </c>
      <c r="F5" s="191">
        <f t="shared" si="5"/>
        <v>6.901557344096652</v>
      </c>
      <c r="G5" s="191">
        <f t="shared" si="5"/>
        <v>8.527930956653055</v>
      </c>
      <c r="H5" s="191">
        <f t="shared" si="5"/>
        <v>10.089401865323829</v>
      </c>
    </row>
    <row r="6" spans="1:8" ht="14.5" outlineLevel="1">
      <c r="A6" t="s">
        <v>336</v>
      </c>
      <c r="B6" s="191">
        <v>1000</v>
      </c>
      <c r="C6" s="191">
        <v>1000</v>
      </c>
      <c r="D6" s="191">
        <v>1000</v>
      </c>
      <c r="E6" s="191">
        <v>1000</v>
      </c>
      <c r="F6" s="191">
        <v>1000</v>
      </c>
      <c r="G6" s="191">
        <v>1000</v>
      </c>
      <c r="H6" s="191">
        <v>1000</v>
      </c>
    </row>
    <row r="7" spans="1:8" s="284" customFormat="1" ht="14.5">
      <c r="A7" s="284" t="s">
        <v>484</v>
      </c>
      <c r="B7" s="285">
        <v>0.06</v>
      </c>
      <c r="C7" s="285">
        <v>0.06</v>
      </c>
      <c r="D7" s="285">
        <v>0.06</v>
      </c>
      <c r="E7" s="285">
        <v>0.06</v>
      </c>
      <c r="F7" s="285">
        <v>0.06</v>
      </c>
      <c r="G7" s="285">
        <v>0.06</v>
      </c>
      <c r="H7" s="285">
        <v>0.06</v>
      </c>
    </row>
    <row r="8" spans="1:8" ht="14.5">
      <c r="A8" t="s">
        <v>331</v>
      </c>
      <c r="B8" s="282">
        <f t="shared" ref="B8" si="6">B2/B9</f>
        <v>6.0000000000000005E-2</v>
      </c>
      <c r="C8" s="282">
        <f t="shared" ref="C8:H8" si="7">C2/C9</f>
        <v>6.0000000000000005E-2</v>
      </c>
      <c r="D8" s="282">
        <f t="shared" si="7"/>
        <v>6.0000000000000005E-2</v>
      </c>
      <c r="E8" s="282">
        <f t="shared" si="7"/>
        <v>6.0000000000000005E-2</v>
      </c>
      <c r="F8" s="282">
        <f t="shared" si="7"/>
        <v>6.0000000000000005E-2</v>
      </c>
      <c r="G8" s="282">
        <f t="shared" si="7"/>
        <v>6.0000000000000005E-2</v>
      </c>
      <c r="H8" s="282">
        <f t="shared" si="7"/>
        <v>6.0000000000000005E-2</v>
      </c>
    </row>
    <row r="9" spans="1:8" ht="14.5">
      <c r="A9" t="s">
        <v>485</v>
      </c>
      <c r="B9" s="191">
        <f>(SQRT(1.4*B18*287))</f>
        <v>336.31339551079435</v>
      </c>
      <c r="C9" s="191">
        <f t="shared" ref="C9:H9" si="8">(SQRT(1.4*C18*287))</f>
        <v>336.31339551079435</v>
      </c>
      <c r="D9" s="191">
        <f t="shared" si="8"/>
        <v>336.31339551079435</v>
      </c>
      <c r="E9" s="191">
        <f t="shared" si="8"/>
        <v>336.31339551079435</v>
      </c>
      <c r="F9" s="191">
        <f t="shared" si="8"/>
        <v>336.31339551079435</v>
      </c>
      <c r="G9" s="191">
        <f t="shared" si="8"/>
        <v>336.31339551079435</v>
      </c>
      <c r="H9" s="191">
        <f t="shared" si="8"/>
        <v>336.31339551079435</v>
      </c>
    </row>
    <row r="10" spans="1:8" ht="14.5">
      <c r="A10" t="s">
        <v>609</v>
      </c>
      <c r="B10" s="191">
        <f>B30</f>
        <v>226.13861176595401</v>
      </c>
      <c r="C10" s="191">
        <f t="shared" ref="C10:H10" si="9">C30</f>
        <v>226.13861176595401</v>
      </c>
      <c r="D10" s="191">
        <f t="shared" si="9"/>
        <v>226.13861176595401</v>
      </c>
      <c r="E10" s="191">
        <f t="shared" si="9"/>
        <v>226.13861176595401</v>
      </c>
      <c r="F10" s="191">
        <f t="shared" si="9"/>
        <v>226.13861176595401</v>
      </c>
      <c r="G10" s="191">
        <f t="shared" si="9"/>
        <v>226.13861176595401</v>
      </c>
      <c r="H10" s="191">
        <f t="shared" si="9"/>
        <v>226.13861176595401</v>
      </c>
    </row>
    <row r="11" spans="1:8" s="284" customFormat="1" ht="14.5">
      <c r="A11" s="284" t="s">
        <v>332</v>
      </c>
      <c r="B11" s="286">
        <v>0</v>
      </c>
      <c r="C11" s="286">
        <v>5</v>
      </c>
      <c r="D11" s="286">
        <v>10</v>
      </c>
      <c r="E11" s="286">
        <v>15</v>
      </c>
      <c r="F11" s="286">
        <v>20</v>
      </c>
      <c r="G11" s="286">
        <v>25</v>
      </c>
      <c r="H11" s="286">
        <v>30</v>
      </c>
    </row>
    <row r="12" spans="1:8" ht="14.5">
      <c r="A12" s="267" t="s">
        <v>333</v>
      </c>
      <c r="B12" s="191">
        <v>0</v>
      </c>
      <c r="C12" s="191">
        <v>0</v>
      </c>
      <c r="D12" s="191">
        <v>0</v>
      </c>
      <c r="E12" s="191">
        <v>0</v>
      </c>
      <c r="F12" s="191">
        <v>0</v>
      </c>
      <c r="G12" s="191">
        <v>0</v>
      </c>
      <c r="H12" s="191">
        <v>0</v>
      </c>
    </row>
    <row r="13" spans="1:8" ht="14.5">
      <c r="A13" t="s">
        <v>334</v>
      </c>
      <c r="B13" s="191">
        <f t="shared" ref="B13:H13" si="10">RADIANS(AoAfins)</f>
        <v>0</v>
      </c>
      <c r="C13" s="191">
        <f t="shared" si="10"/>
        <v>0</v>
      </c>
      <c r="D13" s="191">
        <f t="shared" si="10"/>
        <v>0</v>
      </c>
      <c r="E13" s="191">
        <f t="shared" si="10"/>
        <v>0</v>
      </c>
      <c r="F13" s="191">
        <f t="shared" si="10"/>
        <v>0</v>
      </c>
      <c r="G13" s="191">
        <f t="shared" si="10"/>
        <v>0</v>
      </c>
      <c r="H13" s="191">
        <f t="shared" si="10"/>
        <v>0</v>
      </c>
    </row>
    <row r="14" spans="1:8" thickBot="1">
      <c r="A14" t="s">
        <v>335</v>
      </c>
      <c r="B14" s="191">
        <f t="shared" ref="B14:H14" si="11">RADIANS(AoSfins)</f>
        <v>0</v>
      </c>
      <c r="C14" s="191">
        <f t="shared" si="11"/>
        <v>0</v>
      </c>
      <c r="D14" s="191">
        <f t="shared" si="11"/>
        <v>0</v>
      </c>
      <c r="E14" s="191">
        <f t="shared" si="11"/>
        <v>0</v>
      </c>
      <c r="F14" s="191">
        <f t="shared" si="11"/>
        <v>0</v>
      </c>
      <c r="G14" s="191">
        <f t="shared" si="11"/>
        <v>0</v>
      </c>
      <c r="H14" s="191">
        <f t="shared" si="11"/>
        <v>0</v>
      </c>
    </row>
    <row r="15" spans="1:8" thickBot="1">
      <c r="A15" s="268" t="s">
        <v>486</v>
      </c>
    </row>
    <row r="16" spans="1:8" ht="14.5" hidden="1" outlineLevel="1">
      <c r="A16" t="s">
        <v>348</v>
      </c>
      <c r="B16" s="191">
        <f>101325*(B18/288.08)^5.256</f>
        <v>89737.544351569042</v>
      </c>
      <c r="C16" s="191">
        <f t="shared" ref="C16:H16" si="12">101325*(C18/288.08)^5.256</f>
        <v>89737.544351569042</v>
      </c>
      <c r="D16" s="191">
        <f t="shared" si="12"/>
        <v>89737.544351569042</v>
      </c>
      <c r="E16" s="191">
        <f t="shared" si="12"/>
        <v>89737.544351569042</v>
      </c>
      <c r="F16" s="191">
        <f t="shared" si="12"/>
        <v>89737.544351569042</v>
      </c>
      <c r="G16" s="191">
        <f t="shared" si="12"/>
        <v>89737.544351569042</v>
      </c>
      <c r="H16" s="191">
        <f t="shared" si="12"/>
        <v>89737.544351569042</v>
      </c>
    </row>
    <row r="17" spans="1:8" ht="14.5" hidden="1" outlineLevel="1">
      <c r="A17" t="s">
        <v>337</v>
      </c>
      <c r="B17" s="191">
        <f t="shared" ref="B17" si="13">B16/(287*B18)</f>
        <v>1.1107437675415928</v>
      </c>
      <c r="C17" s="191">
        <f t="shared" ref="C17:H17" si="14">C16/(287*C18)</f>
        <v>1.1107437675415928</v>
      </c>
      <c r="D17" s="191">
        <f t="shared" si="14"/>
        <v>1.1107437675415928</v>
      </c>
      <c r="E17" s="191">
        <f t="shared" si="14"/>
        <v>1.1107437675415928</v>
      </c>
      <c r="F17" s="191">
        <f t="shared" si="14"/>
        <v>1.1107437675415928</v>
      </c>
      <c r="G17" s="191">
        <f t="shared" si="14"/>
        <v>1.1107437675415928</v>
      </c>
      <c r="H17" s="191">
        <f t="shared" si="14"/>
        <v>1.1107437675415928</v>
      </c>
    </row>
    <row r="18" spans="1:8" ht="14.5" hidden="1" outlineLevel="1">
      <c r="A18" t="s">
        <v>338</v>
      </c>
      <c r="B18" s="191">
        <f>(15-0.0065*B6)+273</f>
        <v>281.5</v>
      </c>
      <c r="C18" s="191">
        <f t="shared" ref="C18:H18" si="15">(15-0.0065*C6)+273</f>
        <v>281.5</v>
      </c>
      <c r="D18" s="191">
        <f t="shared" si="15"/>
        <v>281.5</v>
      </c>
      <c r="E18" s="191">
        <f t="shared" si="15"/>
        <v>281.5</v>
      </c>
      <c r="F18" s="191">
        <f t="shared" si="15"/>
        <v>281.5</v>
      </c>
      <c r="G18" s="191">
        <f t="shared" si="15"/>
        <v>281.5</v>
      </c>
      <c r="H18" s="191">
        <f t="shared" si="15"/>
        <v>281.5</v>
      </c>
    </row>
    <row r="19" spans="1:8" ht="14.5" hidden="1" outlineLevel="1">
      <c r="A19" t="s">
        <v>483</v>
      </c>
      <c r="B19" s="191">
        <f>B18-273</f>
        <v>8.5</v>
      </c>
      <c r="C19" s="191">
        <f t="shared" ref="C19:H19" si="16">C18-273</f>
        <v>8.5</v>
      </c>
      <c r="D19" s="191">
        <f t="shared" si="16"/>
        <v>8.5</v>
      </c>
      <c r="E19" s="191">
        <f t="shared" si="16"/>
        <v>8.5</v>
      </c>
      <c r="F19" s="191">
        <f t="shared" si="16"/>
        <v>8.5</v>
      </c>
      <c r="G19" s="191">
        <f t="shared" si="16"/>
        <v>8.5</v>
      </c>
      <c r="H19" s="191">
        <f t="shared" si="16"/>
        <v>8.5</v>
      </c>
    </row>
    <row r="20" spans="1:8" ht="14.5" hidden="1" outlineLevel="1">
      <c r="A20" t="s">
        <v>339</v>
      </c>
      <c r="B20" s="186">
        <f>(1.76*10^-5)*((B18/273)^(3/2))*((273+110)/(B18+110))</f>
        <v>1.8028238864608104E-5</v>
      </c>
      <c r="C20" s="186">
        <f t="shared" ref="C20:H20" si="17">(1.76*10^-5)*((C18/273)^(3/2))*((273+110)/(C18+110))</f>
        <v>1.8028238864608104E-5</v>
      </c>
      <c r="D20" s="186">
        <f t="shared" si="17"/>
        <v>1.8028238864608104E-5</v>
      </c>
      <c r="E20" s="186">
        <f t="shared" si="17"/>
        <v>1.8028238864608104E-5</v>
      </c>
      <c r="F20" s="186">
        <f t="shared" si="17"/>
        <v>1.8028238864608104E-5</v>
      </c>
      <c r="G20" s="186">
        <f t="shared" si="17"/>
        <v>1.8028238864608104E-5</v>
      </c>
      <c r="H20" s="186">
        <f t="shared" si="17"/>
        <v>1.8028238864608104E-5</v>
      </c>
    </row>
    <row r="21" spans="1:8" ht="14.5" hidden="1" outlineLevel="1">
      <c r="A21" t="s">
        <v>340</v>
      </c>
      <c r="B21" s="186">
        <f t="shared" ref="B21" si="18">B20/B17</f>
        <v>1.6230781023880937E-5</v>
      </c>
      <c r="C21" s="186">
        <f t="shared" ref="C21:H21" si="19">C20/C17</f>
        <v>1.6230781023880937E-5</v>
      </c>
      <c r="D21" s="186">
        <f t="shared" si="19"/>
        <v>1.6230781023880937E-5</v>
      </c>
      <c r="E21" s="186">
        <f t="shared" si="19"/>
        <v>1.6230781023880937E-5</v>
      </c>
      <c r="F21" s="186">
        <f t="shared" si="19"/>
        <v>1.6230781023880937E-5</v>
      </c>
      <c r="G21" s="186">
        <f t="shared" si="19"/>
        <v>1.6230781023880937E-5</v>
      </c>
      <c r="H21" s="186">
        <f t="shared" si="19"/>
        <v>1.6230781023880937E-5</v>
      </c>
    </row>
    <row r="22" spans="1:8" ht="14.5" hidden="1" outlineLevel="1">
      <c r="A22" t="s">
        <v>341</v>
      </c>
      <c r="B22" s="191">
        <v>9</v>
      </c>
      <c r="C22" s="191">
        <v>9</v>
      </c>
      <c r="D22" s="191">
        <v>9</v>
      </c>
      <c r="E22" s="191">
        <v>9</v>
      </c>
      <c r="F22" s="191">
        <v>9</v>
      </c>
      <c r="G22" s="191">
        <v>9</v>
      </c>
      <c r="H22" s="191">
        <v>9</v>
      </c>
    </row>
    <row r="23" spans="1:8" ht="14.5" hidden="1" outlineLevel="1">
      <c r="A23" t="s">
        <v>349</v>
      </c>
    </row>
    <row r="24" spans="1:8" ht="14.5" hidden="1" outlineLevel="1">
      <c r="A24" t="s">
        <v>350</v>
      </c>
    </row>
    <row r="25" spans="1:8" ht="14.5" hidden="1" outlineLevel="1">
      <c r="A25" t="s">
        <v>351</v>
      </c>
    </row>
    <row r="26" spans="1:8" ht="14.5" hidden="1" outlineLevel="1">
      <c r="A26" t="s">
        <v>342</v>
      </c>
      <c r="B26" s="191">
        <f>DEGREES(ATAN((B5+B22)/B3))</f>
        <v>24.03747188509357</v>
      </c>
      <c r="C26" s="191">
        <f t="shared" ref="C26:H26" si="20">DEGREES(ATAN((C5+C22)/C3))</f>
        <v>28.155908896519989</v>
      </c>
      <c r="D26" s="191">
        <f t="shared" si="20"/>
        <v>32.178924018068535</v>
      </c>
      <c r="E26" s="191">
        <f t="shared" si="20"/>
        <v>36.118056468019191</v>
      </c>
      <c r="F26" s="191">
        <f t="shared" si="20"/>
        <v>39.983428822881478</v>
      </c>
      <c r="G26" s="191">
        <f t="shared" si="20"/>
        <v>43.783954174819584</v>
      </c>
      <c r="H26" s="191">
        <f t="shared" si="20"/>
        <v>47.527515222827219</v>
      </c>
    </row>
    <row r="27" spans="1:8" ht="14.5" hidden="1" outlineLevel="1">
      <c r="A27" t="s">
        <v>343</v>
      </c>
      <c r="B27" s="191">
        <f>DEGREES(ATAN((B4+B22)/B3))</f>
        <v>24.03747188509357</v>
      </c>
      <c r="C27" s="191">
        <f t="shared" ref="C27:H27" si="21">DEGREES(ATAN((C4+C22)/C3))</f>
        <v>24.118838518246619</v>
      </c>
      <c r="D27" s="191">
        <f t="shared" si="21"/>
        <v>24.36544067714291</v>
      </c>
      <c r="E27" s="191">
        <f t="shared" si="21"/>
        <v>24.784951380947714</v>
      </c>
      <c r="F27" s="191">
        <f t="shared" si="21"/>
        <v>25.390730097955164</v>
      </c>
      <c r="G27" s="191">
        <f t="shared" si="21"/>
        <v>26.202740486476863</v>
      </c>
      <c r="H27" s="191">
        <f t="shared" si="21"/>
        <v>27.24896321996237</v>
      </c>
    </row>
    <row r="28" spans="1:8" ht="14.5" hidden="1" outlineLevel="1">
      <c r="A28" t="s">
        <v>344</v>
      </c>
      <c r="B28" s="191">
        <f t="shared" ref="B28:B29" si="22">RADIANS(B26)</f>
        <v>0.41953302825045086</v>
      </c>
      <c r="C28" s="191">
        <f t="shared" ref="C28:H28" si="23">RADIANS(C26)</f>
        <v>0.49141331413583722</v>
      </c>
      <c r="D28" s="191">
        <f t="shared" si="23"/>
        <v>0.56162817386437924</v>
      </c>
      <c r="E28" s="191">
        <f t="shared" si="23"/>
        <v>0.63037900478816888</v>
      </c>
      <c r="F28" s="191">
        <f t="shared" si="23"/>
        <v>0.69784247919608244</v>
      </c>
      <c r="G28" s="191">
        <f t="shared" si="23"/>
        <v>0.7641741598929187</v>
      </c>
      <c r="H28" s="191">
        <f t="shared" si="23"/>
        <v>0.82951162593006145</v>
      </c>
    </row>
    <row r="29" spans="1:8" ht="14.5" hidden="1" outlineLevel="1">
      <c r="A29" t="s">
        <v>345</v>
      </c>
      <c r="B29" s="191">
        <f t="shared" si="22"/>
        <v>0.41953302825045086</v>
      </c>
      <c r="C29" s="191">
        <f t="shared" ref="C29:H29" si="24">RADIANS(C27)</f>
        <v>0.42095314390023397</v>
      </c>
      <c r="D29" s="191">
        <f t="shared" si="24"/>
        <v>0.42525716351550047</v>
      </c>
      <c r="E29" s="191">
        <f t="shared" si="24"/>
        <v>0.43257900654425296</v>
      </c>
      <c r="F29" s="191">
        <f t="shared" si="24"/>
        <v>0.44315183969453997</v>
      </c>
      <c r="G29" s="191">
        <f t="shared" si="24"/>
        <v>0.45732409453464196</v>
      </c>
      <c r="H29" s="191">
        <f t="shared" si="24"/>
        <v>0.47558412594317923</v>
      </c>
    </row>
    <row r="30" spans="1:8" ht="14.5" hidden="1" outlineLevel="1">
      <c r="A30" s="266" t="s">
        <v>346</v>
      </c>
      <c r="B30" s="314">
        <f>0.5*B17*B2^2</f>
        <v>226.13861176595401</v>
      </c>
      <c r="C30" s="314">
        <f t="shared" ref="C30:H30" si="25">0.5*C17*C2^2</f>
        <v>226.13861176595401</v>
      </c>
      <c r="D30" s="314">
        <f t="shared" si="25"/>
        <v>226.13861176595401</v>
      </c>
      <c r="E30" s="314">
        <f t="shared" si="25"/>
        <v>226.13861176595401</v>
      </c>
      <c r="F30" s="314">
        <f t="shared" si="25"/>
        <v>226.13861176595401</v>
      </c>
      <c r="G30" s="314">
        <f t="shared" si="25"/>
        <v>226.13861176595401</v>
      </c>
      <c r="H30" s="314">
        <f t="shared" si="25"/>
        <v>226.13861176595401</v>
      </c>
    </row>
    <row r="31" spans="1:8" ht="14.5" hidden="1" outlineLevel="1">
      <c r="A31" t="s">
        <v>347</v>
      </c>
      <c r="B31" s="191">
        <f t="shared" ref="B31:H31" si="26">CrossSecAreaRocket</f>
        <v>6.2265482457436686E-3</v>
      </c>
      <c r="C31" s="191">
        <f t="shared" si="26"/>
        <v>6.2265482457436686E-3</v>
      </c>
      <c r="D31" s="191">
        <f t="shared" si="26"/>
        <v>6.2265482457436686E-3</v>
      </c>
      <c r="E31" s="191">
        <f t="shared" si="26"/>
        <v>6.2265482457436686E-3</v>
      </c>
      <c r="F31" s="191">
        <f t="shared" si="26"/>
        <v>6.2265482457436686E-3</v>
      </c>
      <c r="G31" s="191">
        <f t="shared" si="26"/>
        <v>6.2265482457436686E-3</v>
      </c>
      <c r="H31" s="191">
        <f t="shared" si="26"/>
        <v>6.2265482457436686E-3</v>
      </c>
    </row>
    <row r="32" spans="1:8" ht="15" customHeight="1" collapsed="1" thickBot="1"/>
    <row r="33" spans="1:11" thickBot="1">
      <c r="A33" s="309" t="s">
        <v>567</v>
      </c>
    </row>
    <row r="34" spans="1:11" ht="14.5" outlineLevel="1">
      <c r="A34" t="s">
        <v>353</v>
      </c>
      <c r="B34" s="191">
        <f t="shared" ref="B34:H34" si="27">DiameterRocket</f>
        <v>8</v>
      </c>
      <c r="C34" s="191">
        <f t="shared" si="27"/>
        <v>8</v>
      </c>
      <c r="D34" s="191">
        <f t="shared" si="27"/>
        <v>8</v>
      </c>
      <c r="E34" s="191">
        <f t="shared" si="27"/>
        <v>8</v>
      </c>
      <c r="F34" s="191">
        <f t="shared" si="27"/>
        <v>8</v>
      </c>
      <c r="G34" s="191">
        <f t="shared" si="27"/>
        <v>8</v>
      </c>
      <c r="H34" s="191">
        <f t="shared" si="27"/>
        <v>8</v>
      </c>
    </row>
    <row r="35" spans="1:11" ht="14.5" outlineLevel="1">
      <c r="A35" t="s">
        <v>354</v>
      </c>
      <c r="B35" s="191">
        <f t="shared" ref="B35" si="28">B34/100</f>
        <v>0.08</v>
      </c>
      <c r="C35" s="191">
        <f t="shared" ref="C35:H35" si="29">C34/100</f>
        <v>0.08</v>
      </c>
      <c r="D35" s="191">
        <f t="shared" si="29"/>
        <v>0.08</v>
      </c>
      <c r="E35" s="191">
        <f t="shared" si="29"/>
        <v>0.08</v>
      </c>
      <c r="F35" s="191">
        <f t="shared" si="29"/>
        <v>0.08</v>
      </c>
      <c r="G35" s="191">
        <f t="shared" si="29"/>
        <v>0.08</v>
      </c>
      <c r="H35" s="191">
        <f t="shared" si="29"/>
        <v>0.08</v>
      </c>
    </row>
    <row r="36" spans="1:11" ht="14.5" outlineLevel="1">
      <c r="A36" s="311" t="s">
        <v>580</v>
      </c>
      <c r="B36" s="261">
        <v>15</v>
      </c>
      <c r="C36" s="261">
        <v>15</v>
      </c>
      <c r="D36" s="261">
        <v>15</v>
      </c>
      <c r="E36" s="261">
        <v>15</v>
      </c>
      <c r="F36" s="261">
        <v>15</v>
      </c>
      <c r="G36" s="261">
        <v>15</v>
      </c>
      <c r="H36" s="261">
        <v>15</v>
      </c>
    </row>
    <row r="37" spans="1:11" ht="14.5" outlineLevel="1">
      <c r="A37" t="s">
        <v>356</v>
      </c>
      <c r="B37" s="191">
        <f>B36/100</f>
        <v>0.15</v>
      </c>
      <c r="C37" s="191">
        <f t="shared" ref="C37:H37" si="30">C36/100</f>
        <v>0.15</v>
      </c>
      <c r="D37" s="191">
        <f t="shared" si="30"/>
        <v>0.15</v>
      </c>
      <c r="E37" s="191">
        <f t="shared" si="30"/>
        <v>0.15</v>
      </c>
      <c r="F37" s="191">
        <f t="shared" si="30"/>
        <v>0.15</v>
      </c>
      <c r="G37" s="191">
        <f t="shared" si="30"/>
        <v>0.15</v>
      </c>
      <c r="H37" s="191">
        <f t="shared" si="30"/>
        <v>0.15</v>
      </c>
    </row>
    <row r="38" spans="1:11" ht="14.5" outlineLevel="1">
      <c r="A38" t="s">
        <v>575</v>
      </c>
      <c r="B38" s="191">
        <f>B36/B34</f>
        <v>1.875</v>
      </c>
      <c r="C38" s="191">
        <f t="shared" ref="C38:H38" si="31">C36/C34</f>
        <v>1.875</v>
      </c>
      <c r="D38" s="191">
        <f t="shared" si="31"/>
        <v>1.875</v>
      </c>
      <c r="E38" s="191">
        <f t="shared" si="31"/>
        <v>1.875</v>
      </c>
      <c r="F38" s="191">
        <f t="shared" si="31"/>
        <v>1.875</v>
      </c>
      <c r="G38" s="191">
        <f t="shared" si="31"/>
        <v>1.875</v>
      </c>
      <c r="H38" s="191">
        <f t="shared" si="31"/>
        <v>1.875</v>
      </c>
    </row>
    <row r="39" spans="1:11" ht="14.5" outlineLevel="1">
      <c r="A39" s="311" t="s">
        <v>576</v>
      </c>
      <c r="B39" s="191">
        <v>80</v>
      </c>
      <c r="C39" s="191">
        <v>80</v>
      </c>
      <c r="D39" s="191">
        <v>80</v>
      </c>
      <c r="E39" s="191">
        <v>80</v>
      </c>
      <c r="F39" s="191">
        <v>80</v>
      </c>
      <c r="G39" s="191">
        <v>80</v>
      </c>
      <c r="H39" s="191">
        <v>80</v>
      </c>
    </row>
    <row r="40" spans="1:11" ht="14.5" outlineLevel="1">
      <c r="A40" t="s">
        <v>356</v>
      </c>
      <c r="B40" s="191">
        <f>B39/100</f>
        <v>0.8</v>
      </c>
      <c r="C40" s="191">
        <f t="shared" ref="C40:H40" si="32">C39/100</f>
        <v>0.8</v>
      </c>
      <c r="D40" s="191">
        <f t="shared" si="32"/>
        <v>0.8</v>
      </c>
      <c r="E40" s="191">
        <f t="shared" si="32"/>
        <v>0.8</v>
      </c>
      <c r="F40" s="191">
        <f t="shared" si="32"/>
        <v>0.8</v>
      </c>
      <c r="G40" s="191">
        <f t="shared" si="32"/>
        <v>0.8</v>
      </c>
      <c r="H40" s="191">
        <f t="shared" si="32"/>
        <v>0.8</v>
      </c>
    </row>
    <row r="41" spans="1:11" ht="14.5" outlineLevel="1">
      <c r="A41" s="311" t="s">
        <v>577</v>
      </c>
      <c r="B41" s="191">
        <v>0</v>
      </c>
      <c r="C41" s="191">
        <v>0</v>
      </c>
      <c r="D41" s="191">
        <v>0</v>
      </c>
      <c r="E41" s="191">
        <v>0</v>
      </c>
      <c r="F41" s="191">
        <v>0</v>
      </c>
      <c r="G41" s="191">
        <v>0</v>
      </c>
      <c r="H41" s="191">
        <v>0</v>
      </c>
    </row>
    <row r="42" spans="1:11" ht="14.5" outlineLevel="1">
      <c r="A42" t="s">
        <v>356</v>
      </c>
      <c r="B42" s="191">
        <f>B41/100</f>
        <v>0</v>
      </c>
      <c r="C42" s="191">
        <f t="shared" ref="C42:H42" si="33">C41/100</f>
        <v>0</v>
      </c>
      <c r="D42" s="191">
        <f t="shared" si="33"/>
        <v>0</v>
      </c>
      <c r="E42" s="191">
        <f t="shared" si="33"/>
        <v>0</v>
      </c>
      <c r="F42" s="191">
        <f t="shared" si="33"/>
        <v>0</v>
      </c>
      <c r="G42" s="191">
        <f t="shared" si="33"/>
        <v>0</v>
      </c>
      <c r="H42" s="191">
        <f t="shared" si="33"/>
        <v>0</v>
      </c>
    </row>
    <row r="43" spans="1:11" ht="14.5" outlineLevel="1">
      <c r="A43" s="311" t="s">
        <v>578</v>
      </c>
      <c r="B43" s="191">
        <v>0</v>
      </c>
      <c r="C43" s="191">
        <v>0</v>
      </c>
      <c r="D43" s="191">
        <v>0</v>
      </c>
      <c r="E43" s="191">
        <v>0</v>
      </c>
      <c r="F43" s="191">
        <v>0</v>
      </c>
      <c r="G43" s="191">
        <v>0</v>
      </c>
      <c r="H43" s="191">
        <v>0</v>
      </c>
    </row>
    <row r="44" spans="1:11" ht="14.5" outlineLevel="1">
      <c r="A44" t="s">
        <v>356</v>
      </c>
      <c r="B44" s="191">
        <f>B43/100</f>
        <v>0</v>
      </c>
      <c r="C44" s="191">
        <f t="shared" ref="C44:H44" si="34">C43/100</f>
        <v>0</v>
      </c>
      <c r="D44" s="191">
        <f t="shared" si="34"/>
        <v>0</v>
      </c>
      <c r="E44" s="191">
        <f t="shared" si="34"/>
        <v>0</v>
      </c>
      <c r="F44" s="191">
        <f t="shared" si="34"/>
        <v>0</v>
      </c>
      <c r="G44" s="191">
        <f t="shared" si="34"/>
        <v>0</v>
      </c>
      <c r="H44" s="191">
        <f t="shared" si="34"/>
        <v>0</v>
      </c>
    </row>
    <row r="45" spans="1:11" ht="14.5" outlineLevel="1">
      <c r="A45" s="310" t="s">
        <v>579</v>
      </c>
      <c r="B45" s="191">
        <f>B36+B39+B41</f>
        <v>95</v>
      </c>
      <c r="C45" s="191">
        <f t="shared" ref="C45:H45" si="35">C36+C39+C41</f>
        <v>95</v>
      </c>
      <c r="D45" s="191">
        <f t="shared" si="35"/>
        <v>95</v>
      </c>
      <c r="E45" s="191">
        <f t="shared" si="35"/>
        <v>95</v>
      </c>
      <c r="F45" s="191">
        <f t="shared" si="35"/>
        <v>95</v>
      </c>
      <c r="G45" s="191">
        <f t="shared" si="35"/>
        <v>95</v>
      </c>
      <c r="H45" s="191">
        <f t="shared" si="35"/>
        <v>95</v>
      </c>
      <c r="K45" s="310"/>
    </row>
    <row r="46" spans="1:11" ht="14.5" outlineLevel="1">
      <c r="A46" t="s">
        <v>356</v>
      </c>
      <c r="B46" s="191">
        <f>B45/100</f>
        <v>0.95</v>
      </c>
      <c r="C46" s="191">
        <f t="shared" ref="C46:H46" si="36">C45/100</f>
        <v>0.95</v>
      </c>
      <c r="D46" s="191">
        <f t="shared" si="36"/>
        <v>0.95</v>
      </c>
      <c r="E46" s="191">
        <f t="shared" si="36"/>
        <v>0.95</v>
      </c>
      <c r="F46" s="191">
        <f t="shared" si="36"/>
        <v>0.95</v>
      </c>
      <c r="G46" s="191">
        <f t="shared" si="36"/>
        <v>0.95</v>
      </c>
      <c r="H46" s="191">
        <f t="shared" si="36"/>
        <v>0.95</v>
      </c>
    </row>
    <row r="47" spans="1:11" ht="14.5" outlineLevel="1">
      <c r="A47" t="s">
        <v>610</v>
      </c>
      <c r="B47" s="191">
        <f>CrossSecAreaRocket</f>
        <v>6.2265482457436686E-3</v>
      </c>
      <c r="C47" s="191">
        <f>CrossSecAreaRocket</f>
        <v>6.2265482457436686E-3</v>
      </c>
      <c r="D47" s="191">
        <f>CrossSecAreaRocket</f>
        <v>6.2265482457436686E-3</v>
      </c>
      <c r="E47" s="191">
        <f>CrossSecAreaRocket</f>
        <v>6.2265482457436686E-3</v>
      </c>
      <c r="F47" s="191">
        <f>CrossSecAreaRocket</f>
        <v>6.2265482457436686E-3</v>
      </c>
      <c r="G47" s="191">
        <f>CrossSecAreaRocket</f>
        <v>6.2265482457436686E-3</v>
      </c>
      <c r="H47" s="191">
        <f>CrossSecAreaRocket</f>
        <v>6.2265482457436686E-3</v>
      </c>
    </row>
    <row r="48" spans="1:11" ht="14.5" outlineLevel="1"/>
    <row r="49" spans="1:8" ht="14.5">
      <c r="A49" s="265" t="s">
        <v>373</v>
      </c>
    </row>
    <row r="50" spans="1:8" ht="14.5">
      <c r="A50" t="s">
        <v>378</v>
      </c>
      <c r="B50" s="186">
        <f>(B17*B3*B45)/B20</f>
        <v>118108078.19974875</v>
      </c>
      <c r="C50" s="186">
        <f t="shared" ref="C50:H50" si="37">(C17*C3*C45)/C20</f>
        <v>117658641.30439499</v>
      </c>
      <c r="D50" s="186">
        <f t="shared" si="37"/>
        <v>116313751.10448471</v>
      </c>
      <c r="E50" s="186">
        <f t="shared" si="37"/>
        <v>114083643.0265062</v>
      </c>
      <c r="F50" s="186">
        <f t="shared" si="37"/>
        <v>110985289.53950889</v>
      </c>
      <c r="G50" s="186">
        <f t="shared" si="37"/>
        <v>107042270.9843659</v>
      </c>
      <c r="H50" s="186">
        <f t="shared" si="37"/>
        <v>102284596.11314146</v>
      </c>
    </row>
    <row r="51" spans="1:8" ht="14.5">
      <c r="A51" t="s">
        <v>379</v>
      </c>
      <c r="B51" s="186">
        <f>(B17*B3*B40)/B20</f>
        <v>994594.34273472626</v>
      </c>
      <c r="C51" s="186">
        <f t="shared" ref="C51:H51" si="38">(C17*C3*C40)/C20</f>
        <v>990809.61098437873</v>
      </c>
      <c r="D51" s="186">
        <f t="shared" si="38"/>
        <v>979484.21982723975</v>
      </c>
      <c r="E51" s="186">
        <f t="shared" si="38"/>
        <v>960704.36232847336</v>
      </c>
      <c r="F51" s="186">
        <f t="shared" si="38"/>
        <v>934612.96454323293</v>
      </c>
      <c r="G51" s="186">
        <f t="shared" si="38"/>
        <v>901408.5977630812</v>
      </c>
      <c r="H51" s="186">
        <f t="shared" si="38"/>
        <v>861343.96726855973</v>
      </c>
    </row>
    <row r="52" spans="1:8" s="274" customFormat="1" ht="14.5">
      <c r="A52" s="275" t="s">
        <v>488</v>
      </c>
      <c r="B52" s="277">
        <v>2.1985695237376403E-2</v>
      </c>
      <c r="C52" s="277">
        <v>2.1985695237376403E-2</v>
      </c>
      <c r="D52" s="277">
        <v>2.1985695237376403E-2</v>
      </c>
      <c r="E52" s="277">
        <v>2.1985695237376403E-2</v>
      </c>
      <c r="F52" s="277">
        <v>2.1985695237376403E-2</v>
      </c>
      <c r="G52" s="277">
        <v>2.1985695237376403E-2</v>
      </c>
      <c r="H52" s="277">
        <v>2.1985695237376403E-2</v>
      </c>
    </row>
    <row r="53" spans="1:8" ht="14.5">
      <c r="A53" s="275" t="s">
        <v>489</v>
      </c>
      <c r="B53" s="186">
        <f>B52/1000</f>
        <v>2.1985695237376404E-5</v>
      </c>
      <c r="C53" s="186">
        <f t="shared" ref="C53:H53" si="39">C52/1000</f>
        <v>2.1985695237376404E-5</v>
      </c>
      <c r="D53" s="186">
        <f t="shared" si="39"/>
        <v>2.1985695237376404E-5</v>
      </c>
      <c r="E53" s="186">
        <f t="shared" si="39"/>
        <v>2.1985695237376404E-5</v>
      </c>
      <c r="F53" s="186">
        <f t="shared" si="39"/>
        <v>2.1985695237376404E-5</v>
      </c>
      <c r="G53" s="186">
        <f t="shared" si="39"/>
        <v>2.1985695237376404E-5</v>
      </c>
      <c r="H53" s="186">
        <f t="shared" si="39"/>
        <v>2.1985695237376404E-5</v>
      </c>
    </row>
    <row r="54" spans="1:8" ht="14.5">
      <c r="A54" t="s">
        <v>490</v>
      </c>
      <c r="B54" s="191">
        <f>(B53*B3)/B20</f>
        <v>24.608339861071471</v>
      </c>
      <c r="C54" s="191">
        <f t="shared" ref="C54:H54" si="40">(C53*C3)/C20</f>
        <v>24.514697698439161</v>
      </c>
      <c r="D54" s="191">
        <f t="shared" si="40"/>
        <v>24.234483883942548</v>
      </c>
      <c r="E54" s="191">
        <f t="shared" si="40"/>
        <v>23.769831013907677</v>
      </c>
      <c r="F54" s="191">
        <f t="shared" si="40"/>
        <v>23.12427537724059</v>
      </c>
      <c r="G54" s="191">
        <f t="shared" si="40"/>
        <v>22.302730042133469</v>
      </c>
      <c r="H54" s="191">
        <f t="shared" si="40"/>
        <v>21.311447464649117</v>
      </c>
    </row>
    <row r="55" spans="1:8" s="187" customFormat="1" ht="14.5">
      <c r="A55" s="292" t="s">
        <v>582</v>
      </c>
      <c r="B55" s="278">
        <f>B67</f>
        <v>1.0316932751574128</v>
      </c>
      <c r="C55" s="278">
        <f t="shared" ref="C55:H55" si="41">C67</f>
        <v>1.0277673707687229</v>
      </c>
      <c r="D55" s="278">
        <f t="shared" si="41"/>
        <v>1.0160195361055775</v>
      </c>
      <c r="E55" s="278">
        <f t="shared" si="41"/>
        <v>0.99653917928329905</v>
      </c>
      <c r="F55" s="278">
        <f t="shared" si="41"/>
        <v>0.96947455757986667</v>
      </c>
      <c r="G55" s="278">
        <f t="shared" si="41"/>
        <v>0.93503164910850844</v>
      </c>
      <c r="H55" s="278">
        <f t="shared" si="41"/>
        <v>0.89347258519988837</v>
      </c>
    </row>
    <row r="56" spans="1:8" ht="14.5">
      <c r="A56" s="271" t="s">
        <v>527</v>
      </c>
      <c r="B56" s="191">
        <f>B46/$A61</f>
        <v>0.19</v>
      </c>
      <c r="C56" s="191">
        <f t="shared" ref="C56:H56" si="42">C46/$A61</f>
        <v>0.19</v>
      </c>
      <c r="D56" s="191">
        <f t="shared" si="42"/>
        <v>0.19</v>
      </c>
      <c r="E56" s="191">
        <f t="shared" si="42"/>
        <v>0.19</v>
      </c>
      <c r="F56" s="191">
        <f t="shared" si="42"/>
        <v>0.19</v>
      </c>
      <c r="G56" s="191">
        <f t="shared" si="42"/>
        <v>0.19</v>
      </c>
      <c r="H56" s="191">
        <f t="shared" si="42"/>
        <v>0.19</v>
      </c>
    </row>
    <row r="57" spans="1:8" ht="14.5" hidden="1" outlineLevel="1">
      <c r="A57">
        <v>1</v>
      </c>
      <c r="B57" s="186">
        <f>(B$17*B$3*($A57*B$56))/B$20</f>
        <v>236216.1563994975</v>
      </c>
      <c r="C57" s="186">
        <f t="shared" ref="C57:H61" si="43">(C$17*C$3*($A57*C$56))/C$20</f>
        <v>235317.28260878994</v>
      </c>
      <c r="D57" s="186">
        <f t="shared" si="43"/>
        <v>232627.50220896944</v>
      </c>
      <c r="E57" s="186">
        <f t="shared" si="43"/>
        <v>228167.28605301242</v>
      </c>
      <c r="F57" s="186">
        <f t="shared" si="43"/>
        <v>221970.5790790178</v>
      </c>
      <c r="G57" s="186">
        <f t="shared" si="43"/>
        <v>214084.54196873176</v>
      </c>
      <c r="H57" s="186">
        <f t="shared" si="43"/>
        <v>204569.19222628293</v>
      </c>
    </row>
    <row r="58" spans="1:8" ht="14.5" hidden="1" outlineLevel="1">
      <c r="A58">
        <v>2</v>
      </c>
      <c r="B58" s="186">
        <f>(B$17*B$3*($A58*B$56))/B$20</f>
        <v>472432.312798995</v>
      </c>
      <c r="C58" s="186">
        <f t="shared" si="43"/>
        <v>470634.56521757989</v>
      </c>
      <c r="D58" s="186">
        <f t="shared" si="43"/>
        <v>465255.00441793888</v>
      </c>
      <c r="E58" s="186">
        <f t="shared" si="43"/>
        <v>456334.57210602483</v>
      </c>
      <c r="F58" s="186">
        <f t="shared" si="43"/>
        <v>443941.1581580356</v>
      </c>
      <c r="G58" s="186">
        <f t="shared" si="43"/>
        <v>428169.08393746353</v>
      </c>
      <c r="H58" s="186">
        <f t="shared" si="43"/>
        <v>409138.38445256586</v>
      </c>
    </row>
    <row r="59" spans="1:8" ht="14.5" hidden="1" outlineLevel="1">
      <c r="A59">
        <v>3</v>
      </c>
      <c r="B59" s="186">
        <f>(B$17*B$3*($A59*B$56))/B$20</f>
        <v>708648.46919849259</v>
      </c>
      <c r="C59" s="186">
        <f t="shared" si="43"/>
        <v>705951.84782636992</v>
      </c>
      <c r="D59" s="186">
        <f t="shared" si="43"/>
        <v>697882.50662690832</v>
      </c>
      <c r="E59" s="186">
        <f t="shared" si="43"/>
        <v>684501.85815903719</v>
      </c>
      <c r="F59" s="186">
        <f t="shared" si="43"/>
        <v>665911.73723705346</v>
      </c>
      <c r="G59" s="186">
        <f t="shared" si="43"/>
        <v>642253.62590619538</v>
      </c>
      <c r="H59" s="186">
        <f t="shared" si="43"/>
        <v>613707.57667884883</v>
      </c>
    </row>
    <row r="60" spans="1:8" ht="14.5" hidden="1" outlineLevel="1">
      <c r="A60">
        <v>4</v>
      </c>
      <c r="B60" s="186">
        <f>(B$17*B$3*($A60*B$56))/B$20</f>
        <v>944864.62559799</v>
      </c>
      <c r="C60" s="186">
        <f t="shared" si="43"/>
        <v>941269.13043515978</v>
      </c>
      <c r="D60" s="186">
        <f t="shared" si="43"/>
        <v>930510.00883587776</v>
      </c>
      <c r="E60" s="186">
        <f t="shared" si="43"/>
        <v>912669.14421204966</v>
      </c>
      <c r="F60" s="186">
        <f t="shared" si="43"/>
        <v>887882.3163160712</v>
      </c>
      <c r="G60" s="186">
        <f t="shared" si="43"/>
        <v>856338.16787492705</v>
      </c>
      <c r="H60" s="186">
        <f t="shared" si="43"/>
        <v>818276.76890513173</v>
      </c>
    </row>
    <row r="61" spans="1:8" ht="14.5" hidden="1" outlineLevel="1">
      <c r="A61">
        <v>5</v>
      </c>
      <c r="B61" s="186">
        <f>(B$17*B$3*($A61*B$56))/B$20</f>
        <v>1181080.7819974874</v>
      </c>
      <c r="C61" s="186">
        <f t="shared" si="43"/>
        <v>1176586.4130439498</v>
      </c>
      <c r="D61" s="186">
        <f t="shared" si="43"/>
        <v>1163137.5110448471</v>
      </c>
      <c r="E61" s="186">
        <f t="shared" si="43"/>
        <v>1140836.430265062</v>
      </c>
      <c r="F61" s="186">
        <f t="shared" si="43"/>
        <v>1109852.8953950889</v>
      </c>
      <c r="G61" s="186">
        <f t="shared" si="43"/>
        <v>1070422.7098436588</v>
      </c>
      <c r="H61" s="186">
        <f t="shared" si="43"/>
        <v>1022845.9611314146</v>
      </c>
    </row>
    <row r="62" spans="1:8" ht="14.5" collapsed="1">
      <c r="A62" s="271" t="s">
        <v>491</v>
      </c>
      <c r="B62" s="186"/>
      <c r="C62" s="186"/>
      <c r="D62" s="186"/>
      <c r="E62" s="186"/>
      <c r="F62" s="186"/>
      <c r="G62" s="186"/>
      <c r="H62" s="186"/>
    </row>
    <row r="63" spans="1:8" ht="14.5" hidden="1" outlineLevel="1">
      <c r="A63">
        <v>1</v>
      </c>
      <c r="B63" s="186">
        <f>B$54*(SQRT(0.0576/(2*($B57^(1/5)))))</f>
        <v>1.2118464644564173</v>
      </c>
      <c r="C63" s="186">
        <f t="shared" ref="C63:H63" si="44">C$54*(SQRT(0.0576/(2*($B57^(1/5)))))</f>
        <v>1.2072350227927098</v>
      </c>
      <c r="D63" s="186">
        <f t="shared" si="44"/>
        <v>1.1934357936571129</v>
      </c>
      <c r="E63" s="186">
        <f t="shared" si="44"/>
        <v>1.1705537975155509</v>
      </c>
      <c r="F63" s="186">
        <f t="shared" si="44"/>
        <v>1.1387631801751881</v>
      </c>
      <c r="G63" s="186">
        <f t="shared" si="44"/>
        <v>1.0983058874296838</v>
      </c>
      <c r="H63" s="186">
        <f t="shared" si="44"/>
        <v>1.0494898237056132</v>
      </c>
    </row>
    <row r="64" spans="1:8" ht="14.5" hidden="1" outlineLevel="1">
      <c r="A64">
        <v>2</v>
      </c>
      <c r="B64" s="186">
        <f>B$54*(SQRT(0.0576/(2*($B58^(1/5)))))</f>
        <v>1.1306927320150744</v>
      </c>
      <c r="C64" s="186">
        <f t="shared" ref="C64:H64" si="45">C$54*(SQRT(0.0576/(2*($B58^(1/5)))))</f>
        <v>1.1263901048042879</v>
      </c>
      <c r="D64" s="186">
        <f t="shared" si="45"/>
        <v>1.1135149687630002</v>
      </c>
      <c r="E64" s="186">
        <f t="shared" si="45"/>
        <v>1.0921653114507046</v>
      </c>
      <c r="F64" s="186">
        <f t="shared" si="45"/>
        <v>1.0625036166508242</v>
      </c>
      <c r="G64" s="186">
        <f t="shared" si="45"/>
        <v>1.0247556277710059</v>
      </c>
      <c r="H64" s="186">
        <f t="shared" si="45"/>
        <v>0.97920862979948475</v>
      </c>
    </row>
    <row r="65" spans="1:8" ht="14.5" hidden="1" outlineLevel="1">
      <c r="A65">
        <v>3</v>
      </c>
      <c r="B65" s="186">
        <f>B$54*(SQRT(0.0576/(2*($B59^(1/5)))))</f>
        <v>1.0857640918578444</v>
      </c>
      <c r="C65" s="186">
        <f t="shared" ref="C65:H65" si="46">C$54*(SQRT(0.0576/(2*($B59^(1/5)))))</f>
        <v>1.0816324316871837</v>
      </c>
      <c r="D65" s="186">
        <f t="shared" si="46"/>
        <v>1.0692688956038645</v>
      </c>
      <c r="E65" s="186">
        <f t="shared" si="46"/>
        <v>1.0487675775827883</v>
      </c>
      <c r="F65" s="186">
        <f t="shared" si="46"/>
        <v>1.0202845050331297</v>
      </c>
      <c r="G65" s="186">
        <f t="shared" si="46"/>
        <v>0.98403645133554107</v>
      </c>
      <c r="H65" s="186">
        <f t="shared" si="46"/>
        <v>0.94029928606583413</v>
      </c>
    </row>
    <row r="66" spans="1:8" ht="14.5" hidden="1" outlineLevel="1">
      <c r="A66">
        <v>4</v>
      </c>
      <c r="B66" s="186">
        <f>B$54*(SQRT(0.0576/(2*($B60^(1/5)))))</f>
        <v>1.0549736222609505</v>
      </c>
      <c r="C66" s="186">
        <f t="shared" ref="C66:H66" si="47">C$54*(SQRT(0.0576/(2*($B60^(1/5)))))</f>
        <v>1.0509591291230027</v>
      </c>
      <c r="D66" s="186">
        <f t="shared" si="47"/>
        <v>1.0389462024259566</v>
      </c>
      <c r="E66" s="186">
        <f t="shared" si="47"/>
        <v>1.0190262677955799</v>
      </c>
      <c r="F66" s="186">
        <f t="shared" si="47"/>
        <v>0.99135092796239555</v>
      </c>
      <c r="G66" s="186">
        <f t="shared" si="47"/>
        <v>0.95613080897336067</v>
      </c>
      <c r="H66" s="186">
        <f t="shared" si="47"/>
        <v>0.91363395720047136</v>
      </c>
    </row>
    <row r="67" spans="1:8" ht="14.5" hidden="1" outlineLevel="1">
      <c r="A67">
        <v>5</v>
      </c>
      <c r="B67" s="186">
        <f>B$54*(SQRT(0.0576/(2*($B61^(1/5)))))</f>
        <v>1.0316932751574128</v>
      </c>
      <c r="C67" s="186">
        <f t="shared" ref="C67:H67" si="48">C$54*(SQRT(0.0576/(2*($B61^(1/5)))))</f>
        <v>1.0277673707687229</v>
      </c>
      <c r="D67" s="186">
        <f t="shared" si="48"/>
        <v>1.0160195361055775</v>
      </c>
      <c r="E67" s="186">
        <f t="shared" si="48"/>
        <v>0.99653917928329905</v>
      </c>
      <c r="F67" s="186">
        <f t="shared" si="48"/>
        <v>0.96947455757986667</v>
      </c>
      <c r="G67" s="186">
        <f t="shared" si="48"/>
        <v>0.93503164910850844</v>
      </c>
      <c r="H67" s="186">
        <f t="shared" si="48"/>
        <v>0.89347258519988837</v>
      </c>
    </row>
    <row r="68" spans="1:8" s="187" customFormat="1" ht="14.5" collapsed="1">
      <c r="A68" s="292" t="s">
        <v>583</v>
      </c>
      <c r="B68" s="278">
        <f>B74</f>
        <v>1.0315199038641711</v>
      </c>
      <c r="C68" s="278">
        <f t="shared" ref="C68:H68" si="49">C74</f>
        <v>1.0275946592055942</v>
      </c>
      <c r="D68" s="278">
        <f t="shared" si="49"/>
        <v>1.0158487987118432</v>
      </c>
      <c r="E68" s="278">
        <f t="shared" si="49"/>
        <v>0.99637171547361969</v>
      </c>
      <c r="F68" s="278">
        <f t="shared" si="49"/>
        <v>0.96931164185495133</v>
      </c>
      <c r="G68" s="278">
        <f t="shared" si="49"/>
        <v>0.93487452135539484</v>
      </c>
      <c r="H68" s="278">
        <f t="shared" si="49"/>
        <v>0.89332244125565408</v>
      </c>
    </row>
    <row r="69" spans="1:8" ht="14.5">
      <c r="A69" s="271" t="s">
        <v>528</v>
      </c>
    </row>
    <row r="70" spans="1:8" ht="14.5" hidden="1" outlineLevel="1">
      <c r="A70">
        <v>1</v>
      </c>
      <c r="B70" s="186">
        <f>B63*SQRT((1+0.2*B$8^2)^(-0.467))</f>
        <v>1.2116428192511879</v>
      </c>
      <c r="C70" s="186">
        <f t="shared" ref="C70:H70" si="50">C63*SQRT((1+0.2*C$8^2)^(-0.467))</f>
        <v>1.2070321525189684</v>
      </c>
      <c r="D70" s="186">
        <f t="shared" si="50"/>
        <v>1.1932352422801393</v>
      </c>
      <c r="E70" s="186">
        <f t="shared" si="50"/>
        <v>1.1703570913524199</v>
      </c>
      <c r="F70" s="186">
        <f t="shared" si="50"/>
        <v>1.1385718162785756</v>
      </c>
      <c r="G70" s="186">
        <f t="shared" si="50"/>
        <v>1.0981213221943917</v>
      </c>
      <c r="H70" s="186">
        <f t="shared" si="50"/>
        <v>1.0493134617845257</v>
      </c>
    </row>
    <row r="71" spans="1:8" ht="14.5" hidden="1" outlineLevel="1">
      <c r="A71">
        <v>2</v>
      </c>
      <c r="B71" s="186">
        <f t="shared" ref="B71:B73" si="51">B64*SQRT((1+0.2*B$8^2)^(-0.467))</f>
        <v>1.130502724320027</v>
      </c>
      <c r="C71" s="186">
        <f t="shared" ref="C71:H71" si="52">C64*SQRT((1+0.2*C$8^2)^(-0.467))</f>
        <v>1.1262008201458851</v>
      </c>
      <c r="D71" s="186">
        <f t="shared" si="52"/>
        <v>1.1133278477117856</v>
      </c>
      <c r="E71" s="186">
        <f t="shared" si="52"/>
        <v>1.0919817781108647</v>
      </c>
      <c r="F71" s="186">
        <f t="shared" si="52"/>
        <v>1.0623250678218956</v>
      </c>
      <c r="G71" s="186">
        <f t="shared" si="52"/>
        <v>1.0245834223173877</v>
      </c>
      <c r="H71" s="186">
        <f t="shared" si="52"/>
        <v>0.97904407830865925</v>
      </c>
    </row>
    <row r="72" spans="1:8" ht="14.5" hidden="1" outlineLevel="1">
      <c r="A72">
        <v>3</v>
      </c>
      <c r="B72" s="186">
        <f t="shared" si="51"/>
        <v>1.085581634213413</v>
      </c>
      <c r="C72" s="186">
        <f t="shared" ref="C72:H72" si="53">C65*SQRT((1+0.2*C$8^2)^(-0.467))</f>
        <v>1.0814506683491749</v>
      </c>
      <c r="D72" s="186">
        <f t="shared" si="53"/>
        <v>1.0690892099010323</v>
      </c>
      <c r="E72" s="186">
        <f t="shared" si="53"/>
        <v>1.0485913370318283</v>
      </c>
      <c r="F72" s="186">
        <f t="shared" si="53"/>
        <v>1.0201130509310516</v>
      </c>
      <c r="G72" s="186">
        <f t="shared" si="53"/>
        <v>0.98387108855158867</v>
      </c>
      <c r="H72" s="186">
        <f t="shared" si="53"/>
        <v>0.940141273110642</v>
      </c>
    </row>
    <row r="73" spans="1:8" ht="14.5" hidden="1" outlineLevel="1">
      <c r="A73">
        <v>4</v>
      </c>
      <c r="B73" s="186">
        <f t="shared" si="51"/>
        <v>1.0547963388128254</v>
      </c>
      <c r="C73" s="186">
        <f t="shared" ref="C73:H73" si="54">C66*SQRT((1+0.2*C$8^2)^(-0.467))</f>
        <v>1.0507825202919212</v>
      </c>
      <c r="D73" s="186">
        <f t="shared" si="54"/>
        <v>1.0387716123117623</v>
      </c>
      <c r="E73" s="186">
        <f t="shared" si="54"/>
        <v>1.0188550251344624</v>
      </c>
      <c r="F73" s="186">
        <f t="shared" si="54"/>
        <v>0.99118433601440503</v>
      </c>
      <c r="G73" s="186">
        <f t="shared" si="54"/>
        <v>0.95597013560381228</v>
      </c>
      <c r="H73" s="186">
        <f t="shared" si="54"/>
        <v>0.91348042523072459</v>
      </c>
    </row>
    <row r="74" spans="1:8" ht="14.5" hidden="1" outlineLevel="1">
      <c r="A74">
        <v>5</v>
      </c>
      <c r="B74" s="186">
        <f>B67*SQRT((1+0.2*B$8^2)^(-0.467))</f>
        <v>1.0315199038641711</v>
      </c>
      <c r="C74" s="186">
        <f t="shared" ref="C74:H74" si="55">C67*SQRT((1+0.2*C$8^2)^(-0.467))</f>
        <v>1.0275946592055942</v>
      </c>
      <c r="D74" s="186">
        <f t="shared" si="55"/>
        <v>1.0158487987118432</v>
      </c>
      <c r="E74" s="186">
        <f t="shared" si="55"/>
        <v>0.99637171547361969</v>
      </c>
      <c r="F74" s="186">
        <f t="shared" si="55"/>
        <v>0.96931164185495133</v>
      </c>
      <c r="G74" s="186">
        <f t="shared" si="55"/>
        <v>0.93487452135539484</v>
      </c>
      <c r="H74" s="186">
        <f t="shared" si="55"/>
        <v>0.89332244125565408</v>
      </c>
    </row>
    <row r="75" spans="1:8" ht="14.5" collapsed="1"/>
    <row r="76" spans="1:8" ht="14.5">
      <c r="A76" s="267" t="s">
        <v>611</v>
      </c>
      <c r="B76" s="191">
        <f>B10*B47*B77</f>
        <v>0</v>
      </c>
      <c r="C76" s="191">
        <f t="shared" ref="C76:H76" si="56">C10*C47*C77</f>
        <v>0.3273709212143015</v>
      </c>
      <c r="D76" s="191">
        <f t="shared" si="56"/>
        <v>0.73017595496886578</v>
      </c>
      <c r="E76" s="191">
        <f t="shared" si="56"/>
        <v>1.2840749474650406</v>
      </c>
      <c r="F76" s="191">
        <f t="shared" si="56"/>
        <v>1.9823090020987151</v>
      </c>
      <c r="G76" s="191">
        <f t="shared" si="56"/>
        <v>2.9016325477625942</v>
      </c>
      <c r="H76" s="191">
        <f t="shared" si="56"/>
        <v>4.1196356040384643</v>
      </c>
    </row>
    <row r="77" spans="1:8" s="167" customFormat="1" ht="14.5">
      <c r="A77" s="311" t="s">
        <v>588</v>
      </c>
      <c r="B77" s="374">
        <f>B79*B78+(4/PI())*(B39/B34)*B81*B85</f>
        <v>0</v>
      </c>
      <c r="C77" s="374">
        <f t="shared" ref="C77:H77" si="57">C79*C78+(4/PI())*(C39/C34)*C81*C85</f>
        <v>0.23249735750775738</v>
      </c>
      <c r="D77" s="374">
        <f t="shared" si="57"/>
        <v>0.5185676828481498</v>
      </c>
      <c r="E77" s="374">
        <f t="shared" si="57"/>
        <v>0.91194425888578934</v>
      </c>
      <c r="F77" s="374">
        <f t="shared" si="57"/>
        <v>1.4078269476172909</v>
      </c>
      <c r="G77" s="374">
        <f t="shared" si="57"/>
        <v>2.060726399617173</v>
      </c>
      <c r="H77" s="374">
        <f t="shared" si="57"/>
        <v>2.9257466982133851</v>
      </c>
    </row>
    <row r="78" spans="1:8" ht="14.5">
      <c r="A78" t="s">
        <v>596</v>
      </c>
      <c r="B78" s="191">
        <f>SIN(RADIANS(B11))*COS(RADIANS(B11))</f>
        <v>0</v>
      </c>
      <c r="C78" s="191">
        <f t="shared" ref="C78:H78" si="58">SIN(RADIANS(C11))*COS(RADIANS(C11))</f>
        <v>8.6824088833465166E-2</v>
      </c>
      <c r="D78" s="191">
        <f t="shared" si="58"/>
        <v>0.17101007166283433</v>
      </c>
      <c r="E78" s="191">
        <f t="shared" si="58"/>
        <v>0.24999999999999997</v>
      </c>
      <c r="F78" s="191">
        <f t="shared" si="58"/>
        <v>0.32139380484326968</v>
      </c>
      <c r="G78" s="191">
        <f t="shared" si="58"/>
        <v>0.38302222155948901</v>
      </c>
      <c r="H78" s="191">
        <f t="shared" si="58"/>
        <v>0.4330127018922193</v>
      </c>
    </row>
    <row r="79" spans="1:8" ht="14.5">
      <c r="A79" t="s">
        <v>591</v>
      </c>
      <c r="B79" s="191">
        <f>IF(B38&lt;=1.5,VLOOKUP(B8,$A$103:$B$128,2,TRUE),IF(B38&lt;=3,VLOOKUP(B8,$A$129:$B$154,2,TRUE),IF(B38&lt;=5,VLOOKUP(B8,$A$181:$B$206,2,TRUE),VLOOKUP(B8,$A$155:$B$180,2,TRUE))))</f>
        <v>2</v>
      </c>
      <c r="C79" s="191">
        <f t="shared" ref="C79:H79" si="59">IF(C38&lt;=1.5,VLOOKUP(C8,$A$103:$B$128,2,TRUE),IF(C38&lt;=3,VLOOKUP(C8,$A$129:$B$154,2,TRUE),IF(C38&lt;=5,VLOOKUP(C8,$A$181:$B$206,2,TRUE),VLOOKUP(C8,$A$155:$B$180,2,TRUE))))</f>
        <v>2</v>
      </c>
      <c r="D79" s="191">
        <f t="shared" si="59"/>
        <v>2</v>
      </c>
      <c r="E79" s="191">
        <f t="shared" si="59"/>
        <v>2</v>
      </c>
      <c r="F79" s="191">
        <f t="shared" si="59"/>
        <v>2</v>
      </c>
      <c r="G79" s="191">
        <f t="shared" si="59"/>
        <v>2</v>
      </c>
      <c r="H79" s="191">
        <f t="shared" si="59"/>
        <v>2</v>
      </c>
    </row>
    <row r="80" spans="1:8" ht="14.5">
      <c r="A80" t="s">
        <v>587</v>
      </c>
      <c r="B80" s="191">
        <f>0.5 *(4*(B38^2)-1)</f>
        <v>6.53125</v>
      </c>
      <c r="C80" s="191">
        <f t="shared" ref="C80:H80" si="60">0.5 *(4*(C38^2)-1)</f>
        <v>6.53125</v>
      </c>
      <c r="D80" s="191">
        <f t="shared" si="60"/>
        <v>6.53125</v>
      </c>
      <c r="E80" s="191">
        <f t="shared" si="60"/>
        <v>6.53125</v>
      </c>
      <c r="F80" s="191">
        <f t="shared" si="60"/>
        <v>6.53125</v>
      </c>
      <c r="G80" s="191">
        <f t="shared" si="60"/>
        <v>6.53125</v>
      </c>
      <c r="H80" s="191">
        <f t="shared" si="60"/>
        <v>6.53125</v>
      </c>
    </row>
    <row r="81" spans="1:8" ht="14.5">
      <c r="A81" t="s">
        <v>589</v>
      </c>
      <c r="B81" s="191">
        <f>IF(B8&lt;0.5,VLOOKUP(B11,$A$208:$B$215,2,TRUE),RADIANS(B11)*VLOOKUP(B8,$A$216:$B$229,2,TRUE))</f>
        <v>0</v>
      </c>
      <c r="C81" s="191">
        <f t="shared" ref="C81:H81" si="61">IF(C8&lt;0.5,VLOOKUP(C11,$A$208:$B$215,2,TRUE),RADIANS(C11)*VLOOKUP(C8,$A$216:$B$229,2,TRUE))</f>
        <v>5.0000000000000001E-3</v>
      </c>
      <c r="D81" s="191">
        <f t="shared" si="61"/>
        <v>1.4999999999999999E-2</v>
      </c>
      <c r="E81" s="191">
        <f t="shared" si="61"/>
        <v>3.5000000000000003E-2</v>
      </c>
      <c r="F81" s="191">
        <f t="shared" si="61"/>
        <v>6.5000000000000002E-2</v>
      </c>
      <c r="G81" s="191">
        <f t="shared" si="61"/>
        <v>0.11</v>
      </c>
      <c r="H81" s="191">
        <f t="shared" si="61"/>
        <v>0.17499999999999999</v>
      </c>
    </row>
    <row r="82" spans="1:8" ht="14.5">
      <c r="A82" t="s">
        <v>592</v>
      </c>
      <c r="B82" s="191">
        <f>0.5*(B83*B84-B80)</f>
        <v>0.67605404038471706</v>
      </c>
      <c r="C82" s="191">
        <f t="shared" ref="C82:H82" si="62">0.5*(C83*C84-C80)</f>
        <v>0.67605404038471706</v>
      </c>
      <c r="D82" s="191">
        <f t="shared" si="62"/>
        <v>0.67605404038471706</v>
      </c>
      <c r="E82" s="191">
        <f t="shared" si="62"/>
        <v>0.67605404038471706</v>
      </c>
      <c r="F82" s="191">
        <f t="shared" si="62"/>
        <v>0.67605404038471706</v>
      </c>
      <c r="G82" s="191">
        <f t="shared" si="62"/>
        <v>0.67605404038471706</v>
      </c>
      <c r="H82" s="191">
        <f t="shared" si="62"/>
        <v>0.67605404038471706</v>
      </c>
    </row>
    <row r="83" spans="1:8" ht="14.5">
      <c r="A83" t="s">
        <v>593</v>
      </c>
      <c r="B83" s="191">
        <f>((B80+1)^2)/(SQRT(2*B80+1))</f>
        <v>15.125260416666666</v>
      </c>
      <c r="C83" s="191">
        <f t="shared" ref="C83:H83" si="63">((C80+1)^2)/(SQRT(2*C80+1))</f>
        <v>15.125260416666666</v>
      </c>
      <c r="D83" s="191">
        <f t="shared" si="63"/>
        <v>15.125260416666666</v>
      </c>
      <c r="E83" s="191">
        <f t="shared" si="63"/>
        <v>15.125260416666666</v>
      </c>
      <c r="F83" s="191">
        <f t="shared" si="63"/>
        <v>15.125260416666666</v>
      </c>
      <c r="G83" s="191">
        <f t="shared" si="63"/>
        <v>15.125260416666666</v>
      </c>
      <c r="H83" s="191">
        <f t="shared" si="63"/>
        <v>15.125260416666666</v>
      </c>
    </row>
    <row r="84" spans="1:8" ht="14.5">
      <c r="A84" t="s">
        <v>594</v>
      </c>
      <c r="B84" s="191">
        <f>ASIN((SQRT(2*B80+1))/(B80+1))</f>
        <v>0.52120478349468202</v>
      </c>
      <c r="C84" s="191">
        <f t="shared" ref="C84:H84" si="64">ASIN((SQRT(2*C80+1))/(C80+1))</f>
        <v>0.52120478349468202</v>
      </c>
      <c r="D84" s="191">
        <f t="shared" si="64"/>
        <v>0.52120478349468202</v>
      </c>
      <c r="E84" s="191">
        <f t="shared" si="64"/>
        <v>0.52120478349468202</v>
      </c>
      <c r="F84" s="191">
        <f t="shared" si="64"/>
        <v>0.52120478349468202</v>
      </c>
      <c r="G84" s="191">
        <f t="shared" si="64"/>
        <v>0.52120478349468202</v>
      </c>
      <c r="H84" s="191">
        <f t="shared" si="64"/>
        <v>0.52120478349468202</v>
      </c>
    </row>
    <row r="85" spans="1:8" ht="14.5">
      <c r="A85" t="s">
        <v>595</v>
      </c>
      <c r="B85" s="191">
        <f>B84*(B36/B45)+(B41+B39)/B45</f>
        <v>0.92440075528863397</v>
      </c>
      <c r="C85" s="191">
        <f t="shared" ref="C85:H85" si="65">C84*(C36/C45)+(C41+C39)/C45</f>
        <v>0.92440075528863397</v>
      </c>
      <c r="D85" s="191">
        <f t="shared" si="65"/>
        <v>0.92440075528863397</v>
      </c>
      <c r="E85" s="191">
        <f t="shared" si="65"/>
        <v>0.92440075528863397</v>
      </c>
      <c r="F85" s="191">
        <f t="shared" si="65"/>
        <v>0.92440075528863397</v>
      </c>
      <c r="G85" s="191">
        <f t="shared" si="65"/>
        <v>0.92440075528863397</v>
      </c>
      <c r="H85" s="191">
        <f t="shared" si="65"/>
        <v>0.92440075528863397</v>
      </c>
    </row>
    <row r="86" spans="1:8" ht="14.5"/>
    <row r="87" spans="1:8" ht="14.5">
      <c r="A87" s="267" t="s">
        <v>608</v>
      </c>
      <c r="B87" s="191">
        <f>B88-B90</f>
        <v>-44.189999014603274</v>
      </c>
      <c r="C87" s="191">
        <f t="shared" ref="C87:H87" si="66">C88-C90</f>
        <v>-44.189999014603274</v>
      </c>
      <c r="D87" s="191">
        <f t="shared" si="66"/>
        <v>-44.189999014603274</v>
      </c>
      <c r="E87" s="191">
        <f t="shared" si="66"/>
        <v>-44.189999014603274</v>
      </c>
      <c r="F87" s="191">
        <f t="shared" si="66"/>
        <v>-44.189999014603274</v>
      </c>
      <c r="G87" s="191">
        <f t="shared" si="66"/>
        <v>-44.189999014603274</v>
      </c>
      <c r="H87" s="191">
        <f t="shared" si="66"/>
        <v>-44.189999014603274</v>
      </c>
    </row>
    <row r="88" spans="1:8" ht="14.5" outlineLevel="1">
      <c r="A88" t="s">
        <v>607</v>
      </c>
      <c r="B88" s="191">
        <f>B89*B36</f>
        <v>6.99</v>
      </c>
      <c r="C88" s="191">
        <f t="shared" ref="C88:H88" si="67">C89*C36</f>
        <v>6.99</v>
      </c>
      <c r="D88" s="191">
        <f t="shared" si="67"/>
        <v>6.99</v>
      </c>
      <c r="E88" s="191">
        <f t="shared" si="67"/>
        <v>6.99</v>
      </c>
      <c r="F88" s="191">
        <f t="shared" si="67"/>
        <v>6.99</v>
      </c>
      <c r="G88" s="191">
        <f t="shared" si="67"/>
        <v>6.99</v>
      </c>
      <c r="H88" s="191">
        <f t="shared" si="67"/>
        <v>6.99</v>
      </c>
    </row>
    <row r="89" spans="1:8" ht="14.5" outlineLevel="1">
      <c r="A89" t="s">
        <v>603</v>
      </c>
      <c r="B89" s="191">
        <f>IF(B38&lt;=1.5,VLOOKUP(B7,$A$233:$B$238,2,TRUE),IF(B38&lt;=2,VLOOKUP(B7,$A$240:$B$245,2,TRUE),IF(B38&lt;=3,VLOOKUP(B7,$A$247:$B$252,2,TRUE),IF(B38&lt;=5,VLOOKUP(B7,$A$254:$B$259,2,TRUE),IF(B38&lt;=7,VLOOKUP(B7,$A$261:$B$266,2,TRUE))))))</f>
        <v>0.46600000000000003</v>
      </c>
      <c r="C89" s="191">
        <f t="shared" ref="C89:H89" si="68">IF(C38&lt;=1.5,VLOOKUP(C7,$A$233:$B$238,2,TRUE),IF(C38&lt;=2,VLOOKUP(C7,$A$240:$B$245,2,TRUE),IF(C38&lt;=3,VLOOKUP(C7,$A$247:$B$252,2,TRUE),IF(C38&lt;=5,VLOOKUP(C7,$A$254:$B$259,2,TRUE),IF(C38&lt;=7,VLOOKUP(C7,$A$261:$B$266,2,TRUE))))))</f>
        <v>0.46600000000000003</v>
      </c>
      <c r="D89" s="191">
        <f t="shared" si="68"/>
        <v>0.46600000000000003</v>
      </c>
      <c r="E89" s="191">
        <f t="shared" si="68"/>
        <v>0.46600000000000003</v>
      </c>
      <c r="F89" s="191">
        <f t="shared" si="68"/>
        <v>0.46600000000000003</v>
      </c>
      <c r="G89" s="191">
        <f t="shared" si="68"/>
        <v>0.46600000000000003</v>
      </c>
      <c r="H89" s="191">
        <f t="shared" si="68"/>
        <v>0.46600000000000003</v>
      </c>
    </row>
    <row r="90" spans="1:8" ht="14.5" outlineLevel="1">
      <c r="A90" t="s">
        <v>599</v>
      </c>
      <c r="B90" s="191">
        <f>(B45/2)*B93</f>
        <v>51.179999014603275</v>
      </c>
      <c r="C90" s="191">
        <f t="shared" ref="C90:H90" si="69">(C45/2)*C93</f>
        <v>51.179999014603275</v>
      </c>
      <c r="D90" s="191">
        <f t="shared" si="69"/>
        <v>51.179999014603275</v>
      </c>
      <c r="E90" s="191">
        <f t="shared" si="69"/>
        <v>51.179999014603275</v>
      </c>
      <c r="F90" s="191">
        <f t="shared" si="69"/>
        <v>51.179999014603275</v>
      </c>
      <c r="G90" s="191">
        <f t="shared" si="69"/>
        <v>51.179999014603275</v>
      </c>
      <c r="H90" s="191">
        <f t="shared" si="69"/>
        <v>51.179999014603275</v>
      </c>
    </row>
    <row r="91" spans="1:8" ht="14.5" outlineLevel="1">
      <c r="A91" t="s">
        <v>598</v>
      </c>
      <c r="B91" s="191">
        <f>(1/B82)*(B83*B84-B92)</f>
        <v>1.2428832293338909</v>
      </c>
      <c r="C91" s="191">
        <f t="shared" ref="C91:H91" si="70">(1/C82)*(C83*C84-C92)</f>
        <v>1.2428832293338909</v>
      </c>
      <c r="D91" s="191">
        <f t="shared" si="70"/>
        <v>1.2428832293338909</v>
      </c>
      <c r="E91" s="191">
        <f t="shared" si="70"/>
        <v>1.2428832293338909</v>
      </c>
      <c r="F91" s="191">
        <f t="shared" si="70"/>
        <v>1.2428832293338909</v>
      </c>
      <c r="G91" s="191">
        <f t="shared" si="70"/>
        <v>1.2428832293338909</v>
      </c>
      <c r="H91" s="191">
        <f t="shared" si="70"/>
        <v>1.2428832293338909</v>
      </c>
    </row>
    <row r="92" spans="1:8" ht="14.5" outlineLevel="1">
      <c r="A92" t="s">
        <v>594</v>
      </c>
      <c r="B92" s="191">
        <f>(2/(2*B80+1))*(B80^2+B80+1/3)</f>
        <v>7.0431018518518522</v>
      </c>
      <c r="C92" s="191">
        <f t="shared" ref="C92:H92" si="71">(2/(2*C80+1))*(C80^2+C80+1/3)</f>
        <v>7.0431018518518522</v>
      </c>
      <c r="D92" s="191">
        <f t="shared" si="71"/>
        <v>7.0431018518518522</v>
      </c>
      <c r="E92" s="191">
        <f t="shared" si="71"/>
        <v>7.0431018518518522</v>
      </c>
      <c r="F92" s="191">
        <f t="shared" si="71"/>
        <v>7.0431018518518522</v>
      </c>
      <c r="G92" s="191">
        <f t="shared" si="71"/>
        <v>7.0431018518518522</v>
      </c>
      <c r="H92" s="191">
        <f t="shared" si="71"/>
        <v>7.0431018518518522</v>
      </c>
    </row>
    <row r="93" spans="1:8" ht="14.5" outlineLevel="1">
      <c r="A93" t="s">
        <v>597</v>
      </c>
      <c r="B93" s="191">
        <f>(1/B85)*(B94+B95+B96+B97-B98)</f>
        <v>1.0774736634653321</v>
      </c>
      <c r="C93" s="191">
        <f t="shared" ref="C93:H93" si="72">(1/C85)*(C94+C95+C96+C97-C98)</f>
        <v>1.0774736634653321</v>
      </c>
      <c r="D93" s="191">
        <f t="shared" si="72"/>
        <v>1.0774736634653321</v>
      </c>
      <c r="E93" s="191">
        <f t="shared" si="72"/>
        <v>1.0774736634653321</v>
      </c>
      <c r="F93" s="191">
        <f t="shared" si="72"/>
        <v>1.0774736634653321</v>
      </c>
      <c r="G93" s="191">
        <f t="shared" si="72"/>
        <v>1.0774736634653321</v>
      </c>
      <c r="H93" s="191">
        <f t="shared" si="72"/>
        <v>1.0774736634653321</v>
      </c>
    </row>
    <row r="94" spans="1:8" ht="14.5" outlineLevel="1">
      <c r="A94" t="s">
        <v>593</v>
      </c>
      <c r="B94" s="191">
        <f>B82*B91*((B36/B45)^2)</f>
        <v>2.0948216233402317E-2</v>
      </c>
      <c r="C94" s="191">
        <f t="shared" ref="C94:H94" si="73">C82*C91*((C36/C45)^2)</f>
        <v>2.0948216233402317E-2</v>
      </c>
      <c r="D94" s="191">
        <f t="shared" si="73"/>
        <v>2.0948216233402317E-2</v>
      </c>
      <c r="E94" s="191">
        <f t="shared" si="73"/>
        <v>2.0948216233402317E-2</v>
      </c>
      <c r="F94" s="191">
        <f t="shared" si="73"/>
        <v>2.0948216233402317E-2</v>
      </c>
      <c r="G94" s="191">
        <f t="shared" si="73"/>
        <v>2.0948216233402317E-2</v>
      </c>
      <c r="H94" s="191">
        <f t="shared" si="73"/>
        <v>2.0948216233402317E-2</v>
      </c>
    </row>
    <row r="95" spans="1:8" ht="14.5" outlineLevel="1">
      <c r="A95" t="s">
        <v>594</v>
      </c>
      <c r="B95" s="191">
        <f>(B39/B45)^2</f>
        <v>0.70914127423822704</v>
      </c>
      <c r="C95" s="191">
        <f t="shared" ref="C95:H95" si="74">(C39/C45)^2</f>
        <v>0.70914127423822704</v>
      </c>
      <c r="D95" s="191">
        <f t="shared" si="74"/>
        <v>0.70914127423822704</v>
      </c>
      <c r="E95" s="191">
        <f t="shared" si="74"/>
        <v>0.70914127423822704</v>
      </c>
      <c r="F95" s="191">
        <f t="shared" si="74"/>
        <v>0.70914127423822704</v>
      </c>
      <c r="G95" s="191">
        <f t="shared" si="74"/>
        <v>0.70914127423822704</v>
      </c>
      <c r="H95" s="191">
        <f t="shared" si="74"/>
        <v>0.70914127423822704</v>
      </c>
    </row>
    <row r="96" spans="1:8" ht="14.5" outlineLevel="1">
      <c r="A96" t="s">
        <v>600</v>
      </c>
      <c r="B96" s="191">
        <f>2*(B39*B36)/B45^2</f>
        <v>0.26592797783933519</v>
      </c>
      <c r="C96" s="191">
        <f t="shared" ref="C96:H96" si="75">2*(C39*C36)/C45^2</f>
        <v>0.26592797783933519</v>
      </c>
      <c r="D96" s="191">
        <f t="shared" si="75"/>
        <v>0.26592797783933519</v>
      </c>
      <c r="E96" s="191">
        <f t="shared" si="75"/>
        <v>0.26592797783933519</v>
      </c>
      <c r="F96" s="191">
        <f t="shared" si="75"/>
        <v>0.26592797783933519</v>
      </c>
      <c r="G96" s="191">
        <f t="shared" si="75"/>
        <v>0.26592797783933519</v>
      </c>
      <c r="H96" s="191">
        <f t="shared" si="75"/>
        <v>0.26592797783933519</v>
      </c>
    </row>
    <row r="97" spans="1:8" ht="14.5" outlineLevel="1">
      <c r="A97" t="s">
        <v>601</v>
      </c>
      <c r="B97" s="191">
        <f>2*(B41/B45)</f>
        <v>0</v>
      </c>
      <c r="C97" s="191">
        <f t="shared" ref="C97:H97" si="76">2*(C41/C45)</f>
        <v>0</v>
      </c>
      <c r="D97" s="191">
        <f t="shared" si="76"/>
        <v>0</v>
      </c>
      <c r="E97" s="191">
        <f t="shared" si="76"/>
        <v>0</v>
      </c>
      <c r="F97" s="191">
        <f t="shared" si="76"/>
        <v>0</v>
      </c>
      <c r="G97" s="191">
        <f t="shared" si="76"/>
        <v>0</v>
      </c>
      <c r="H97" s="191">
        <f t="shared" si="76"/>
        <v>0</v>
      </c>
    </row>
    <row r="98" spans="1:8" ht="14.5" outlineLevel="1">
      <c r="A98" t="s">
        <v>602</v>
      </c>
      <c r="B98" s="191">
        <f>(B41/B45)^2</f>
        <v>0</v>
      </c>
      <c r="C98" s="191">
        <f t="shared" ref="C98:H98" si="77">(C41/C45)^2</f>
        <v>0</v>
      </c>
      <c r="D98" s="191">
        <f t="shared" si="77"/>
        <v>0</v>
      </c>
      <c r="E98" s="191">
        <f t="shared" si="77"/>
        <v>0</v>
      </c>
      <c r="F98" s="191">
        <f t="shared" si="77"/>
        <v>0</v>
      </c>
      <c r="G98" s="191">
        <f t="shared" si="77"/>
        <v>0</v>
      </c>
      <c r="H98" s="191">
        <f t="shared" si="77"/>
        <v>0</v>
      </c>
    </row>
    <row r="99" spans="1:8" ht="14.5"/>
    <row r="100" spans="1:8" ht="14.5"/>
    <row r="101" spans="1:8" ht="15" customHeight="1">
      <c r="A101" s="312" t="s">
        <v>584</v>
      </c>
    </row>
    <row r="102" spans="1:8" ht="15" customHeight="1">
      <c r="A102" t="s">
        <v>590</v>
      </c>
    </row>
    <row r="103" spans="1:8" ht="15" hidden="1" customHeight="1" outlineLevel="1">
      <c r="A103" t="s">
        <v>586</v>
      </c>
      <c r="B103">
        <v>1.5</v>
      </c>
      <c r="C103">
        <v>1.5</v>
      </c>
      <c r="D103">
        <v>1.5</v>
      </c>
      <c r="E103">
        <v>1.5</v>
      </c>
      <c r="F103">
        <v>1.5</v>
      </c>
      <c r="G103">
        <v>1.5</v>
      </c>
      <c r="H103">
        <v>1.5</v>
      </c>
    </row>
    <row r="104" spans="1:8" ht="15" hidden="1" customHeight="1" outlineLevel="1">
      <c r="A104">
        <v>0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</row>
    <row r="105" spans="1:8" ht="15" hidden="1" customHeight="1" outlineLevel="1">
      <c r="A105">
        <v>0.3</v>
      </c>
      <c r="B105">
        <v>2.0099999999999998</v>
      </c>
      <c r="C105">
        <v>2.0099999999999998</v>
      </c>
      <c r="D105">
        <v>2.0099999999999998</v>
      </c>
      <c r="E105">
        <v>2.0099999999999998</v>
      </c>
      <c r="F105">
        <v>2.0099999999999998</v>
      </c>
      <c r="G105">
        <v>2.0099999999999998</v>
      </c>
      <c r="H105">
        <v>2.0099999999999998</v>
      </c>
    </row>
    <row r="106" spans="1:8" ht="15" hidden="1" customHeight="1" outlineLevel="1">
      <c r="A106">
        <v>0.4</v>
      </c>
      <c r="B106">
        <v>2.02</v>
      </c>
      <c r="C106">
        <v>2.02</v>
      </c>
      <c r="D106">
        <v>2.02</v>
      </c>
      <c r="E106">
        <v>2.02</v>
      </c>
      <c r="F106">
        <v>2.02</v>
      </c>
      <c r="G106">
        <v>2.02</v>
      </c>
      <c r="H106">
        <v>2.02</v>
      </c>
    </row>
    <row r="107" spans="1:8" ht="15" hidden="1" customHeight="1" outlineLevel="1">
      <c r="A107">
        <v>0.5</v>
      </c>
      <c r="B107">
        <v>2.0299999999999998</v>
      </c>
      <c r="C107">
        <v>2.0299999999999998</v>
      </c>
      <c r="D107">
        <v>2.0299999999999998</v>
      </c>
      <c r="E107">
        <v>2.0299999999999998</v>
      </c>
      <c r="F107">
        <v>2.0299999999999998</v>
      </c>
      <c r="G107">
        <v>2.0299999999999998</v>
      </c>
      <c r="H107">
        <v>2.0299999999999998</v>
      </c>
    </row>
    <row r="108" spans="1:8" ht="15" hidden="1" customHeight="1" outlineLevel="1">
      <c r="A108">
        <v>0.6</v>
      </c>
      <c r="B108">
        <v>2.0499999999999998</v>
      </c>
      <c r="C108">
        <v>2.0499999999999998</v>
      </c>
      <c r="D108">
        <v>2.0499999999999998</v>
      </c>
      <c r="E108">
        <v>2.0499999999999998</v>
      </c>
      <c r="F108">
        <v>2.0499999999999998</v>
      </c>
      <c r="G108">
        <v>2.0499999999999998</v>
      </c>
      <c r="H108">
        <v>2.0499999999999998</v>
      </c>
    </row>
    <row r="109" spans="1:8" ht="15" hidden="1" customHeight="1" outlineLevel="1">
      <c r="A109">
        <v>0.7</v>
      </c>
      <c r="B109">
        <v>2.06</v>
      </c>
      <c r="C109">
        <v>2.06</v>
      </c>
      <c r="D109">
        <v>2.06</v>
      </c>
      <c r="E109">
        <v>2.06</v>
      </c>
      <c r="F109">
        <v>2.06</v>
      </c>
      <c r="G109">
        <v>2.06</v>
      </c>
      <c r="H109">
        <v>2.06</v>
      </c>
    </row>
    <row r="110" spans="1:8" ht="15" hidden="1" customHeight="1" outlineLevel="1">
      <c r="A110">
        <v>0.8</v>
      </c>
      <c r="B110">
        <v>2.1</v>
      </c>
      <c r="C110">
        <v>2.1</v>
      </c>
      <c r="D110">
        <v>2.1</v>
      </c>
      <c r="E110">
        <v>2.1</v>
      </c>
      <c r="F110">
        <v>2.1</v>
      </c>
      <c r="G110">
        <v>2.1</v>
      </c>
      <c r="H110">
        <v>2.1</v>
      </c>
    </row>
    <row r="111" spans="1:8" ht="15" hidden="1" customHeight="1" outlineLevel="1">
      <c r="A111">
        <v>0.9</v>
      </c>
      <c r="B111">
        <v>2.16</v>
      </c>
      <c r="C111">
        <v>2.16</v>
      </c>
      <c r="D111">
        <v>2.16</v>
      </c>
      <c r="E111">
        <v>2.16</v>
      </c>
      <c r="F111">
        <v>2.16</v>
      </c>
      <c r="G111">
        <v>2.16</v>
      </c>
      <c r="H111">
        <v>2.16</v>
      </c>
    </row>
    <row r="112" spans="1:8" ht="15" hidden="1" customHeight="1" outlineLevel="1">
      <c r="A112">
        <v>1</v>
      </c>
      <c r="B112">
        <v>2.2999999999999998</v>
      </c>
      <c r="C112">
        <v>2.2999999999999998</v>
      </c>
      <c r="D112">
        <v>2.2999999999999998</v>
      </c>
      <c r="E112">
        <v>2.2999999999999998</v>
      </c>
      <c r="F112">
        <v>2.2999999999999998</v>
      </c>
      <c r="G112">
        <v>2.2999999999999998</v>
      </c>
      <c r="H112">
        <v>2.2999999999999998</v>
      </c>
    </row>
    <row r="113" spans="1:8" ht="15" hidden="1" customHeight="1" outlineLevel="1">
      <c r="A113">
        <v>1.05</v>
      </c>
      <c r="B113">
        <v>2.36</v>
      </c>
      <c r="C113">
        <v>2.36</v>
      </c>
      <c r="D113">
        <v>2.36</v>
      </c>
      <c r="E113">
        <v>2.36</v>
      </c>
      <c r="F113">
        <v>2.36</v>
      </c>
      <c r="G113">
        <v>2.36</v>
      </c>
      <c r="H113">
        <v>2.36</v>
      </c>
    </row>
    <row r="114" spans="1:8" ht="15" hidden="1" customHeight="1" outlineLevel="1">
      <c r="A114">
        <v>1.1000000000000001</v>
      </c>
      <c r="B114">
        <v>2.4</v>
      </c>
      <c r="C114">
        <v>2.4</v>
      </c>
      <c r="D114">
        <v>2.4</v>
      </c>
      <c r="E114">
        <v>2.4</v>
      </c>
      <c r="F114">
        <v>2.4</v>
      </c>
      <c r="G114">
        <v>2.4</v>
      </c>
      <c r="H114">
        <v>2.4</v>
      </c>
    </row>
    <row r="115" spans="1:8" ht="15" hidden="1" customHeight="1" outlineLevel="1">
      <c r="A115">
        <v>1.1499999999999999</v>
      </c>
      <c r="B115">
        <v>2.38</v>
      </c>
      <c r="C115">
        <v>2.38</v>
      </c>
      <c r="D115">
        <v>2.38</v>
      </c>
      <c r="E115">
        <v>2.38</v>
      </c>
      <c r="F115">
        <v>2.38</v>
      </c>
      <c r="G115">
        <v>2.38</v>
      </c>
      <c r="H115">
        <v>2.38</v>
      </c>
    </row>
    <row r="116" spans="1:8" ht="15" hidden="1" customHeight="1" outlineLevel="1">
      <c r="A116">
        <v>1.2</v>
      </c>
      <c r="B116">
        <v>2.37</v>
      </c>
      <c r="C116">
        <v>2.37</v>
      </c>
      <c r="D116">
        <v>2.37</v>
      </c>
      <c r="E116">
        <v>2.37</v>
      </c>
      <c r="F116">
        <v>2.37</v>
      </c>
      <c r="G116">
        <v>2.37</v>
      </c>
      <c r="H116">
        <v>2.37</v>
      </c>
    </row>
    <row r="117" spans="1:8" ht="15" hidden="1" customHeight="1" outlineLevel="1">
      <c r="A117">
        <v>1.3</v>
      </c>
      <c r="B117">
        <v>2.35</v>
      </c>
      <c r="C117">
        <v>2.35</v>
      </c>
      <c r="D117">
        <v>2.35</v>
      </c>
      <c r="E117">
        <v>2.35</v>
      </c>
      <c r="F117">
        <v>2.35</v>
      </c>
      <c r="G117">
        <v>2.35</v>
      </c>
      <c r="H117">
        <v>2.35</v>
      </c>
    </row>
    <row r="118" spans="1:8" ht="15" hidden="1" customHeight="1" outlineLevel="1">
      <c r="A118">
        <v>1.4</v>
      </c>
      <c r="B118">
        <v>2.35</v>
      </c>
      <c r="C118">
        <v>2.35</v>
      </c>
      <c r="D118">
        <v>2.35</v>
      </c>
      <c r="E118">
        <v>2.35</v>
      </c>
      <c r="F118">
        <v>2.35</v>
      </c>
      <c r="G118">
        <v>2.35</v>
      </c>
      <c r="H118">
        <v>2.35</v>
      </c>
    </row>
    <row r="119" spans="1:8" ht="15" hidden="1" customHeight="1" outlineLevel="1">
      <c r="A119">
        <v>1.5</v>
      </c>
      <c r="B119">
        <v>2.35</v>
      </c>
      <c r="C119">
        <v>2.35</v>
      </c>
      <c r="D119">
        <v>2.35</v>
      </c>
      <c r="E119">
        <v>2.35</v>
      </c>
      <c r="F119">
        <v>2.35</v>
      </c>
      <c r="G119">
        <v>2.35</v>
      </c>
      <c r="H119">
        <v>2.35</v>
      </c>
    </row>
    <row r="120" spans="1:8" ht="15" hidden="1" customHeight="1" outlineLevel="1">
      <c r="A120">
        <v>1.75</v>
      </c>
      <c r="B120">
        <v>2.37</v>
      </c>
      <c r="C120">
        <v>2.37</v>
      </c>
      <c r="D120">
        <v>2.37</v>
      </c>
      <c r="E120">
        <v>2.37</v>
      </c>
      <c r="F120">
        <v>2.37</v>
      </c>
      <c r="G120">
        <v>2.37</v>
      </c>
      <c r="H120">
        <v>2.37</v>
      </c>
    </row>
    <row r="121" spans="1:8" ht="15" hidden="1" customHeight="1" outlineLevel="1">
      <c r="A121">
        <v>2</v>
      </c>
      <c r="B121">
        <v>2.4</v>
      </c>
      <c r="C121">
        <v>2.4</v>
      </c>
      <c r="D121">
        <v>2.4</v>
      </c>
      <c r="E121">
        <v>2.4</v>
      </c>
      <c r="F121">
        <v>2.4</v>
      </c>
      <c r="G121">
        <v>2.4</v>
      </c>
      <c r="H121">
        <v>2.4</v>
      </c>
    </row>
    <row r="122" spans="1:8" ht="15" hidden="1" customHeight="1" outlineLevel="1">
      <c r="A122">
        <v>2.25</v>
      </c>
      <c r="B122">
        <v>2.42</v>
      </c>
      <c r="C122">
        <v>2.42</v>
      </c>
      <c r="D122">
        <v>2.42</v>
      </c>
      <c r="E122">
        <v>2.42</v>
      </c>
      <c r="F122">
        <v>2.42</v>
      </c>
      <c r="G122">
        <v>2.42</v>
      </c>
      <c r="H122">
        <v>2.42</v>
      </c>
    </row>
    <row r="123" spans="1:8" ht="15" hidden="1" customHeight="1" outlineLevel="1">
      <c r="A123">
        <v>2.5</v>
      </c>
      <c r="B123">
        <v>2.4500000000000002</v>
      </c>
      <c r="C123">
        <v>2.4500000000000002</v>
      </c>
      <c r="D123">
        <v>2.4500000000000002</v>
      </c>
      <c r="E123">
        <v>2.4500000000000002</v>
      </c>
      <c r="F123">
        <v>2.4500000000000002</v>
      </c>
      <c r="G123">
        <v>2.4500000000000002</v>
      </c>
      <c r="H123">
        <v>2.4500000000000002</v>
      </c>
    </row>
    <row r="124" spans="1:8" ht="15" hidden="1" customHeight="1" outlineLevel="1">
      <c r="A124">
        <v>3</v>
      </c>
      <c r="B124">
        <v>2.48</v>
      </c>
      <c r="C124">
        <v>2.48</v>
      </c>
      <c r="D124">
        <v>2.48</v>
      </c>
      <c r="E124">
        <v>2.48</v>
      </c>
      <c r="F124">
        <v>2.48</v>
      </c>
      <c r="G124">
        <v>2.48</v>
      </c>
      <c r="H124">
        <v>2.48</v>
      </c>
    </row>
    <row r="125" spans="1:8" ht="15" hidden="1" customHeight="1" outlineLevel="1">
      <c r="A125">
        <v>3.5</v>
      </c>
      <c r="B125">
        <v>2.5099999999999998</v>
      </c>
      <c r="C125">
        <v>2.5099999999999998</v>
      </c>
      <c r="D125">
        <v>2.5099999999999998</v>
      </c>
      <c r="E125">
        <v>2.5099999999999998</v>
      </c>
      <c r="F125">
        <v>2.5099999999999998</v>
      </c>
      <c r="G125">
        <v>2.5099999999999998</v>
      </c>
      <c r="H125">
        <v>2.5099999999999998</v>
      </c>
    </row>
    <row r="126" spans="1:8" ht="15" hidden="1" customHeight="1" outlineLevel="1">
      <c r="A126">
        <v>4</v>
      </c>
      <c r="B126">
        <v>2.5299999999999998</v>
      </c>
      <c r="C126">
        <v>2.5299999999999998</v>
      </c>
      <c r="D126">
        <v>2.5299999999999998</v>
      </c>
      <c r="E126">
        <v>2.5299999999999998</v>
      </c>
      <c r="F126">
        <v>2.5299999999999998</v>
      </c>
      <c r="G126">
        <v>2.5299999999999998</v>
      </c>
      <c r="H126">
        <v>2.5299999999999998</v>
      </c>
    </row>
    <row r="127" spans="1:8" ht="15" hidden="1" customHeight="1" outlineLevel="1">
      <c r="A127">
        <v>4.5</v>
      </c>
      <c r="B127">
        <v>2.56</v>
      </c>
      <c r="C127">
        <v>2.56</v>
      </c>
      <c r="D127">
        <v>2.56</v>
      </c>
      <c r="E127">
        <v>2.56</v>
      </c>
      <c r="F127">
        <v>2.56</v>
      </c>
      <c r="G127">
        <v>2.56</v>
      </c>
      <c r="H127">
        <v>2.56</v>
      </c>
    </row>
    <row r="128" spans="1:8" ht="15" hidden="1" customHeight="1" outlineLevel="1">
      <c r="A128" s="187">
        <v>5</v>
      </c>
      <c r="B128" s="187">
        <v>2.57</v>
      </c>
      <c r="C128" s="187">
        <v>2.57</v>
      </c>
      <c r="D128" s="187">
        <v>2.57</v>
      </c>
      <c r="E128" s="187">
        <v>2.57</v>
      </c>
      <c r="F128" s="187">
        <v>2.57</v>
      </c>
      <c r="G128" s="187">
        <v>2.57</v>
      </c>
      <c r="H128" s="187">
        <v>2.57</v>
      </c>
    </row>
    <row r="129" spans="1:8" ht="15" hidden="1" customHeight="1" outlineLevel="1">
      <c r="A129" s="313" t="s">
        <v>585</v>
      </c>
      <c r="B129" s="313">
        <v>3</v>
      </c>
      <c r="C129" s="313">
        <v>3</v>
      </c>
      <c r="D129" s="313">
        <v>3</v>
      </c>
      <c r="E129" s="313">
        <v>3</v>
      </c>
      <c r="F129" s="313">
        <v>3</v>
      </c>
      <c r="G129" s="313">
        <v>3</v>
      </c>
      <c r="H129" s="313">
        <v>3</v>
      </c>
    </row>
    <row r="130" spans="1:8" ht="15" hidden="1" customHeight="1" outlineLevel="1">
      <c r="A130">
        <v>0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</row>
    <row r="131" spans="1:8" ht="15" hidden="1" customHeight="1" outlineLevel="1">
      <c r="A131">
        <v>0.3</v>
      </c>
      <c r="B131">
        <v>2.0099999999999998</v>
      </c>
      <c r="C131">
        <v>2.0099999999999998</v>
      </c>
      <c r="D131">
        <v>2.0099999999999998</v>
      </c>
      <c r="E131">
        <v>2.0099999999999998</v>
      </c>
      <c r="F131">
        <v>2.0099999999999998</v>
      </c>
      <c r="G131">
        <v>2.0099999999999998</v>
      </c>
      <c r="H131">
        <v>2.0099999999999998</v>
      </c>
    </row>
    <row r="132" spans="1:8" ht="15" hidden="1" customHeight="1" outlineLevel="1">
      <c r="A132">
        <v>0.4</v>
      </c>
      <c r="B132">
        <v>2.02</v>
      </c>
      <c r="C132">
        <v>2.02</v>
      </c>
      <c r="D132">
        <v>2.02</v>
      </c>
      <c r="E132">
        <v>2.02</v>
      </c>
      <c r="F132">
        <v>2.02</v>
      </c>
      <c r="G132">
        <v>2.02</v>
      </c>
      <c r="H132">
        <v>2.02</v>
      </c>
    </row>
    <row r="133" spans="1:8" ht="15" hidden="1" customHeight="1" outlineLevel="1">
      <c r="A133">
        <v>0.5</v>
      </c>
      <c r="B133">
        <v>2.0299999999999998</v>
      </c>
      <c r="C133">
        <v>2.0299999999999998</v>
      </c>
      <c r="D133">
        <v>2.0299999999999998</v>
      </c>
      <c r="E133">
        <v>2.0299999999999998</v>
      </c>
      <c r="F133">
        <v>2.0299999999999998</v>
      </c>
      <c r="G133">
        <v>2.0299999999999998</v>
      </c>
      <c r="H133">
        <v>2.0299999999999998</v>
      </c>
    </row>
    <row r="134" spans="1:8" ht="15" hidden="1" customHeight="1" outlineLevel="1">
      <c r="A134">
        <v>0.6</v>
      </c>
      <c r="B134">
        <v>2.0499999999999998</v>
      </c>
      <c r="C134">
        <v>2.0499999999999998</v>
      </c>
      <c r="D134">
        <v>2.0499999999999998</v>
      </c>
      <c r="E134">
        <v>2.0499999999999998</v>
      </c>
      <c r="F134">
        <v>2.0499999999999998</v>
      </c>
      <c r="G134">
        <v>2.0499999999999998</v>
      </c>
      <c r="H134">
        <v>2.0499999999999998</v>
      </c>
    </row>
    <row r="135" spans="1:8" ht="15" hidden="1" customHeight="1" outlineLevel="1">
      <c r="A135">
        <v>0.7</v>
      </c>
      <c r="B135">
        <v>2.06</v>
      </c>
      <c r="C135">
        <v>2.06</v>
      </c>
      <c r="D135">
        <v>2.06</v>
      </c>
      <c r="E135">
        <v>2.06</v>
      </c>
      <c r="F135">
        <v>2.06</v>
      </c>
      <c r="G135">
        <v>2.06</v>
      </c>
      <c r="H135">
        <v>2.06</v>
      </c>
    </row>
    <row r="136" spans="1:8" ht="15" hidden="1" customHeight="1" outlineLevel="1">
      <c r="A136">
        <v>0.8</v>
      </c>
      <c r="B136">
        <v>2.1</v>
      </c>
      <c r="C136">
        <v>2.1</v>
      </c>
      <c r="D136">
        <v>2.1</v>
      </c>
      <c r="E136">
        <v>2.1</v>
      </c>
      <c r="F136">
        <v>2.1</v>
      </c>
      <c r="G136">
        <v>2.1</v>
      </c>
      <c r="H136">
        <v>2.1</v>
      </c>
    </row>
    <row r="137" spans="1:8" ht="15" hidden="1" customHeight="1" outlineLevel="1">
      <c r="A137">
        <v>0.9</v>
      </c>
      <c r="B137">
        <v>2.16</v>
      </c>
      <c r="C137">
        <v>2.16</v>
      </c>
      <c r="D137">
        <v>2.16</v>
      </c>
      <c r="E137">
        <v>2.16</v>
      </c>
      <c r="F137">
        <v>2.16</v>
      </c>
      <c r="G137">
        <v>2.16</v>
      </c>
      <c r="H137">
        <v>2.16</v>
      </c>
    </row>
    <row r="138" spans="1:8" ht="15" hidden="1" customHeight="1" outlineLevel="1">
      <c r="A138">
        <v>1</v>
      </c>
      <c r="B138">
        <v>2.2999999999999998</v>
      </c>
      <c r="C138">
        <v>2.2999999999999998</v>
      </c>
      <c r="D138">
        <v>2.2999999999999998</v>
      </c>
      <c r="E138">
        <v>2.2999999999999998</v>
      </c>
      <c r="F138">
        <v>2.2999999999999998</v>
      </c>
      <c r="G138">
        <v>2.2999999999999998</v>
      </c>
      <c r="H138">
        <v>2.2999999999999998</v>
      </c>
    </row>
    <row r="139" spans="1:8" ht="15" hidden="1" customHeight="1" outlineLevel="1">
      <c r="A139">
        <v>1.05</v>
      </c>
      <c r="B139">
        <v>2.36</v>
      </c>
      <c r="C139">
        <v>2.36</v>
      </c>
      <c r="D139">
        <v>2.36</v>
      </c>
      <c r="E139">
        <v>2.36</v>
      </c>
      <c r="F139">
        <v>2.36</v>
      </c>
      <c r="G139">
        <v>2.36</v>
      </c>
      <c r="H139">
        <v>2.36</v>
      </c>
    </row>
    <row r="140" spans="1:8" ht="15" hidden="1" customHeight="1" outlineLevel="1">
      <c r="A140">
        <v>1.1000000000000001</v>
      </c>
      <c r="B140">
        <v>2.4</v>
      </c>
      <c r="C140">
        <v>2.4</v>
      </c>
      <c r="D140">
        <v>2.4</v>
      </c>
      <c r="E140">
        <v>2.4</v>
      </c>
      <c r="F140">
        <v>2.4</v>
      </c>
      <c r="G140">
        <v>2.4</v>
      </c>
      <c r="H140">
        <v>2.4</v>
      </c>
    </row>
    <row r="141" spans="1:8" ht="15" hidden="1" customHeight="1" outlineLevel="1">
      <c r="A141">
        <v>1.1499999999999999</v>
      </c>
      <c r="B141">
        <v>2.37</v>
      </c>
      <c r="C141">
        <v>2.37</v>
      </c>
      <c r="D141">
        <v>2.37</v>
      </c>
      <c r="E141">
        <v>2.37</v>
      </c>
      <c r="F141">
        <v>2.37</v>
      </c>
      <c r="G141">
        <v>2.37</v>
      </c>
      <c r="H141">
        <v>2.37</v>
      </c>
    </row>
    <row r="142" spans="1:8" ht="15" hidden="1" customHeight="1" outlineLevel="1">
      <c r="A142">
        <v>1.2</v>
      </c>
      <c r="B142">
        <v>2.3199999999999998</v>
      </c>
      <c r="C142">
        <v>2.3199999999999998</v>
      </c>
      <c r="D142">
        <v>2.3199999999999998</v>
      </c>
      <c r="E142">
        <v>2.3199999999999998</v>
      </c>
      <c r="F142">
        <v>2.3199999999999998</v>
      </c>
      <c r="G142">
        <v>2.3199999999999998</v>
      </c>
      <c r="H142">
        <v>2.3199999999999998</v>
      </c>
    </row>
    <row r="143" spans="1:8" ht="15" hidden="1" customHeight="1" outlineLevel="1">
      <c r="A143">
        <v>1.3</v>
      </c>
      <c r="B143">
        <v>2.27</v>
      </c>
      <c r="C143">
        <v>2.27</v>
      </c>
      <c r="D143">
        <v>2.27</v>
      </c>
      <c r="E143">
        <v>2.27</v>
      </c>
      <c r="F143">
        <v>2.27</v>
      </c>
      <c r="G143">
        <v>2.27</v>
      </c>
      <c r="H143">
        <v>2.27</v>
      </c>
    </row>
    <row r="144" spans="1:8" ht="15" hidden="1" customHeight="1" outlineLevel="1">
      <c r="A144">
        <v>1.4</v>
      </c>
      <c r="B144">
        <v>2.25</v>
      </c>
      <c r="C144">
        <v>2.25</v>
      </c>
      <c r="D144">
        <v>2.25</v>
      </c>
      <c r="E144">
        <v>2.25</v>
      </c>
      <c r="F144">
        <v>2.25</v>
      </c>
      <c r="G144">
        <v>2.25</v>
      </c>
      <c r="H144">
        <v>2.25</v>
      </c>
    </row>
    <row r="145" spans="1:8" ht="15" hidden="1" customHeight="1" outlineLevel="1">
      <c r="A145">
        <v>1.5</v>
      </c>
      <c r="B145">
        <v>2.2400000000000002</v>
      </c>
      <c r="C145">
        <v>2.2400000000000002</v>
      </c>
      <c r="D145">
        <v>2.2400000000000002</v>
      </c>
      <c r="E145">
        <v>2.2400000000000002</v>
      </c>
      <c r="F145">
        <v>2.2400000000000002</v>
      </c>
      <c r="G145">
        <v>2.2400000000000002</v>
      </c>
      <c r="H145">
        <v>2.2400000000000002</v>
      </c>
    </row>
    <row r="146" spans="1:8" ht="15" hidden="1" customHeight="1" outlineLevel="1">
      <c r="A146">
        <v>1.75</v>
      </c>
      <c r="B146">
        <v>2.2599999999999998</v>
      </c>
      <c r="C146">
        <v>2.2599999999999998</v>
      </c>
      <c r="D146">
        <v>2.2599999999999998</v>
      </c>
      <c r="E146">
        <v>2.2599999999999998</v>
      </c>
      <c r="F146">
        <v>2.2599999999999998</v>
      </c>
      <c r="G146">
        <v>2.2599999999999998</v>
      </c>
      <c r="H146">
        <v>2.2599999999999998</v>
      </c>
    </row>
    <row r="147" spans="1:8" ht="15" hidden="1" customHeight="1" outlineLevel="1">
      <c r="A147">
        <v>2</v>
      </c>
      <c r="B147">
        <v>2.31</v>
      </c>
      <c r="C147">
        <v>2.31</v>
      </c>
      <c r="D147">
        <v>2.31</v>
      </c>
      <c r="E147">
        <v>2.31</v>
      </c>
      <c r="F147">
        <v>2.31</v>
      </c>
      <c r="G147">
        <v>2.31</v>
      </c>
      <c r="H147">
        <v>2.31</v>
      </c>
    </row>
    <row r="148" spans="1:8" ht="15" hidden="1" customHeight="1" outlineLevel="1">
      <c r="A148">
        <v>2.25</v>
      </c>
      <c r="B148">
        <v>2.36</v>
      </c>
      <c r="C148">
        <v>2.36</v>
      </c>
      <c r="D148">
        <v>2.36</v>
      </c>
      <c r="E148">
        <v>2.36</v>
      </c>
      <c r="F148">
        <v>2.36</v>
      </c>
      <c r="G148">
        <v>2.36</v>
      </c>
      <c r="H148">
        <v>2.36</v>
      </c>
    </row>
    <row r="149" spans="1:8" ht="15" hidden="1" customHeight="1" outlineLevel="1">
      <c r="A149">
        <v>2.5</v>
      </c>
      <c r="B149">
        <v>2.4</v>
      </c>
      <c r="C149">
        <v>2.4</v>
      </c>
      <c r="D149">
        <v>2.4</v>
      </c>
      <c r="E149">
        <v>2.4</v>
      </c>
      <c r="F149">
        <v>2.4</v>
      </c>
      <c r="G149">
        <v>2.4</v>
      </c>
      <c r="H149">
        <v>2.4</v>
      </c>
    </row>
    <row r="150" spans="1:8" ht="15" hidden="1" customHeight="1" outlineLevel="1">
      <c r="A150">
        <v>3</v>
      </c>
      <c r="B150">
        <v>2.4900000000000002</v>
      </c>
      <c r="C150">
        <v>2.4900000000000002</v>
      </c>
      <c r="D150">
        <v>2.4900000000000002</v>
      </c>
      <c r="E150">
        <v>2.4900000000000002</v>
      </c>
      <c r="F150">
        <v>2.4900000000000002</v>
      </c>
      <c r="G150">
        <v>2.4900000000000002</v>
      </c>
      <c r="H150">
        <v>2.4900000000000002</v>
      </c>
    </row>
    <row r="151" spans="1:8" ht="15" hidden="1" customHeight="1" outlineLevel="1">
      <c r="A151">
        <v>3.5</v>
      </c>
      <c r="B151">
        <v>2.57</v>
      </c>
      <c r="C151">
        <v>2.57</v>
      </c>
      <c r="D151">
        <v>2.57</v>
      </c>
      <c r="E151">
        <v>2.57</v>
      </c>
      <c r="F151">
        <v>2.57</v>
      </c>
      <c r="G151">
        <v>2.57</v>
      </c>
      <c r="H151">
        <v>2.57</v>
      </c>
    </row>
    <row r="152" spans="1:8" ht="15" hidden="1" customHeight="1" outlineLevel="1">
      <c r="A152">
        <v>4</v>
      </c>
      <c r="B152">
        <v>2.63</v>
      </c>
      <c r="C152">
        <v>2.63</v>
      </c>
      <c r="D152">
        <v>2.63</v>
      </c>
      <c r="E152">
        <v>2.63</v>
      </c>
      <c r="F152">
        <v>2.63</v>
      </c>
      <c r="G152">
        <v>2.63</v>
      </c>
      <c r="H152">
        <v>2.63</v>
      </c>
    </row>
    <row r="153" spans="1:8" ht="15" hidden="1" customHeight="1" outlineLevel="1">
      <c r="A153">
        <v>4.5</v>
      </c>
      <c r="B153">
        <v>2.67</v>
      </c>
      <c r="C153">
        <v>2.67</v>
      </c>
      <c r="D153">
        <v>2.67</v>
      </c>
      <c r="E153">
        <v>2.67</v>
      </c>
      <c r="F153">
        <v>2.67</v>
      </c>
      <c r="G153">
        <v>2.67</v>
      </c>
      <c r="H153">
        <v>2.67</v>
      </c>
    </row>
    <row r="154" spans="1:8" ht="15" hidden="1" customHeight="1" outlineLevel="1">
      <c r="A154" s="187">
        <v>5</v>
      </c>
      <c r="B154" s="187">
        <v>2.7</v>
      </c>
      <c r="C154" s="187">
        <v>2.7</v>
      </c>
      <c r="D154" s="187">
        <v>2.7</v>
      </c>
      <c r="E154" s="187">
        <v>2.7</v>
      </c>
      <c r="F154" s="187">
        <v>2.7</v>
      </c>
      <c r="G154" s="187">
        <v>2.7</v>
      </c>
      <c r="H154" s="187">
        <v>2.7</v>
      </c>
    </row>
    <row r="155" spans="1:8" ht="15" hidden="1" customHeight="1" outlineLevel="1">
      <c r="A155" s="313" t="s">
        <v>585</v>
      </c>
      <c r="B155">
        <v>5</v>
      </c>
      <c r="C155">
        <v>5</v>
      </c>
      <c r="D155">
        <v>5</v>
      </c>
      <c r="E155">
        <v>5</v>
      </c>
      <c r="F155">
        <v>5</v>
      </c>
      <c r="G155">
        <v>5</v>
      </c>
      <c r="H155">
        <v>5</v>
      </c>
    </row>
    <row r="156" spans="1:8" ht="15" hidden="1" customHeight="1" outlineLevel="1">
      <c r="A156">
        <v>0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</row>
    <row r="157" spans="1:8" ht="15" hidden="1" customHeight="1" outlineLevel="1">
      <c r="A157">
        <v>0.3</v>
      </c>
      <c r="B157">
        <v>2.0099999999999998</v>
      </c>
      <c r="C157">
        <v>2.0099999999999998</v>
      </c>
      <c r="D157">
        <v>2.0099999999999998</v>
      </c>
      <c r="E157">
        <v>2.0099999999999998</v>
      </c>
      <c r="F157">
        <v>2.0099999999999998</v>
      </c>
      <c r="G157">
        <v>2.0099999999999998</v>
      </c>
      <c r="H157">
        <v>2.0099999999999998</v>
      </c>
    </row>
    <row r="158" spans="1:8" ht="15" hidden="1" customHeight="1" outlineLevel="1">
      <c r="A158">
        <v>0.4</v>
      </c>
      <c r="B158">
        <v>2.02</v>
      </c>
      <c r="C158">
        <v>2.02</v>
      </c>
      <c r="D158">
        <v>2.02</v>
      </c>
      <c r="E158">
        <v>2.02</v>
      </c>
      <c r="F158">
        <v>2.02</v>
      </c>
      <c r="G158">
        <v>2.02</v>
      </c>
      <c r="H158">
        <v>2.02</v>
      </c>
    </row>
    <row r="159" spans="1:8" ht="15" hidden="1" customHeight="1" outlineLevel="1">
      <c r="A159">
        <v>0.5</v>
      </c>
      <c r="B159">
        <v>2.0299999999999998</v>
      </c>
      <c r="C159">
        <v>2.0299999999999998</v>
      </c>
      <c r="D159">
        <v>2.0299999999999998</v>
      </c>
      <c r="E159">
        <v>2.0299999999999998</v>
      </c>
      <c r="F159">
        <v>2.0299999999999998</v>
      </c>
      <c r="G159">
        <v>2.0299999999999998</v>
      </c>
      <c r="H159">
        <v>2.0299999999999998</v>
      </c>
    </row>
    <row r="160" spans="1:8" ht="15" hidden="1" customHeight="1" outlineLevel="1">
      <c r="A160">
        <v>0.6</v>
      </c>
      <c r="B160">
        <v>2.0499999999999998</v>
      </c>
      <c r="C160">
        <v>2.0499999999999998</v>
      </c>
      <c r="D160">
        <v>2.0499999999999998</v>
      </c>
      <c r="E160">
        <v>2.0499999999999998</v>
      </c>
      <c r="F160">
        <v>2.0499999999999998</v>
      </c>
      <c r="G160">
        <v>2.0499999999999998</v>
      </c>
      <c r="H160">
        <v>2.0499999999999998</v>
      </c>
    </row>
    <row r="161" spans="1:8" ht="15" hidden="1" customHeight="1" outlineLevel="1">
      <c r="A161">
        <v>0.7</v>
      </c>
      <c r="B161">
        <v>2.06</v>
      </c>
      <c r="C161">
        <v>2.06</v>
      </c>
      <c r="D161">
        <v>2.06</v>
      </c>
      <c r="E161">
        <v>2.06</v>
      </c>
      <c r="F161">
        <v>2.06</v>
      </c>
      <c r="G161">
        <v>2.06</v>
      </c>
      <c r="H161">
        <v>2.06</v>
      </c>
    </row>
    <row r="162" spans="1:8" ht="15" hidden="1" customHeight="1" outlineLevel="1">
      <c r="A162">
        <v>0.8</v>
      </c>
      <c r="B162">
        <v>2.1</v>
      </c>
      <c r="C162">
        <v>2.1</v>
      </c>
      <c r="D162">
        <v>2.1</v>
      </c>
      <c r="E162">
        <v>2.1</v>
      </c>
      <c r="F162">
        <v>2.1</v>
      </c>
      <c r="G162">
        <v>2.1</v>
      </c>
      <c r="H162">
        <v>2.1</v>
      </c>
    </row>
    <row r="163" spans="1:8" ht="15" hidden="1" customHeight="1" outlineLevel="1">
      <c r="A163">
        <v>0.9</v>
      </c>
      <c r="B163">
        <v>2.16</v>
      </c>
      <c r="C163">
        <v>2.16</v>
      </c>
      <c r="D163">
        <v>2.16</v>
      </c>
      <c r="E163">
        <v>2.16</v>
      </c>
      <c r="F163">
        <v>2.16</v>
      </c>
      <c r="G163">
        <v>2.16</v>
      </c>
      <c r="H163">
        <v>2.16</v>
      </c>
    </row>
    <row r="164" spans="1:8" ht="15" hidden="1" customHeight="1" outlineLevel="1">
      <c r="A164">
        <v>1</v>
      </c>
      <c r="B164">
        <v>2.2999999999999998</v>
      </c>
      <c r="C164">
        <v>2.2999999999999998</v>
      </c>
      <c r="D164">
        <v>2.2999999999999998</v>
      </c>
      <c r="E164">
        <v>2.2999999999999998</v>
      </c>
      <c r="F164">
        <v>2.2999999999999998</v>
      </c>
      <c r="G164">
        <v>2.2999999999999998</v>
      </c>
      <c r="H164">
        <v>2.2999999999999998</v>
      </c>
    </row>
    <row r="165" spans="1:8" ht="15" hidden="1" customHeight="1" outlineLevel="1">
      <c r="A165">
        <v>1.05</v>
      </c>
      <c r="B165">
        <v>2.36</v>
      </c>
      <c r="C165">
        <v>2.36</v>
      </c>
      <c r="D165">
        <v>2.36</v>
      </c>
      <c r="E165">
        <v>2.36</v>
      </c>
      <c r="F165">
        <v>2.36</v>
      </c>
      <c r="G165">
        <v>2.36</v>
      </c>
      <c r="H165">
        <v>2.36</v>
      </c>
    </row>
    <row r="166" spans="1:8" ht="15" hidden="1" customHeight="1" outlineLevel="1">
      <c r="A166">
        <v>1.1000000000000001</v>
      </c>
      <c r="B166">
        <v>2.4</v>
      </c>
      <c r="C166">
        <v>2.4</v>
      </c>
      <c r="D166">
        <v>2.4</v>
      </c>
      <c r="E166">
        <v>2.4</v>
      </c>
      <c r="F166">
        <v>2.4</v>
      </c>
      <c r="G166">
        <v>2.4</v>
      </c>
      <c r="H166">
        <v>2.4</v>
      </c>
    </row>
    <row r="167" spans="1:8" ht="15" hidden="1" customHeight="1" outlineLevel="1">
      <c r="A167">
        <v>1.1499999999999999</v>
      </c>
      <c r="B167">
        <v>2.37</v>
      </c>
      <c r="C167">
        <v>2.37</v>
      </c>
      <c r="D167">
        <v>2.37</v>
      </c>
      <c r="E167">
        <v>2.37</v>
      </c>
      <c r="F167">
        <v>2.37</v>
      </c>
      <c r="G167">
        <v>2.37</v>
      </c>
      <c r="H167">
        <v>2.37</v>
      </c>
    </row>
    <row r="168" spans="1:8" ht="15" hidden="1" customHeight="1" outlineLevel="1">
      <c r="A168">
        <v>1.2</v>
      </c>
      <c r="B168">
        <v>2.2999999999999998</v>
      </c>
      <c r="C168">
        <v>2.2999999999999998</v>
      </c>
      <c r="D168">
        <v>2.2999999999999998</v>
      </c>
      <c r="E168">
        <v>2.2999999999999998</v>
      </c>
      <c r="F168">
        <v>2.2999999999999998</v>
      </c>
      <c r="G168">
        <v>2.2999999999999998</v>
      </c>
      <c r="H168">
        <v>2.2999999999999998</v>
      </c>
    </row>
    <row r="169" spans="1:8" ht="15" hidden="1" customHeight="1" outlineLevel="1">
      <c r="A169">
        <v>1.3</v>
      </c>
      <c r="B169">
        <v>2.21</v>
      </c>
      <c r="C169">
        <v>2.21</v>
      </c>
      <c r="D169">
        <v>2.21</v>
      </c>
      <c r="E169">
        <v>2.21</v>
      </c>
      <c r="F169">
        <v>2.21</v>
      </c>
      <c r="G169">
        <v>2.21</v>
      </c>
      <c r="H169">
        <v>2.21</v>
      </c>
    </row>
    <row r="170" spans="1:8" ht="15" hidden="1" customHeight="1" outlineLevel="1">
      <c r="A170">
        <v>1.4</v>
      </c>
      <c r="B170">
        <v>2.16</v>
      </c>
      <c r="C170">
        <v>2.16</v>
      </c>
      <c r="D170">
        <v>2.16</v>
      </c>
      <c r="E170">
        <v>2.16</v>
      </c>
      <c r="F170">
        <v>2.16</v>
      </c>
      <c r="G170">
        <v>2.16</v>
      </c>
      <c r="H170">
        <v>2.16</v>
      </c>
    </row>
    <row r="171" spans="1:8" ht="15" hidden="1" customHeight="1" outlineLevel="1">
      <c r="A171">
        <v>1.5</v>
      </c>
      <c r="B171">
        <v>2.12</v>
      </c>
      <c r="C171">
        <v>2.12</v>
      </c>
      <c r="D171">
        <v>2.12</v>
      </c>
      <c r="E171">
        <v>2.12</v>
      </c>
      <c r="F171">
        <v>2.12</v>
      </c>
      <c r="G171">
        <v>2.12</v>
      </c>
      <c r="H171">
        <v>2.12</v>
      </c>
    </row>
    <row r="172" spans="1:8" ht="15" hidden="1" customHeight="1" outlineLevel="1">
      <c r="A172">
        <v>1.75</v>
      </c>
      <c r="B172">
        <v>2.08</v>
      </c>
      <c r="C172">
        <v>2.08</v>
      </c>
      <c r="D172">
        <v>2.08</v>
      </c>
      <c r="E172">
        <v>2.08</v>
      </c>
      <c r="F172">
        <v>2.08</v>
      </c>
      <c r="G172">
        <v>2.08</v>
      </c>
      <c r="H172">
        <v>2.08</v>
      </c>
    </row>
    <row r="173" spans="1:8" ht="15" hidden="1" customHeight="1" outlineLevel="1">
      <c r="A173">
        <v>2</v>
      </c>
      <c r="B173">
        <v>2.08</v>
      </c>
      <c r="C173">
        <v>2.08</v>
      </c>
      <c r="D173">
        <v>2.08</v>
      </c>
      <c r="E173">
        <v>2.08</v>
      </c>
      <c r="F173">
        <v>2.08</v>
      </c>
      <c r="G173">
        <v>2.08</v>
      </c>
      <c r="H173">
        <v>2.08</v>
      </c>
    </row>
    <row r="174" spans="1:8" ht="15" hidden="1" customHeight="1" outlineLevel="1">
      <c r="A174">
        <v>2.25</v>
      </c>
      <c r="B174">
        <v>2.12</v>
      </c>
      <c r="C174">
        <v>2.12</v>
      </c>
      <c r="D174">
        <v>2.12</v>
      </c>
      <c r="E174">
        <v>2.12</v>
      </c>
      <c r="F174">
        <v>2.12</v>
      </c>
      <c r="G174">
        <v>2.12</v>
      </c>
      <c r="H174">
        <v>2.12</v>
      </c>
    </row>
    <row r="175" spans="1:8" ht="15" hidden="1" customHeight="1" outlineLevel="1">
      <c r="A175">
        <v>2.5</v>
      </c>
      <c r="B175">
        <v>2.15</v>
      </c>
      <c r="C175">
        <v>2.15</v>
      </c>
      <c r="D175">
        <v>2.15</v>
      </c>
      <c r="E175">
        <v>2.15</v>
      </c>
      <c r="F175">
        <v>2.15</v>
      </c>
      <c r="G175">
        <v>2.15</v>
      </c>
      <c r="H175">
        <v>2.15</v>
      </c>
    </row>
    <row r="176" spans="1:8" ht="15" hidden="1" customHeight="1" outlineLevel="1">
      <c r="A176">
        <v>3</v>
      </c>
      <c r="B176">
        <v>2.2200000000000002</v>
      </c>
      <c r="C176">
        <v>2.2200000000000002</v>
      </c>
      <c r="D176">
        <v>2.2200000000000002</v>
      </c>
      <c r="E176">
        <v>2.2200000000000002</v>
      </c>
      <c r="F176">
        <v>2.2200000000000002</v>
      </c>
      <c r="G176">
        <v>2.2200000000000002</v>
      </c>
      <c r="H176">
        <v>2.2200000000000002</v>
      </c>
    </row>
    <row r="177" spans="1:8" ht="15" hidden="1" customHeight="1" outlineLevel="1">
      <c r="A177">
        <v>3.5</v>
      </c>
      <c r="B177">
        <v>2.2799999999999998</v>
      </c>
      <c r="C177">
        <v>2.2799999999999998</v>
      </c>
      <c r="D177">
        <v>2.2799999999999998</v>
      </c>
      <c r="E177">
        <v>2.2799999999999998</v>
      </c>
      <c r="F177">
        <v>2.2799999999999998</v>
      </c>
      <c r="G177">
        <v>2.2799999999999998</v>
      </c>
      <c r="H177">
        <v>2.2799999999999998</v>
      </c>
    </row>
    <row r="178" spans="1:8" ht="15" hidden="1" customHeight="1" outlineLevel="1">
      <c r="A178">
        <v>4</v>
      </c>
      <c r="B178">
        <v>2.34</v>
      </c>
      <c r="C178">
        <v>2.34</v>
      </c>
      <c r="D178">
        <v>2.34</v>
      </c>
      <c r="E178">
        <v>2.34</v>
      </c>
      <c r="F178">
        <v>2.34</v>
      </c>
      <c r="G178">
        <v>2.34</v>
      </c>
      <c r="H178">
        <v>2.34</v>
      </c>
    </row>
    <row r="179" spans="1:8" ht="15" hidden="1" customHeight="1" outlineLevel="1">
      <c r="A179">
        <v>4.5</v>
      </c>
      <c r="B179">
        <v>2.39</v>
      </c>
      <c r="C179">
        <v>2.39</v>
      </c>
      <c r="D179">
        <v>2.39</v>
      </c>
      <c r="E179">
        <v>2.39</v>
      </c>
      <c r="F179">
        <v>2.39</v>
      </c>
      <c r="G179">
        <v>2.39</v>
      </c>
      <c r="H179">
        <v>2.39</v>
      </c>
    </row>
    <row r="180" spans="1:8" ht="15" hidden="1" customHeight="1" outlineLevel="1">
      <c r="A180" s="187">
        <v>5</v>
      </c>
      <c r="B180" s="187">
        <v>2.4300000000000002</v>
      </c>
      <c r="C180" s="187">
        <v>2.4300000000000002</v>
      </c>
      <c r="D180" s="187">
        <v>2.4300000000000002</v>
      </c>
      <c r="E180" s="187">
        <v>2.4300000000000002</v>
      </c>
      <c r="F180" s="187">
        <v>2.4300000000000002</v>
      </c>
      <c r="G180" s="187">
        <v>2.4300000000000002</v>
      </c>
      <c r="H180" s="187">
        <v>2.4300000000000002</v>
      </c>
    </row>
    <row r="181" spans="1:8" ht="15" hidden="1" customHeight="1" outlineLevel="1">
      <c r="A181" t="s">
        <v>585</v>
      </c>
      <c r="B181">
        <v>7</v>
      </c>
      <c r="C181">
        <v>7</v>
      </c>
      <c r="D181">
        <v>7</v>
      </c>
      <c r="E181">
        <v>7</v>
      </c>
      <c r="F181">
        <v>7</v>
      </c>
      <c r="G181">
        <v>7</v>
      </c>
      <c r="H181">
        <v>7</v>
      </c>
    </row>
    <row r="182" spans="1:8" ht="15" hidden="1" customHeight="1" outlineLevel="1">
      <c r="A182">
        <v>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</row>
    <row r="183" spans="1:8" ht="15" hidden="1" customHeight="1" outlineLevel="1">
      <c r="A183">
        <v>0.3</v>
      </c>
      <c r="B183">
        <v>2.0099999999999998</v>
      </c>
      <c r="C183">
        <v>2.0099999999999998</v>
      </c>
      <c r="D183">
        <v>2.0099999999999998</v>
      </c>
      <c r="E183">
        <v>2.0099999999999998</v>
      </c>
      <c r="F183">
        <v>2.0099999999999998</v>
      </c>
      <c r="G183">
        <v>2.0099999999999998</v>
      </c>
      <c r="H183">
        <v>2.0099999999999998</v>
      </c>
    </row>
    <row r="184" spans="1:8" ht="15" hidden="1" customHeight="1" outlineLevel="1">
      <c r="A184">
        <v>0.4</v>
      </c>
      <c r="B184">
        <v>2.02</v>
      </c>
      <c r="C184">
        <v>2.02</v>
      </c>
      <c r="D184">
        <v>2.02</v>
      </c>
      <c r="E184">
        <v>2.02</v>
      </c>
      <c r="F184">
        <v>2.02</v>
      </c>
      <c r="G184">
        <v>2.02</v>
      </c>
      <c r="H184">
        <v>2.02</v>
      </c>
    </row>
    <row r="185" spans="1:8" ht="15" hidden="1" customHeight="1" outlineLevel="1">
      <c r="A185">
        <v>0.5</v>
      </c>
      <c r="B185">
        <v>2.0299999999999998</v>
      </c>
      <c r="C185">
        <v>2.0299999999999998</v>
      </c>
      <c r="D185">
        <v>2.0299999999999998</v>
      </c>
      <c r="E185">
        <v>2.0299999999999998</v>
      </c>
      <c r="F185">
        <v>2.0299999999999998</v>
      </c>
      <c r="G185">
        <v>2.0299999999999998</v>
      </c>
      <c r="H185">
        <v>2.0299999999999998</v>
      </c>
    </row>
    <row r="186" spans="1:8" ht="15" hidden="1" customHeight="1" outlineLevel="1">
      <c r="A186">
        <v>0.6</v>
      </c>
      <c r="B186">
        <v>2.0499999999999998</v>
      </c>
      <c r="C186">
        <v>2.0499999999999998</v>
      </c>
      <c r="D186">
        <v>2.0499999999999998</v>
      </c>
      <c r="E186">
        <v>2.0499999999999998</v>
      </c>
      <c r="F186">
        <v>2.0499999999999998</v>
      </c>
      <c r="G186">
        <v>2.0499999999999998</v>
      </c>
      <c r="H186">
        <v>2.0499999999999998</v>
      </c>
    </row>
    <row r="187" spans="1:8" ht="15" hidden="1" customHeight="1" outlineLevel="1">
      <c r="A187">
        <v>0.7</v>
      </c>
      <c r="B187">
        <v>2.06</v>
      </c>
      <c r="C187">
        <v>2.06</v>
      </c>
      <c r="D187">
        <v>2.06</v>
      </c>
      <c r="E187">
        <v>2.06</v>
      </c>
      <c r="F187">
        <v>2.06</v>
      </c>
      <c r="G187">
        <v>2.06</v>
      </c>
      <c r="H187">
        <v>2.06</v>
      </c>
    </row>
    <row r="188" spans="1:8" ht="15" hidden="1" customHeight="1" outlineLevel="1">
      <c r="A188">
        <v>0.8</v>
      </c>
      <c r="B188">
        <v>2.1</v>
      </c>
      <c r="C188">
        <v>2.1</v>
      </c>
      <c r="D188">
        <v>2.1</v>
      </c>
      <c r="E188">
        <v>2.1</v>
      </c>
      <c r="F188">
        <v>2.1</v>
      </c>
      <c r="G188">
        <v>2.1</v>
      </c>
      <c r="H188">
        <v>2.1</v>
      </c>
    </row>
    <row r="189" spans="1:8" ht="15" hidden="1" customHeight="1" outlineLevel="1">
      <c r="A189">
        <v>0.9</v>
      </c>
      <c r="B189">
        <v>2.16</v>
      </c>
      <c r="C189">
        <v>2.16</v>
      </c>
      <c r="D189">
        <v>2.16</v>
      </c>
      <c r="E189">
        <v>2.16</v>
      </c>
      <c r="F189">
        <v>2.16</v>
      </c>
      <c r="G189">
        <v>2.16</v>
      </c>
      <c r="H189">
        <v>2.16</v>
      </c>
    </row>
    <row r="190" spans="1:8" ht="15" hidden="1" customHeight="1" outlineLevel="1">
      <c r="A190">
        <v>1</v>
      </c>
      <c r="B190">
        <v>2.2999999999999998</v>
      </c>
      <c r="C190">
        <v>2.2999999999999998</v>
      </c>
      <c r="D190">
        <v>2.2999999999999998</v>
      </c>
      <c r="E190">
        <v>2.2999999999999998</v>
      </c>
      <c r="F190">
        <v>2.2999999999999998</v>
      </c>
      <c r="G190">
        <v>2.2999999999999998</v>
      </c>
      <c r="H190">
        <v>2.2999999999999998</v>
      </c>
    </row>
    <row r="191" spans="1:8" ht="15" hidden="1" customHeight="1" outlineLevel="1">
      <c r="A191">
        <v>1.05</v>
      </c>
      <c r="B191">
        <v>2.36</v>
      </c>
      <c r="C191">
        <v>2.36</v>
      </c>
      <c r="D191">
        <v>2.36</v>
      </c>
      <c r="E191">
        <v>2.36</v>
      </c>
      <c r="F191">
        <v>2.36</v>
      </c>
      <c r="G191">
        <v>2.36</v>
      </c>
      <c r="H191">
        <v>2.36</v>
      </c>
    </row>
    <row r="192" spans="1:8" ht="15" hidden="1" customHeight="1" outlineLevel="1">
      <c r="A192">
        <v>1.1000000000000001</v>
      </c>
      <c r="B192">
        <v>2.4</v>
      </c>
      <c r="C192">
        <v>2.4</v>
      </c>
      <c r="D192">
        <v>2.4</v>
      </c>
      <c r="E192">
        <v>2.4</v>
      </c>
      <c r="F192">
        <v>2.4</v>
      </c>
      <c r="G192">
        <v>2.4</v>
      </c>
      <c r="H192">
        <v>2.4</v>
      </c>
    </row>
    <row r="193" spans="1:8" ht="15" hidden="1" customHeight="1" outlineLevel="1">
      <c r="A193">
        <v>1.1499999999999999</v>
      </c>
      <c r="B193">
        <v>2.38</v>
      </c>
      <c r="C193">
        <v>2.38</v>
      </c>
      <c r="D193">
        <v>2.38</v>
      </c>
      <c r="E193">
        <v>2.38</v>
      </c>
      <c r="F193">
        <v>2.38</v>
      </c>
      <c r="G193">
        <v>2.38</v>
      </c>
      <c r="H193">
        <v>2.38</v>
      </c>
    </row>
    <row r="194" spans="1:8" ht="15" hidden="1" customHeight="1" outlineLevel="1">
      <c r="A194">
        <v>1.2</v>
      </c>
      <c r="B194">
        <v>2.2999999999999998</v>
      </c>
      <c r="C194">
        <v>2.2999999999999998</v>
      </c>
      <c r="D194">
        <v>2.2999999999999998</v>
      </c>
      <c r="E194">
        <v>2.2999999999999998</v>
      </c>
      <c r="F194">
        <v>2.2999999999999998</v>
      </c>
      <c r="G194">
        <v>2.2999999999999998</v>
      </c>
      <c r="H194">
        <v>2.2999999999999998</v>
      </c>
    </row>
    <row r="195" spans="1:8" ht="15" hidden="1" customHeight="1" outlineLevel="1">
      <c r="A195">
        <v>1.3</v>
      </c>
      <c r="B195">
        <v>2.21</v>
      </c>
      <c r="C195">
        <v>2.21</v>
      </c>
      <c r="D195">
        <v>2.21</v>
      </c>
      <c r="E195">
        <v>2.21</v>
      </c>
      <c r="F195">
        <v>2.21</v>
      </c>
      <c r="G195">
        <v>2.21</v>
      </c>
      <c r="H195">
        <v>2.21</v>
      </c>
    </row>
    <row r="196" spans="1:8" ht="15" hidden="1" customHeight="1" outlineLevel="1">
      <c r="A196">
        <v>1.4</v>
      </c>
      <c r="B196">
        <v>2.13</v>
      </c>
      <c r="C196">
        <v>2.13</v>
      </c>
      <c r="D196">
        <v>2.13</v>
      </c>
      <c r="E196">
        <v>2.13</v>
      </c>
      <c r="F196">
        <v>2.13</v>
      </c>
      <c r="G196">
        <v>2.13</v>
      </c>
      <c r="H196">
        <v>2.13</v>
      </c>
    </row>
    <row r="197" spans="1:8" ht="15" hidden="1" customHeight="1" outlineLevel="1">
      <c r="A197">
        <v>1.5</v>
      </c>
      <c r="B197">
        <v>2.08</v>
      </c>
      <c r="C197">
        <v>2.08</v>
      </c>
      <c r="D197">
        <v>2.08</v>
      </c>
      <c r="E197">
        <v>2.08</v>
      </c>
      <c r="F197">
        <v>2.08</v>
      </c>
      <c r="G197">
        <v>2.08</v>
      </c>
      <c r="H197">
        <v>2.08</v>
      </c>
    </row>
    <row r="198" spans="1:8" ht="15" hidden="1" customHeight="1" outlineLevel="1">
      <c r="A198">
        <v>1.75</v>
      </c>
      <c r="B198">
        <v>2.0299999999999998</v>
      </c>
      <c r="C198">
        <v>2.0299999999999998</v>
      </c>
      <c r="D198">
        <v>2.0299999999999998</v>
      </c>
      <c r="E198">
        <v>2.0299999999999998</v>
      </c>
      <c r="F198">
        <v>2.0299999999999998</v>
      </c>
      <c r="G198">
        <v>2.0299999999999998</v>
      </c>
      <c r="H198">
        <v>2.0299999999999998</v>
      </c>
    </row>
    <row r="199" spans="1:8" ht="15" hidden="1" customHeight="1" outlineLevel="1">
      <c r="A199">
        <v>2</v>
      </c>
      <c r="B199">
        <v>2.0099999999999998</v>
      </c>
      <c r="C199">
        <v>2.0099999999999998</v>
      </c>
      <c r="D199">
        <v>2.0099999999999998</v>
      </c>
      <c r="E199">
        <v>2.0099999999999998</v>
      </c>
      <c r="F199">
        <v>2.0099999999999998</v>
      </c>
      <c r="G199">
        <v>2.0099999999999998</v>
      </c>
      <c r="H199">
        <v>2.0099999999999998</v>
      </c>
    </row>
    <row r="200" spans="1:8" ht="15" hidden="1" customHeight="1" outlineLevel="1">
      <c r="A200">
        <v>2.25</v>
      </c>
      <c r="B200">
        <v>2.0299999999999998</v>
      </c>
      <c r="C200">
        <v>2.0299999999999998</v>
      </c>
      <c r="D200">
        <v>2.0299999999999998</v>
      </c>
      <c r="E200">
        <v>2.0299999999999998</v>
      </c>
      <c r="F200">
        <v>2.0299999999999998</v>
      </c>
      <c r="G200">
        <v>2.0299999999999998</v>
      </c>
      <c r="H200">
        <v>2.0299999999999998</v>
      </c>
    </row>
    <row r="201" spans="1:8" ht="15" hidden="1" customHeight="1" outlineLevel="1">
      <c r="A201">
        <v>2.5</v>
      </c>
      <c r="B201">
        <v>2.06</v>
      </c>
      <c r="C201">
        <v>2.06</v>
      </c>
      <c r="D201">
        <v>2.06</v>
      </c>
      <c r="E201">
        <v>2.06</v>
      </c>
      <c r="F201">
        <v>2.06</v>
      </c>
      <c r="G201">
        <v>2.06</v>
      </c>
      <c r="H201">
        <v>2.06</v>
      </c>
    </row>
    <row r="202" spans="1:8" ht="15" hidden="1" customHeight="1" outlineLevel="1">
      <c r="A202">
        <v>3</v>
      </c>
      <c r="B202">
        <v>2.1</v>
      </c>
      <c r="C202">
        <v>2.1</v>
      </c>
      <c r="D202">
        <v>2.1</v>
      </c>
      <c r="E202">
        <v>2.1</v>
      </c>
      <c r="F202">
        <v>2.1</v>
      </c>
      <c r="G202">
        <v>2.1</v>
      </c>
      <c r="H202">
        <v>2.1</v>
      </c>
    </row>
    <row r="203" spans="1:8" ht="15" hidden="1" customHeight="1" outlineLevel="1">
      <c r="A203">
        <v>3.5</v>
      </c>
      <c r="B203">
        <v>2.14</v>
      </c>
      <c r="C203">
        <v>2.14</v>
      </c>
      <c r="D203">
        <v>2.14</v>
      </c>
      <c r="E203">
        <v>2.14</v>
      </c>
      <c r="F203">
        <v>2.14</v>
      </c>
      <c r="G203">
        <v>2.14</v>
      </c>
      <c r="H203">
        <v>2.14</v>
      </c>
    </row>
    <row r="204" spans="1:8" ht="15" hidden="1" customHeight="1" outlineLevel="1">
      <c r="A204">
        <v>4</v>
      </c>
      <c r="B204">
        <v>2.1800000000000002</v>
      </c>
      <c r="C204">
        <v>2.1800000000000002</v>
      </c>
      <c r="D204">
        <v>2.1800000000000002</v>
      </c>
      <c r="E204">
        <v>2.1800000000000002</v>
      </c>
      <c r="F204">
        <v>2.1800000000000002</v>
      </c>
      <c r="G204">
        <v>2.1800000000000002</v>
      </c>
      <c r="H204">
        <v>2.1800000000000002</v>
      </c>
    </row>
    <row r="205" spans="1:8" ht="15" hidden="1" customHeight="1" outlineLevel="1">
      <c r="A205">
        <v>4.5</v>
      </c>
      <c r="B205">
        <v>2.21</v>
      </c>
      <c r="C205">
        <v>2.21</v>
      </c>
      <c r="D205">
        <v>2.21</v>
      </c>
      <c r="E205">
        <v>2.21</v>
      </c>
      <c r="F205">
        <v>2.21</v>
      </c>
      <c r="G205">
        <v>2.21</v>
      </c>
      <c r="H205">
        <v>2.21</v>
      </c>
    </row>
    <row r="206" spans="1:8" ht="15" hidden="1" customHeight="1" outlineLevel="1">
      <c r="A206" s="187">
        <v>5</v>
      </c>
      <c r="B206" s="187">
        <v>2.2400000000000002</v>
      </c>
      <c r="C206" s="187">
        <v>2.2400000000000002</v>
      </c>
      <c r="D206" s="187">
        <v>2.2400000000000002</v>
      </c>
      <c r="E206" s="187">
        <v>2.2400000000000002</v>
      </c>
      <c r="F206" s="187">
        <v>2.2400000000000002</v>
      </c>
      <c r="G206" s="187">
        <v>2.2400000000000002</v>
      </c>
      <c r="H206" s="187">
        <v>2.2400000000000002</v>
      </c>
    </row>
    <row r="207" spans="1:8" ht="15" customHeight="1" collapsed="1">
      <c r="A207" s="310" t="s">
        <v>604</v>
      </c>
    </row>
    <row r="208" spans="1:8" ht="15" hidden="1" customHeight="1" outlineLevel="1">
      <c r="A208" t="s">
        <v>84</v>
      </c>
      <c r="B208" t="s">
        <v>391</v>
      </c>
      <c r="C208" t="s">
        <v>391</v>
      </c>
      <c r="D208" t="s">
        <v>391</v>
      </c>
      <c r="E208" t="s">
        <v>391</v>
      </c>
      <c r="F208" t="s">
        <v>391</v>
      </c>
      <c r="G208" t="s">
        <v>391</v>
      </c>
      <c r="H208" t="s">
        <v>391</v>
      </c>
    </row>
    <row r="209" spans="1:8" ht="15" hidden="1" customHeight="1" outlineLevel="1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</row>
    <row r="210" spans="1:8" ht="15" hidden="1" customHeight="1" outlineLevel="1">
      <c r="A210">
        <v>5</v>
      </c>
      <c r="B210">
        <v>5.0000000000000001E-3</v>
      </c>
      <c r="C210">
        <v>5.0000000000000001E-3</v>
      </c>
      <c r="D210">
        <v>5.0000000000000001E-3</v>
      </c>
      <c r="E210">
        <v>5.0000000000000001E-3</v>
      </c>
      <c r="F210">
        <v>5.0000000000000001E-3</v>
      </c>
      <c r="G210">
        <v>5.0000000000000001E-3</v>
      </c>
      <c r="H210">
        <v>5.0000000000000001E-3</v>
      </c>
    </row>
    <row r="211" spans="1:8" ht="15" hidden="1" customHeight="1" outlineLevel="1">
      <c r="A211">
        <v>10</v>
      </c>
      <c r="B211">
        <v>1.4999999999999999E-2</v>
      </c>
      <c r="C211">
        <v>1.4999999999999999E-2</v>
      </c>
      <c r="D211">
        <v>1.4999999999999999E-2</v>
      </c>
      <c r="E211">
        <v>1.4999999999999999E-2</v>
      </c>
      <c r="F211">
        <v>1.4999999999999999E-2</v>
      </c>
      <c r="G211">
        <v>1.4999999999999999E-2</v>
      </c>
      <c r="H211">
        <v>1.4999999999999999E-2</v>
      </c>
    </row>
    <row r="212" spans="1:8" ht="15" hidden="1" customHeight="1" outlineLevel="1">
      <c r="A212">
        <v>15</v>
      </c>
      <c r="B212">
        <v>3.5000000000000003E-2</v>
      </c>
      <c r="C212">
        <v>3.5000000000000003E-2</v>
      </c>
      <c r="D212">
        <v>3.5000000000000003E-2</v>
      </c>
      <c r="E212">
        <v>3.5000000000000003E-2</v>
      </c>
      <c r="F212">
        <v>3.5000000000000003E-2</v>
      </c>
      <c r="G212">
        <v>3.5000000000000003E-2</v>
      </c>
      <c r="H212">
        <v>3.5000000000000003E-2</v>
      </c>
    </row>
    <row r="213" spans="1:8" ht="15" hidden="1" customHeight="1" outlineLevel="1">
      <c r="A213">
        <v>20</v>
      </c>
      <c r="B213">
        <v>6.5000000000000002E-2</v>
      </c>
      <c r="C213">
        <v>6.5000000000000002E-2</v>
      </c>
      <c r="D213">
        <v>6.5000000000000002E-2</v>
      </c>
      <c r="E213">
        <v>6.5000000000000002E-2</v>
      </c>
      <c r="F213">
        <v>6.5000000000000002E-2</v>
      </c>
      <c r="G213">
        <v>6.5000000000000002E-2</v>
      </c>
      <c r="H213">
        <v>6.5000000000000002E-2</v>
      </c>
    </row>
    <row r="214" spans="1:8" ht="15" hidden="1" customHeight="1" outlineLevel="1">
      <c r="A214">
        <v>25</v>
      </c>
      <c r="B214">
        <v>0.11</v>
      </c>
      <c r="C214">
        <v>0.11</v>
      </c>
      <c r="D214">
        <v>0.11</v>
      </c>
      <c r="E214">
        <v>0.11</v>
      </c>
      <c r="F214">
        <v>0.11</v>
      </c>
      <c r="G214">
        <v>0.11</v>
      </c>
      <c r="H214">
        <v>0.11</v>
      </c>
    </row>
    <row r="215" spans="1:8" ht="15" hidden="1" customHeight="1" outlineLevel="1">
      <c r="A215">
        <v>30</v>
      </c>
      <c r="B215">
        <v>0.17499999999999999</v>
      </c>
      <c r="C215">
        <v>0.17499999999999999</v>
      </c>
      <c r="D215">
        <v>0.17499999999999999</v>
      </c>
      <c r="E215">
        <v>0.17499999999999999</v>
      </c>
      <c r="F215">
        <v>0.17499999999999999</v>
      </c>
      <c r="G215">
        <v>0.17499999999999999</v>
      </c>
      <c r="H215">
        <v>0.17499999999999999</v>
      </c>
    </row>
    <row r="216" spans="1:8" ht="15" customHeight="1" collapsed="1">
      <c r="A216" s="310" t="s">
        <v>605</v>
      </c>
      <c r="B216" s="310" t="s">
        <v>396</v>
      </c>
      <c r="C216" s="310" t="s">
        <v>396</v>
      </c>
      <c r="D216" s="310" t="s">
        <v>396</v>
      </c>
      <c r="E216" s="310" t="s">
        <v>396</v>
      </c>
      <c r="F216" s="310" t="s">
        <v>396</v>
      </c>
      <c r="G216" s="310" t="s">
        <v>396</v>
      </c>
      <c r="H216" s="310" t="s">
        <v>396</v>
      </c>
    </row>
    <row r="217" spans="1:8" ht="15" hidden="1" customHeight="1" outlineLevel="1">
      <c r="A217">
        <v>0</v>
      </c>
      <c r="B217">
        <v>6.3E-2</v>
      </c>
      <c r="C217">
        <v>6.3E-2</v>
      </c>
      <c r="D217">
        <v>6.3E-2</v>
      </c>
      <c r="E217">
        <v>6.3E-2</v>
      </c>
      <c r="F217">
        <v>6.3E-2</v>
      </c>
      <c r="G217">
        <v>6.3E-2</v>
      </c>
      <c r="H217">
        <v>6.3E-2</v>
      </c>
    </row>
    <row r="218" spans="1:8" ht="15" hidden="1" customHeight="1" outlineLevel="1">
      <c r="A218">
        <v>0.5</v>
      </c>
      <c r="B218">
        <v>6.8000000000000005E-2</v>
      </c>
      <c r="C218">
        <v>6.8000000000000005E-2</v>
      </c>
      <c r="D218">
        <v>6.8000000000000005E-2</v>
      </c>
      <c r="E218">
        <v>6.8000000000000005E-2</v>
      </c>
      <c r="F218">
        <v>6.8000000000000005E-2</v>
      </c>
      <c r="G218">
        <v>6.8000000000000005E-2</v>
      </c>
      <c r="H218">
        <v>6.8000000000000005E-2</v>
      </c>
    </row>
    <row r="219" spans="1:8" ht="15" hidden="1" customHeight="1" outlineLevel="1">
      <c r="A219">
        <v>0.7</v>
      </c>
      <c r="B219">
        <v>6.9000000000000006E-2</v>
      </c>
      <c r="C219">
        <v>6.9000000000000006E-2</v>
      </c>
      <c r="D219">
        <v>6.9000000000000006E-2</v>
      </c>
      <c r="E219">
        <v>6.9000000000000006E-2</v>
      </c>
      <c r="F219">
        <v>6.9000000000000006E-2</v>
      </c>
      <c r="G219">
        <v>6.9000000000000006E-2</v>
      </c>
      <c r="H219">
        <v>6.9000000000000006E-2</v>
      </c>
    </row>
    <row r="220" spans="1:8" ht="15" hidden="1" customHeight="1" outlineLevel="1">
      <c r="A220">
        <v>0.8</v>
      </c>
      <c r="B220">
        <v>6.9000000000000006E-2</v>
      </c>
      <c r="C220">
        <v>6.9000000000000006E-2</v>
      </c>
      <c r="D220">
        <v>6.9000000000000006E-2</v>
      </c>
      <c r="E220">
        <v>6.9000000000000006E-2</v>
      </c>
      <c r="F220">
        <v>6.9000000000000006E-2</v>
      </c>
      <c r="G220">
        <v>6.9000000000000006E-2</v>
      </c>
      <c r="H220">
        <v>6.9000000000000006E-2</v>
      </c>
    </row>
    <row r="221" spans="1:8" ht="15" hidden="1" customHeight="1" outlineLevel="1">
      <c r="A221">
        <v>0.9</v>
      </c>
      <c r="B221">
        <v>6.7000000000000004E-2</v>
      </c>
      <c r="C221">
        <v>6.7000000000000004E-2</v>
      </c>
      <c r="D221">
        <v>6.7000000000000004E-2</v>
      </c>
      <c r="E221">
        <v>6.7000000000000004E-2</v>
      </c>
      <c r="F221">
        <v>6.7000000000000004E-2</v>
      </c>
      <c r="G221">
        <v>6.7000000000000004E-2</v>
      </c>
      <c r="H221">
        <v>6.7000000000000004E-2</v>
      </c>
    </row>
    <row r="222" spans="1:8" ht="15" hidden="1" customHeight="1" outlineLevel="1">
      <c r="A222">
        <v>1</v>
      </c>
      <c r="B222">
        <v>6.6000000000000003E-2</v>
      </c>
      <c r="C222">
        <v>6.6000000000000003E-2</v>
      </c>
      <c r="D222">
        <v>6.6000000000000003E-2</v>
      </c>
      <c r="E222">
        <v>6.6000000000000003E-2</v>
      </c>
      <c r="F222">
        <v>6.6000000000000003E-2</v>
      </c>
      <c r="G222">
        <v>6.6000000000000003E-2</v>
      </c>
      <c r="H222">
        <v>6.6000000000000003E-2</v>
      </c>
    </row>
    <row r="223" spans="1:8" ht="15" hidden="1" customHeight="1" outlineLevel="1">
      <c r="A223">
        <v>1.2</v>
      </c>
      <c r="B223">
        <v>6.3E-2</v>
      </c>
      <c r="C223">
        <v>6.3E-2</v>
      </c>
      <c r="D223">
        <v>6.3E-2</v>
      </c>
      <c r="E223">
        <v>6.3E-2</v>
      </c>
      <c r="F223">
        <v>6.3E-2</v>
      </c>
      <c r="G223">
        <v>6.3E-2</v>
      </c>
      <c r="H223">
        <v>6.3E-2</v>
      </c>
    </row>
    <row r="224" spans="1:8" ht="15" hidden="1" customHeight="1" outlineLevel="1">
      <c r="A224">
        <v>1.5</v>
      </c>
      <c r="B224">
        <v>5.7000000000000002E-2</v>
      </c>
      <c r="C224">
        <v>5.7000000000000002E-2</v>
      </c>
      <c r="D224">
        <v>5.7000000000000002E-2</v>
      </c>
      <c r="E224">
        <v>5.7000000000000002E-2</v>
      </c>
      <c r="F224">
        <v>5.7000000000000002E-2</v>
      </c>
      <c r="G224">
        <v>5.7000000000000002E-2</v>
      </c>
      <c r="H224">
        <v>5.7000000000000002E-2</v>
      </c>
    </row>
    <row r="225" spans="1:8" ht="15" hidden="1" customHeight="1" outlineLevel="1">
      <c r="A225">
        <v>2</v>
      </c>
      <c r="B225">
        <v>0.06</v>
      </c>
      <c r="C225">
        <v>0.06</v>
      </c>
      <c r="D225">
        <v>0.06</v>
      </c>
      <c r="E225">
        <v>0.06</v>
      </c>
      <c r="F225">
        <v>0.06</v>
      </c>
      <c r="G225">
        <v>0.06</v>
      </c>
      <c r="H225">
        <v>0.06</v>
      </c>
    </row>
    <row r="226" spans="1:8" ht="15" hidden="1" customHeight="1" outlineLevel="1">
      <c r="A226">
        <v>2.5</v>
      </c>
      <c r="B226">
        <v>6.6000000000000003E-2</v>
      </c>
      <c r="C226">
        <v>6.6000000000000003E-2</v>
      </c>
      <c r="D226">
        <v>6.6000000000000003E-2</v>
      </c>
      <c r="E226">
        <v>6.6000000000000003E-2</v>
      </c>
      <c r="F226">
        <v>6.6000000000000003E-2</v>
      </c>
      <c r="G226">
        <v>6.6000000000000003E-2</v>
      </c>
      <c r="H226">
        <v>6.6000000000000003E-2</v>
      </c>
    </row>
    <row r="227" spans="1:8" ht="15" hidden="1" customHeight="1" outlineLevel="1">
      <c r="A227">
        <v>3</v>
      </c>
      <c r="B227">
        <v>7.6999999999999999E-2</v>
      </c>
      <c r="C227">
        <v>7.6999999999999999E-2</v>
      </c>
      <c r="D227">
        <v>7.6999999999999999E-2</v>
      </c>
      <c r="E227">
        <v>7.6999999999999999E-2</v>
      </c>
      <c r="F227">
        <v>7.6999999999999999E-2</v>
      </c>
      <c r="G227">
        <v>7.6999999999999999E-2</v>
      </c>
      <c r="H227">
        <v>7.6999999999999999E-2</v>
      </c>
    </row>
    <row r="228" spans="1:8" ht="15" hidden="1" customHeight="1" outlineLevel="1">
      <c r="A228">
        <v>3.5</v>
      </c>
      <c r="B228">
        <v>9.1999999999999998E-2</v>
      </c>
      <c r="C228">
        <v>9.1999999999999998E-2</v>
      </c>
      <c r="D228">
        <v>9.1999999999999998E-2</v>
      </c>
      <c r="E228">
        <v>9.1999999999999998E-2</v>
      </c>
      <c r="F228">
        <v>9.1999999999999998E-2</v>
      </c>
      <c r="G228">
        <v>9.1999999999999998E-2</v>
      </c>
      <c r="H228">
        <v>9.1999999999999998E-2</v>
      </c>
    </row>
    <row r="229" spans="1:8" ht="15" hidden="1" customHeight="1" outlineLevel="1">
      <c r="A229">
        <v>4</v>
      </c>
      <c r="B229">
        <v>0.115</v>
      </c>
      <c r="C229">
        <v>0.115</v>
      </c>
      <c r="D229">
        <v>0.115</v>
      </c>
      <c r="E229">
        <v>0.115</v>
      </c>
      <c r="F229">
        <v>0.115</v>
      </c>
      <c r="G229">
        <v>0.115</v>
      </c>
      <c r="H229">
        <v>0.115</v>
      </c>
    </row>
    <row r="230" spans="1:8" ht="15" customHeight="1" collapsed="1"/>
    <row r="231" spans="1:8" ht="15" customHeight="1">
      <c r="A231" t="s">
        <v>606</v>
      </c>
    </row>
    <row r="232" spans="1:8" ht="15" hidden="1" customHeight="1" outlineLevel="1">
      <c r="A232" s="305" t="s">
        <v>386</v>
      </c>
      <c r="B232" s="305">
        <v>1.5</v>
      </c>
      <c r="C232" s="305">
        <v>1.5</v>
      </c>
      <c r="D232" s="305">
        <v>1.5</v>
      </c>
      <c r="E232" s="305">
        <v>1.5</v>
      </c>
      <c r="F232" s="305">
        <v>1.5</v>
      </c>
      <c r="G232" s="305">
        <v>1.5</v>
      </c>
      <c r="H232" s="305">
        <v>1.5</v>
      </c>
    </row>
    <row r="233" spans="1:8" ht="15" hidden="1" customHeight="1" outlineLevel="1">
      <c r="A233" s="305">
        <v>0</v>
      </c>
      <c r="B233" s="305">
        <v>0.46600000000000003</v>
      </c>
      <c r="C233" s="305">
        <v>0.46600000000000003</v>
      </c>
      <c r="D233" s="305">
        <v>0.46600000000000003</v>
      </c>
      <c r="E233" s="305">
        <v>0.46600000000000003</v>
      </c>
      <c r="F233" s="305">
        <v>0.46600000000000003</v>
      </c>
      <c r="G233" s="305">
        <v>0.46600000000000003</v>
      </c>
      <c r="H233" s="305">
        <v>0.46600000000000003</v>
      </c>
    </row>
    <row r="234" spans="1:8" ht="15" hidden="1" customHeight="1" outlineLevel="1">
      <c r="A234" s="305">
        <v>1</v>
      </c>
      <c r="B234" s="305">
        <v>0.46600000000000003</v>
      </c>
      <c r="C234" s="305">
        <v>0.46600000000000003</v>
      </c>
      <c r="D234" s="305">
        <v>0.46600000000000003</v>
      </c>
      <c r="E234" s="305">
        <v>0.46600000000000003</v>
      </c>
      <c r="F234" s="305">
        <v>0.46600000000000003</v>
      </c>
      <c r="G234" s="305">
        <v>0.46600000000000003</v>
      </c>
      <c r="H234" s="305">
        <v>0.46600000000000003</v>
      </c>
    </row>
    <row r="235" spans="1:8" ht="15" hidden="1" customHeight="1" outlineLevel="1">
      <c r="A235" s="305">
        <v>2</v>
      </c>
      <c r="B235" s="305">
        <v>0.75</v>
      </c>
      <c r="C235" s="305">
        <v>0.75</v>
      </c>
      <c r="D235" s="305">
        <v>0.75</v>
      </c>
      <c r="E235" s="305">
        <v>0.75</v>
      </c>
      <c r="F235" s="305">
        <v>0.75</v>
      </c>
      <c r="G235" s="305">
        <v>0.75</v>
      </c>
      <c r="H235" s="305">
        <v>0.75</v>
      </c>
    </row>
    <row r="236" spans="1:8" ht="15" hidden="1" customHeight="1" outlineLevel="1">
      <c r="A236" s="305">
        <v>3</v>
      </c>
      <c r="B236" s="305">
        <v>0.93</v>
      </c>
      <c r="C236" s="305">
        <v>0.93</v>
      </c>
      <c r="D236" s="305">
        <v>0.93</v>
      </c>
      <c r="E236" s="305">
        <v>0.93</v>
      </c>
      <c r="F236" s="305">
        <v>0.93</v>
      </c>
      <c r="G236" s="305">
        <v>0.93</v>
      </c>
      <c r="H236" s="305">
        <v>0.93</v>
      </c>
    </row>
    <row r="237" spans="1:8" ht="15" hidden="1" customHeight="1" outlineLevel="1">
      <c r="A237" s="305">
        <v>4</v>
      </c>
      <c r="B237" s="305">
        <v>1.2</v>
      </c>
      <c r="C237" s="305">
        <v>1.2</v>
      </c>
      <c r="D237" s="305">
        <v>1.2</v>
      </c>
      <c r="E237" s="305">
        <v>1.2</v>
      </c>
      <c r="F237" s="305">
        <v>1.2</v>
      </c>
      <c r="G237" s="305">
        <v>1.2</v>
      </c>
      <c r="H237" s="305">
        <v>1.2</v>
      </c>
    </row>
    <row r="238" spans="1:8" ht="15" hidden="1" customHeight="1" outlineLevel="1">
      <c r="A238" s="306">
        <v>5</v>
      </c>
      <c r="B238" s="306">
        <v>1.35</v>
      </c>
      <c r="C238" s="306">
        <v>1.35</v>
      </c>
      <c r="D238" s="306">
        <v>1.35</v>
      </c>
      <c r="E238" s="306">
        <v>1.35</v>
      </c>
      <c r="F238" s="306">
        <v>1.35</v>
      </c>
      <c r="G238" s="306">
        <v>1.35</v>
      </c>
      <c r="H238" s="306">
        <v>1.35</v>
      </c>
    </row>
    <row r="239" spans="1:8" ht="15" hidden="1" customHeight="1" outlineLevel="1">
      <c r="B239" s="305">
        <v>2</v>
      </c>
      <c r="C239" s="305">
        <v>2</v>
      </c>
      <c r="D239" s="305">
        <v>2</v>
      </c>
      <c r="E239" s="305">
        <v>2</v>
      </c>
      <c r="F239" s="305">
        <v>2</v>
      </c>
      <c r="G239" s="305">
        <v>2</v>
      </c>
      <c r="H239" s="305">
        <v>2</v>
      </c>
    </row>
    <row r="240" spans="1:8" ht="15" hidden="1" customHeight="1" outlineLevel="1">
      <c r="A240" s="305">
        <v>0</v>
      </c>
      <c r="B240" s="305">
        <v>0.46600000000000003</v>
      </c>
      <c r="C240" s="305">
        <v>0.46600000000000003</v>
      </c>
      <c r="D240" s="305">
        <v>0.46600000000000003</v>
      </c>
      <c r="E240" s="305">
        <v>0.46600000000000003</v>
      </c>
      <c r="F240" s="305">
        <v>0.46600000000000003</v>
      </c>
      <c r="G240" s="305">
        <v>0.46600000000000003</v>
      </c>
      <c r="H240" s="305">
        <v>0.46600000000000003</v>
      </c>
    </row>
    <row r="241" spans="1:8" ht="15" hidden="1" customHeight="1" outlineLevel="1">
      <c r="A241" s="305">
        <v>1</v>
      </c>
      <c r="B241" s="305">
        <v>0.46600000000000003</v>
      </c>
      <c r="C241" s="305">
        <v>0.46600000000000003</v>
      </c>
      <c r="D241" s="305">
        <v>0.46600000000000003</v>
      </c>
      <c r="E241" s="305">
        <v>0.46600000000000003</v>
      </c>
      <c r="F241" s="305">
        <v>0.46600000000000003</v>
      </c>
      <c r="G241" s="305">
        <v>0.46600000000000003</v>
      </c>
      <c r="H241" s="305">
        <v>0.46600000000000003</v>
      </c>
    </row>
    <row r="242" spans="1:8" ht="15" hidden="1" customHeight="1" outlineLevel="1">
      <c r="A242" s="305">
        <v>2</v>
      </c>
      <c r="B242" s="305">
        <v>1.02</v>
      </c>
      <c r="C242" s="305">
        <v>1.02</v>
      </c>
      <c r="D242" s="305">
        <v>1.02</v>
      </c>
      <c r="E242" s="305">
        <v>1.02</v>
      </c>
      <c r="F242" s="305">
        <v>1.02</v>
      </c>
      <c r="G242" s="305">
        <v>1.02</v>
      </c>
      <c r="H242" s="305">
        <v>1.02</v>
      </c>
    </row>
    <row r="243" spans="1:8" ht="15" hidden="1" customHeight="1" outlineLevel="1">
      <c r="A243" s="305">
        <v>3</v>
      </c>
      <c r="B243" s="305">
        <v>1.25</v>
      </c>
      <c r="C243" s="305">
        <v>1.25</v>
      </c>
      <c r="D243" s="305">
        <v>1.25</v>
      </c>
      <c r="E243" s="305">
        <v>1.25</v>
      </c>
      <c r="F243" s="305">
        <v>1.25</v>
      </c>
      <c r="G243" s="305">
        <v>1.25</v>
      </c>
      <c r="H243" s="305">
        <v>1.25</v>
      </c>
    </row>
    <row r="244" spans="1:8" ht="15" hidden="1" customHeight="1" outlineLevel="1">
      <c r="A244" s="305">
        <v>4</v>
      </c>
      <c r="B244" s="305">
        <v>1.52</v>
      </c>
      <c r="C244" s="305">
        <v>1.52</v>
      </c>
      <c r="D244" s="305">
        <v>1.52</v>
      </c>
      <c r="E244" s="305">
        <v>1.52</v>
      </c>
      <c r="F244" s="305">
        <v>1.52</v>
      </c>
      <c r="G244" s="305">
        <v>1.52</v>
      </c>
      <c r="H244" s="305">
        <v>1.52</v>
      </c>
    </row>
    <row r="245" spans="1:8" ht="15" hidden="1" customHeight="1" outlineLevel="1">
      <c r="A245" s="306">
        <v>5</v>
      </c>
      <c r="B245" s="306">
        <v>1.62</v>
      </c>
      <c r="C245" s="306">
        <v>1.62</v>
      </c>
      <c r="D245" s="306">
        <v>1.62</v>
      </c>
      <c r="E245" s="306">
        <v>1.62</v>
      </c>
      <c r="F245" s="306">
        <v>1.62</v>
      </c>
      <c r="G245" s="306">
        <v>1.62</v>
      </c>
      <c r="H245" s="306">
        <v>1.62</v>
      </c>
    </row>
    <row r="246" spans="1:8" ht="15" hidden="1" customHeight="1" outlineLevel="1">
      <c r="B246" s="305">
        <v>3</v>
      </c>
      <c r="C246" s="305">
        <v>3</v>
      </c>
      <c r="D246" s="305">
        <v>3</v>
      </c>
      <c r="E246" s="305">
        <v>3</v>
      </c>
      <c r="F246" s="305">
        <v>3</v>
      </c>
      <c r="G246" s="305">
        <v>3</v>
      </c>
      <c r="H246" s="305">
        <v>3</v>
      </c>
    </row>
    <row r="247" spans="1:8" ht="15" hidden="1" customHeight="1" outlineLevel="1">
      <c r="A247" s="305">
        <v>0</v>
      </c>
      <c r="B247" s="305">
        <v>0.46600000000000003</v>
      </c>
      <c r="C247" s="305">
        <v>0.46600000000000003</v>
      </c>
      <c r="D247" s="305">
        <v>0.46600000000000003</v>
      </c>
      <c r="E247" s="305">
        <v>0.46600000000000003</v>
      </c>
      <c r="F247" s="305">
        <v>0.46600000000000003</v>
      </c>
      <c r="G247" s="305">
        <v>0.46600000000000003</v>
      </c>
      <c r="H247" s="305">
        <v>0.46600000000000003</v>
      </c>
    </row>
    <row r="248" spans="1:8" ht="15" hidden="1" customHeight="1" outlineLevel="1">
      <c r="A248" s="305">
        <v>1</v>
      </c>
      <c r="B248" s="305">
        <v>0.46600000000000003</v>
      </c>
      <c r="C248" s="305">
        <v>0.46600000000000003</v>
      </c>
      <c r="D248" s="305">
        <v>0.46600000000000003</v>
      </c>
      <c r="E248" s="305">
        <v>0.46600000000000003</v>
      </c>
      <c r="F248" s="305">
        <v>0.46600000000000003</v>
      </c>
      <c r="G248" s="305">
        <v>0.46600000000000003</v>
      </c>
      <c r="H248" s="305">
        <v>0.46600000000000003</v>
      </c>
    </row>
    <row r="249" spans="1:8" ht="15" hidden="1" customHeight="1" outlineLevel="1">
      <c r="A249" s="305">
        <v>2</v>
      </c>
      <c r="B249" s="305">
        <v>1.59</v>
      </c>
      <c r="C249" s="305">
        <v>1.59</v>
      </c>
      <c r="D249" s="305">
        <v>1.59</v>
      </c>
      <c r="E249" s="305">
        <v>1.59</v>
      </c>
      <c r="F249" s="305">
        <v>1.59</v>
      </c>
      <c r="G249" s="305">
        <v>1.59</v>
      </c>
      <c r="H249" s="305">
        <v>1.59</v>
      </c>
    </row>
    <row r="250" spans="1:8" ht="15" hidden="1" customHeight="1" outlineLevel="1">
      <c r="A250" s="305">
        <v>3</v>
      </c>
      <c r="B250" s="305">
        <v>1.84</v>
      </c>
      <c r="C250" s="305">
        <v>1.84</v>
      </c>
      <c r="D250" s="305">
        <v>1.84</v>
      </c>
      <c r="E250" s="305">
        <v>1.84</v>
      </c>
      <c r="F250" s="305">
        <v>1.84</v>
      </c>
      <c r="G250" s="305">
        <v>1.84</v>
      </c>
      <c r="H250" s="305">
        <v>1.84</v>
      </c>
    </row>
    <row r="251" spans="1:8" ht="15" hidden="1" customHeight="1" outlineLevel="1">
      <c r="A251" s="305">
        <v>4</v>
      </c>
      <c r="B251" s="305">
        <v>2.08</v>
      </c>
      <c r="C251" s="305">
        <v>2.08</v>
      </c>
      <c r="D251" s="305">
        <v>2.08</v>
      </c>
      <c r="E251" s="305">
        <v>2.08</v>
      </c>
      <c r="F251" s="305">
        <v>2.08</v>
      </c>
      <c r="G251" s="305">
        <v>2.08</v>
      </c>
      <c r="H251" s="305">
        <v>2.08</v>
      </c>
    </row>
    <row r="252" spans="1:8" ht="15" hidden="1" customHeight="1" outlineLevel="1">
      <c r="A252" s="306">
        <v>5</v>
      </c>
      <c r="B252" s="306">
        <v>2.12</v>
      </c>
      <c r="C252" s="306">
        <v>2.12</v>
      </c>
      <c r="D252" s="306">
        <v>2.12</v>
      </c>
      <c r="E252" s="306">
        <v>2.12</v>
      </c>
      <c r="F252" s="306">
        <v>2.12</v>
      </c>
      <c r="G252" s="306">
        <v>2.12</v>
      </c>
      <c r="H252" s="306">
        <v>2.12</v>
      </c>
    </row>
    <row r="253" spans="1:8" ht="15" hidden="1" customHeight="1" outlineLevel="1">
      <c r="B253" s="305">
        <v>5</v>
      </c>
      <c r="C253" s="305">
        <v>5</v>
      </c>
      <c r="D253" s="305">
        <v>5</v>
      </c>
      <c r="E253" s="305">
        <v>5</v>
      </c>
      <c r="F253" s="305">
        <v>5</v>
      </c>
      <c r="G253" s="305">
        <v>5</v>
      </c>
      <c r="H253" s="305">
        <v>5</v>
      </c>
    </row>
    <row r="254" spans="1:8" ht="15" hidden="1" customHeight="1" outlineLevel="1">
      <c r="A254" s="305">
        <v>0</v>
      </c>
      <c r="B254" s="305">
        <v>0.46600000000000003</v>
      </c>
      <c r="C254" s="305">
        <v>0.46600000000000003</v>
      </c>
      <c r="D254" s="305">
        <v>0.46600000000000003</v>
      </c>
      <c r="E254" s="305">
        <v>0.46600000000000003</v>
      </c>
      <c r="F254" s="305">
        <v>0.46600000000000003</v>
      </c>
      <c r="G254" s="305">
        <v>0.46600000000000003</v>
      </c>
      <c r="H254" s="305">
        <v>0.46600000000000003</v>
      </c>
    </row>
    <row r="255" spans="1:8" ht="15" hidden="1" customHeight="1" outlineLevel="1">
      <c r="A255" s="305">
        <v>1</v>
      </c>
      <c r="B255" s="305">
        <v>0.46600000000000003</v>
      </c>
      <c r="C255" s="305">
        <v>0.46600000000000003</v>
      </c>
      <c r="D255" s="305">
        <v>0.46600000000000003</v>
      </c>
      <c r="E255" s="305">
        <v>0.46600000000000003</v>
      </c>
      <c r="F255" s="305">
        <v>0.46600000000000003</v>
      </c>
      <c r="G255" s="305">
        <v>0.46600000000000003</v>
      </c>
      <c r="H255" s="305">
        <v>0.46600000000000003</v>
      </c>
    </row>
    <row r="256" spans="1:8" ht="15" hidden="1" customHeight="1" outlineLevel="1">
      <c r="A256" s="305">
        <v>2</v>
      </c>
      <c r="B256" s="305">
        <v>2.1</v>
      </c>
      <c r="C256" s="305">
        <v>2.1</v>
      </c>
      <c r="D256" s="305">
        <v>2.1</v>
      </c>
      <c r="E256" s="305">
        <v>2.1</v>
      </c>
      <c r="F256" s="305">
        <v>2.1</v>
      </c>
      <c r="G256" s="305">
        <v>2.1</v>
      </c>
      <c r="H256" s="305">
        <v>2.1</v>
      </c>
    </row>
    <row r="257" spans="1:8" ht="15" hidden="1" customHeight="1" outlineLevel="1">
      <c r="A257" s="305">
        <v>3</v>
      </c>
      <c r="B257" s="305">
        <v>2.4</v>
      </c>
      <c r="C257" s="305">
        <v>2.4</v>
      </c>
      <c r="D257" s="305">
        <v>2.4</v>
      </c>
      <c r="E257" s="305">
        <v>2.4</v>
      </c>
      <c r="F257" s="305">
        <v>2.4</v>
      </c>
      <c r="G257" s="305">
        <v>2.4</v>
      </c>
      <c r="H257" s="305">
        <v>2.4</v>
      </c>
    </row>
    <row r="258" spans="1:8" ht="15" hidden="1" customHeight="1" outlineLevel="1">
      <c r="A258" s="305">
        <v>4</v>
      </c>
      <c r="B258" s="305">
        <v>2.6</v>
      </c>
      <c r="C258" s="305">
        <v>2.6</v>
      </c>
      <c r="D258" s="305">
        <v>2.6</v>
      </c>
      <c r="E258" s="305">
        <v>2.6</v>
      </c>
      <c r="F258" s="305">
        <v>2.6</v>
      </c>
      <c r="G258" s="305">
        <v>2.6</v>
      </c>
      <c r="H258" s="305">
        <v>2.6</v>
      </c>
    </row>
    <row r="259" spans="1:8" ht="15" hidden="1" customHeight="1" outlineLevel="1">
      <c r="A259" s="306">
        <v>5</v>
      </c>
      <c r="B259" s="306">
        <v>2.6</v>
      </c>
      <c r="C259" s="306">
        <v>2.6</v>
      </c>
      <c r="D259" s="306">
        <v>2.6</v>
      </c>
      <c r="E259" s="306">
        <v>2.6</v>
      </c>
      <c r="F259" s="306">
        <v>2.6</v>
      </c>
      <c r="G259" s="306">
        <v>2.6</v>
      </c>
      <c r="H259" s="306">
        <v>2.6</v>
      </c>
    </row>
    <row r="260" spans="1:8" ht="15" hidden="1" customHeight="1" outlineLevel="1">
      <c r="B260" s="305">
        <v>6</v>
      </c>
      <c r="C260" s="305">
        <v>6</v>
      </c>
      <c r="D260" s="305">
        <v>6</v>
      </c>
      <c r="E260" s="305">
        <v>6</v>
      </c>
      <c r="F260" s="305">
        <v>6</v>
      </c>
      <c r="G260" s="305">
        <v>6</v>
      </c>
      <c r="H260" s="305">
        <v>6</v>
      </c>
    </row>
    <row r="261" spans="1:8" ht="15" hidden="1" customHeight="1" outlineLevel="1">
      <c r="A261" s="305">
        <v>0</v>
      </c>
      <c r="B261" s="305">
        <v>0.46600000000000003</v>
      </c>
      <c r="C261" s="305">
        <v>0.46600000000000003</v>
      </c>
      <c r="D261" s="305">
        <v>0.46600000000000003</v>
      </c>
      <c r="E261" s="305">
        <v>0.46600000000000003</v>
      </c>
      <c r="F261" s="305">
        <v>0.46600000000000003</v>
      </c>
      <c r="G261" s="305">
        <v>0.46600000000000003</v>
      </c>
      <c r="H261" s="305">
        <v>0.46600000000000003</v>
      </c>
    </row>
    <row r="262" spans="1:8" ht="15" hidden="1" customHeight="1" outlineLevel="1">
      <c r="A262" s="305">
        <v>1</v>
      </c>
      <c r="B262" s="305">
        <v>0.46600000000000003</v>
      </c>
      <c r="C262" s="305">
        <v>0.46600000000000003</v>
      </c>
      <c r="D262" s="305">
        <v>0.46600000000000003</v>
      </c>
      <c r="E262" s="305">
        <v>0.46600000000000003</v>
      </c>
      <c r="F262" s="305">
        <v>0.46600000000000003</v>
      </c>
      <c r="G262" s="305">
        <v>0.46600000000000003</v>
      </c>
      <c r="H262" s="305">
        <v>0.46600000000000003</v>
      </c>
    </row>
    <row r="263" spans="1:8" ht="15" hidden="1" customHeight="1" outlineLevel="1">
      <c r="A263" s="305">
        <v>2</v>
      </c>
      <c r="B263" s="305">
        <v>3.02</v>
      </c>
      <c r="C263" s="305">
        <v>3.02</v>
      </c>
      <c r="D263" s="305">
        <v>3.02</v>
      </c>
      <c r="E263" s="305">
        <v>3.02</v>
      </c>
      <c r="F263" s="305">
        <v>3.02</v>
      </c>
      <c r="G263" s="305">
        <v>3.02</v>
      </c>
      <c r="H263" s="305">
        <v>3.02</v>
      </c>
    </row>
    <row r="264" spans="1:8" ht="15" hidden="1" customHeight="1" outlineLevel="1">
      <c r="A264" s="305">
        <v>3</v>
      </c>
      <c r="B264" s="305">
        <v>3.23</v>
      </c>
      <c r="C264" s="305">
        <v>3.23</v>
      </c>
      <c r="D264" s="305">
        <v>3.23</v>
      </c>
      <c r="E264" s="305">
        <v>3.23</v>
      </c>
      <c r="F264" s="305">
        <v>3.23</v>
      </c>
      <c r="G264" s="305">
        <v>3.23</v>
      </c>
      <c r="H264" s="305">
        <v>3.23</v>
      </c>
    </row>
    <row r="265" spans="1:8" ht="15" hidden="1" customHeight="1" outlineLevel="1">
      <c r="A265" s="305">
        <v>4</v>
      </c>
      <c r="B265" s="305">
        <v>3.43</v>
      </c>
      <c r="C265" s="305">
        <v>3.43</v>
      </c>
      <c r="D265" s="305">
        <v>3.43</v>
      </c>
      <c r="E265" s="305">
        <v>3.43</v>
      </c>
      <c r="F265" s="305">
        <v>3.43</v>
      </c>
      <c r="G265" s="305">
        <v>3.43</v>
      </c>
      <c r="H265" s="305">
        <v>3.43</v>
      </c>
    </row>
    <row r="266" spans="1:8" ht="15" hidden="1" customHeight="1" outlineLevel="1">
      <c r="A266" s="306">
        <v>5</v>
      </c>
      <c r="B266" s="306">
        <v>3.43</v>
      </c>
      <c r="C266" s="306">
        <v>3.43</v>
      </c>
      <c r="D266" s="306">
        <v>3.43</v>
      </c>
      <c r="E266" s="306">
        <v>3.43</v>
      </c>
      <c r="F266" s="306">
        <v>3.43</v>
      </c>
      <c r="G266" s="306">
        <v>3.43</v>
      </c>
      <c r="H266" s="306">
        <v>3.43</v>
      </c>
    </row>
    <row r="267" spans="1:8" ht="15" customHeight="1" collapsed="1">
      <c r="B267"/>
      <c r="C267"/>
      <c r="D267"/>
      <c r="E267"/>
      <c r="F267"/>
      <c r="G267"/>
      <c r="H267"/>
    </row>
    <row r="268" spans="1:8" ht="15" customHeight="1">
      <c r="A268" s="372" t="s">
        <v>613</v>
      </c>
    </row>
    <row r="269" spans="1:8" ht="15" customHeight="1">
      <c r="A269" s="373">
        <v>0</v>
      </c>
    </row>
    <row r="270" spans="1:8" ht="15" customHeight="1">
      <c r="A270" s="373">
        <v>5</v>
      </c>
    </row>
    <row r="271" spans="1:8" ht="15" customHeight="1">
      <c r="A271" s="373">
        <v>10</v>
      </c>
    </row>
    <row r="272" spans="1:8" ht="15" customHeight="1">
      <c r="A272" s="373">
        <v>15</v>
      </c>
    </row>
    <row r="273" spans="1:1" ht="15" customHeight="1">
      <c r="A273" s="373">
        <v>20</v>
      </c>
    </row>
    <row r="274" spans="1:1" ht="15" customHeight="1">
      <c r="A274" s="373">
        <v>25</v>
      </c>
    </row>
    <row r="275" spans="1:1" ht="15" customHeight="1">
      <c r="A275" s="373">
        <v>30</v>
      </c>
    </row>
    <row r="276" spans="1:1" ht="15" customHeight="1">
      <c r="A276" s="372"/>
    </row>
    <row r="277" spans="1:1" ht="15" customHeight="1">
      <c r="A277" t="s">
        <v>612</v>
      </c>
    </row>
    <row r="278" spans="1:1" ht="15" customHeight="1">
      <c r="A278">
        <v>0.06</v>
      </c>
    </row>
    <row r="279" spans="1:1" ht="15" customHeight="1">
      <c r="A279">
        <v>0.1</v>
      </c>
    </row>
    <row r="280" spans="1:1" ht="15" customHeight="1">
      <c r="A280">
        <v>0.3</v>
      </c>
    </row>
    <row r="281" spans="1:1" ht="15" customHeight="1">
      <c r="A281">
        <v>0.5</v>
      </c>
    </row>
    <row r="282" spans="1:1" ht="15" customHeight="1">
      <c r="A282">
        <v>0.7</v>
      </c>
    </row>
    <row r="283" spans="1:1" ht="15" customHeight="1">
      <c r="A283">
        <v>1</v>
      </c>
    </row>
    <row r="284" spans="1:1" ht="15" customHeight="1">
      <c r="A284">
        <v>1.5</v>
      </c>
    </row>
    <row r="285" spans="1:1" ht="15" customHeight="1">
      <c r="A285">
        <v>2</v>
      </c>
    </row>
    <row r="286" spans="1:1" ht="15" customHeight="1">
      <c r="A286">
        <v>3</v>
      </c>
    </row>
    <row r="287" spans="1:1" ht="15" customHeight="1">
      <c r="A287">
        <v>5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1" val="0" numFmtId="165"/>
    </scenario>
    <scenario name="AoA 5deg" locked="1" count="1" user="Leonardo Valadez Ortiz" comment="Created by Leonardo Valadez Ortiz on 08/07/2025">
      <inputCells r="B11" val="5" numFmtId="165"/>
    </scenario>
  </scenario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2:R123"/>
  <sheetViews>
    <sheetView topLeftCell="A128" zoomScale="97" workbookViewId="0">
      <selection activeCell="J138" sqref="J138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8" t="s">
        <v>384</v>
      </c>
    </row>
    <row r="4" spans="1:5">
      <c r="A4" s="187" t="s">
        <v>385</v>
      </c>
    </row>
    <row r="5" spans="1:5">
      <c r="B5" s="369"/>
      <c r="C5" s="369"/>
      <c r="D5" s="369"/>
      <c r="E5" s="369"/>
    </row>
    <row r="6" spans="1:5">
      <c r="A6" s="305" t="s">
        <v>386</v>
      </c>
      <c r="B6" s="305">
        <v>1.5</v>
      </c>
      <c r="C6" s="305">
        <v>3</v>
      </c>
      <c r="D6" s="305">
        <v>5</v>
      </c>
      <c r="E6" s="305">
        <v>7</v>
      </c>
    </row>
    <row r="7" spans="1:5">
      <c r="A7" s="305">
        <v>0</v>
      </c>
      <c r="B7" s="305">
        <v>2</v>
      </c>
      <c r="C7" s="305">
        <v>2</v>
      </c>
      <c r="D7" s="305">
        <v>2</v>
      </c>
      <c r="E7" s="305">
        <v>2</v>
      </c>
    </row>
    <row r="8" spans="1:5">
      <c r="A8" s="305">
        <v>0.3</v>
      </c>
      <c r="B8" s="305">
        <v>2.0099999999999998</v>
      </c>
      <c r="C8" s="305">
        <v>2.0099999999999998</v>
      </c>
      <c r="D8" s="305">
        <v>2.0099999999999998</v>
      </c>
      <c r="E8" s="305">
        <v>2.0099999999999998</v>
      </c>
    </row>
    <row r="9" spans="1:5">
      <c r="A9" s="305">
        <v>0.4</v>
      </c>
      <c r="B9" s="305">
        <v>2.02</v>
      </c>
      <c r="C9" s="305">
        <v>2.02</v>
      </c>
      <c r="D9" s="305">
        <v>2.02</v>
      </c>
      <c r="E9" s="305">
        <v>2.02</v>
      </c>
    </row>
    <row r="10" spans="1:5">
      <c r="A10" s="305">
        <v>0.5</v>
      </c>
      <c r="B10" s="305">
        <v>2.0299999999999998</v>
      </c>
      <c r="C10" s="305">
        <v>2.0299999999999998</v>
      </c>
      <c r="D10" s="305">
        <v>2.0299999999999998</v>
      </c>
      <c r="E10" s="305">
        <v>2.0299999999999998</v>
      </c>
    </row>
    <row r="11" spans="1:5">
      <c r="A11" s="305">
        <v>0.6</v>
      </c>
      <c r="B11" s="305">
        <v>2.0499999999999998</v>
      </c>
      <c r="C11" s="305">
        <v>2.0499999999999998</v>
      </c>
      <c r="D11" s="305">
        <v>2.0499999999999998</v>
      </c>
      <c r="E11" s="305">
        <v>2.0499999999999998</v>
      </c>
    </row>
    <row r="12" spans="1:5">
      <c r="A12" s="305">
        <v>0.7</v>
      </c>
      <c r="B12" s="305">
        <v>2.06</v>
      </c>
      <c r="C12" s="305">
        <v>2.06</v>
      </c>
      <c r="D12" s="305">
        <v>2.06</v>
      </c>
      <c r="E12" s="305">
        <v>2.06</v>
      </c>
    </row>
    <row r="13" spans="1:5">
      <c r="A13" s="305">
        <v>0.8</v>
      </c>
      <c r="B13" s="305">
        <v>2.1</v>
      </c>
      <c r="C13" s="305">
        <v>2.1</v>
      </c>
      <c r="D13" s="305">
        <v>2.1</v>
      </c>
      <c r="E13" s="305">
        <v>2.1</v>
      </c>
    </row>
    <row r="14" spans="1:5">
      <c r="A14" s="305">
        <v>0.9</v>
      </c>
      <c r="B14" s="305">
        <v>2.16</v>
      </c>
      <c r="C14" s="305">
        <v>2.16</v>
      </c>
      <c r="D14" s="305">
        <v>2.16</v>
      </c>
      <c r="E14" s="305">
        <v>2.16</v>
      </c>
    </row>
    <row r="15" spans="1:5">
      <c r="A15" s="305">
        <v>1</v>
      </c>
      <c r="B15" s="305">
        <v>2.2999999999999998</v>
      </c>
      <c r="C15" s="305">
        <v>2.2999999999999998</v>
      </c>
      <c r="D15" s="305">
        <v>2.2999999999999998</v>
      </c>
      <c r="E15" s="305">
        <v>2.2999999999999998</v>
      </c>
    </row>
    <row r="16" spans="1:5">
      <c r="A16" s="305">
        <v>1.05</v>
      </c>
      <c r="B16" s="305">
        <v>2.36</v>
      </c>
      <c r="C16" s="305">
        <v>2.36</v>
      </c>
      <c r="D16" s="305">
        <v>2.36</v>
      </c>
      <c r="E16" s="305">
        <v>2.36</v>
      </c>
    </row>
    <row r="17" spans="1:5">
      <c r="A17" s="305">
        <v>1.1000000000000001</v>
      </c>
      <c r="B17" s="305">
        <v>2.4</v>
      </c>
      <c r="C17" s="305">
        <v>2.4</v>
      </c>
      <c r="D17" s="305">
        <v>2.4</v>
      </c>
      <c r="E17" s="305">
        <v>2.4</v>
      </c>
    </row>
    <row r="18" spans="1:5">
      <c r="A18" s="305">
        <v>1.1499999999999999</v>
      </c>
      <c r="B18" s="305">
        <v>2.38</v>
      </c>
      <c r="C18" s="305">
        <v>2.37</v>
      </c>
      <c r="D18" s="305">
        <v>2.37</v>
      </c>
      <c r="E18" s="305">
        <v>2.38</v>
      </c>
    </row>
    <row r="19" spans="1:5">
      <c r="A19" s="305">
        <v>1.2</v>
      </c>
      <c r="B19" s="305">
        <v>2.37</v>
      </c>
      <c r="C19" s="305">
        <v>2.3199999999999998</v>
      </c>
      <c r="D19" s="305">
        <v>2.2999999999999998</v>
      </c>
      <c r="E19" s="305">
        <v>2.2999999999999998</v>
      </c>
    </row>
    <row r="20" spans="1:5">
      <c r="A20" s="305">
        <v>1.3</v>
      </c>
      <c r="B20" s="305">
        <v>2.35</v>
      </c>
      <c r="C20" s="305">
        <v>2.27</v>
      </c>
      <c r="D20" s="305">
        <v>2.21</v>
      </c>
      <c r="E20" s="305">
        <v>2.21</v>
      </c>
    </row>
    <row r="21" spans="1:5">
      <c r="A21" s="305">
        <v>1.4</v>
      </c>
      <c r="B21" s="305">
        <v>2.35</v>
      </c>
      <c r="C21" s="305">
        <v>2.25</v>
      </c>
      <c r="D21" s="305">
        <v>2.16</v>
      </c>
      <c r="E21" s="305">
        <v>2.13</v>
      </c>
    </row>
    <row r="22" spans="1:5">
      <c r="A22" s="305">
        <v>1.5</v>
      </c>
      <c r="B22" s="305">
        <v>2.35</v>
      </c>
      <c r="C22" s="305">
        <v>2.2400000000000002</v>
      </c>
      <c r="D22" s="305">
        <v>2.12</v>
      </c>
      <c r="E22" s="305">
        <v>2.08</v>
      </c>
    </row>
    <row r="23" spans="1:5">
      <c r="A23" s="305">
        <v>1.75</v>
      </c>
      <c r="B23" s="305">
        <v>2.37</v>
      </c>
      <c r="C23" s="305">
        <v>2.2599999999999998</v>
      </c>
      <c r="D23" s="305">
        <v>2.08</v>
      </c>
      <c r="E23" s="305">
        <v>2.0299999999999998</v>
      </c>
    </row>
    <row r="24" spans="1:5">
      <c r="A24" s="305">
        <v>2</v>
      </c>
      <c r="B24" s="305">
        <v>2.4</v>
      </c>
      <c r="C24" s="305">
        <v>2.31</v>
      </c>
      <c r="D24" s="305">
        <v>2.08</v>
      </c>
      <c r="E24" s="305">
        <v>2.0099999999999998</v>
      </c>
    </row>
    <row r="25" spans="1:5">
      <c r="A25" s="305">
        <v>2.25</v>
      </c>
      <c r="B25" s="305">
        <v>2.42</v>
      </c>
      <c r="C25" s="305">
        <v>2.36</v>
      </c>
      <c r="D25" s="305">
        <v>2.12</v>
      </c>
      <c r="E25" s="305">
        <v>2.0299999999999998</v>
      </c>
    </row>
    <row r="26" spans="1:5">
      <c r="A26" s="305">
        <v>2.5</v>
      </c>
      <c r="B26" s="305">
        <v>2.4500000000000002</v>
      </c>
      <c r="C26" s="305">
        <v>2.4</v>
      </c>
      <c r="D26" s="305">
        <v>2.15</v>
      </c>
      <c r="E26" s="305">
        <v>2.06</v>
      </c>
    </row>
    <row r="27" spans="1:5">
      <c r="A27" s="305">
        <v>3</v>
      </c>
      <c r="B27" s="305">
        <v>2.48</v>
      </c>
      <c r="C27" s="305">
        <v>2.4900000000000002</v>
      </c>
      <c r="D27" s="305">
        <v>2.2200000000000002</v>
      </c>
      <c r="E27" s="305">
        <v>2.1</v>
      </c>
    </row>
    <row r="28" spans="1:5">
      <c r="A28" s="305">
        <v>3.5</v>
      </c>
      <c r="B28" s="305">
        <v>2.5099999999999998</v>
      </c>
      <c r="C28" s="305">
        <v>2.57</v>
      </c>
      <c r="D28" s="305">
        <v>2.2799999999999998</v>
      </c>
      <c r="E28" s="305">
        <v>2.14</v>
      </c>
    </row>
    <row r="29" spans="1:5">
      <c r="A29" s="305">
        <v>4</v>
      </c>
      <c r="B29" s="305">
        <v>2.5299999999999998</v>
      </c>
      <c r="C29" s="305">
        <v>2.63</v>
      </c>
      <c r="D29" s="305">
        <v>2.34</v>
      </c>
      <c r="E29" s="305">
        <v>2.1800000000000002</v>
      </c>
    </row>
    <row r="30" spans="1:5">
      <c r="A30" s="305">
        <v>4.5</v>
      </c>
      <c r="B30" s="305">
        <v>2.56</v>
      </c>
      <c r="C30" s="305">
        <v>2.67</v>
      </c>
      <c r="D30" s="305">
        <v>2.39</v>
      </c>
      <c r="E30" s="305">
        <v>2.21</v>
      </c>
    </row>
    <row r="31" spans="1:5">
      <c r="A31" s="305">
        <v>5</v>
      </c>
      <c r="B31" s="305">
        <v>2.57</v>
      </c>
      <c r="C31" s="305">
        <v>2.7</v>
      </c>
      <c r="D31" s="305">
        <v>2.4300000000000002</v>
      </c>
      <c r="E31" s="305">
        <v>2.2400000000000002</v>
      </c>
    </row>
    <row r="33" spans="1:7">
      <c r="A33" s="306" t="s">
        <v>557</v>
      </c>
      <c r="B33" s="305"/>
      <c r="C33" s="305"/>
      <c r="D33" s="305"/>
      <c r="E33" s="305"/>
      <c r="F33" s="305"/>
      <c r="G33" s="305"/>
    </row>
    <row r="34" spans="1:7">
      <c r="A34" s="305"/>
      <c r="B34" s="305" t="s">
        <v>387</v>
      </c>
      <c r="C34" s="305"/>
      <c r="D34" s="305"/>
      <c r="E34" s="305"/>
      <c r="F34" s="305"/>
      <c r="G34" s="305"/>
    </row>
    <row r="35" spans="1:7">
      <c r="A35" s="305" t="s">
        <v>386</v>
      </c>
      <c r="B35" s="305">
        <v>1.5</v>
      </c>
      <c r="C35" s="305">
        <v>2</v>
      </c>
      <c r="D35" s="305">
        <v>3</v>
      </c>
      <c r="E35" s="305">
        <v>5</v>
      </c>
      <c r="F35" s="305">
        <v>6</v>
      </c>
      <c r="G35" s="305">
        <v>7</v>
      </c>
    </row>
    <row r="36" spans="1:7">
      <c r="A36" s="305">
        <v>0</v>
      </c>
      <c r="B36" s="305">
        <v>0.46600000000000003</v>
      </c>
      <c r="C36" s="305">
        <v>0.46600000000000003</v>
      </c>
      <c r="D36" s="305">
        <v>0.46600000000000003</v>
      </c>
      <c r="E36" s="305">
        <v>0.46600000000000003</v>
      </c>
      <c r="F36" s="305">
        <v>0.46600000000000003</v>
      </c>
      <c r="G36" s="305">
        <v>0.46600000000000003</v>
      </c>
    </row>
    <row r="37" spans="1:7">
      <c r="A37" s="305">
        <v>1</v>
      </c>
      <c r="B37" s="305">
        <v>0.46600000000000003</v>
      </c>
      <c r="C37" s="305">
        <v>0.46600000000000003</v>
      </c>
      <c r="D37" s="305">
        <v>0.46600000000000003</v>
      </c>
      <c r="E37" s="305">
        <v>0.46600000000000003</v>
      </c>
      <c r="F37" s="305">
        <v>0.46600000000000003</v>
      </c>
      <c r="G37" s="305">
        <v>0.46600000000000003</v>
      </c>
    </row>
    <row r="38" spans="1:7">
      <c r="A38" s="305">
        <v>2</v>
      </c>
      <c r="B38" s="305">
        <v>0.75</v>
      </c>
      <c r="C38" s="305">
        <v>1.02</v>
      </c>
      <c r="D38" s="305">
        <v>1.59</v>
      </c>
      <c r="E38" s="305">
        <v>2.1</v>
      </c>
      <c r="F38" s="305">
        <v>3.02</v>
      </c>
      <c r="G38" s="305">
        <v>3.35</v>
      </c>
    </row>
    <row r="39" spans="1:7">
      <c r="A39" s="305">
        <v>3</v>
      </c>
      <c r="B39" s="305">
        <v>0.93</v>
      </c>
      <c r="C39" s="305">
        <v>1.25</v>
      </c>
      <c r="D39" s="305">
        <v>1.84</v>
      </c>
      <c r="E39" s="305">
        <v>2.4</v>
      </c>
      <c r="F39" s="305">
        <v>3.23</v>
      </c>
      <c r="G39" s="305">
        <v>3.43</v>
      </c>
    </row>
    <row r="40" spans="1:7">
      <c r="A40" s="305">
        <v>4</v>
      </c>
      <c r="B40" s="305">
        <v>1.2</v>
      </c>
      <c r="C40" s="305">
        <v>1.52</v>
      </c>
      <c r="D40" s="305">
        <v>2.08</v>
      </c>
      <c r="E40" s="305">
        <v>2.6</v>
      </c>
      <c r="F40" s="305">
        <v>3.43</v>
      </c>
      <c r="G40" s="305">
        <v>3.74</v>
      </c>
    </row>
    <row r="41" spans="1:7">
      <c r="A41" s="305">
        <v>5</v>
      </c>
      <c r="B41" s="305">
        <v>1.35</v>
      </c>
      <c r="C41" s="305">
        <v>1.62</v>
      </c>
      <c r="D41" s="305">
        <v>2.12</v>
      </c>
      <c r="E41" s="305">
        <v>2.6</v>
      </c>
      <c r="F41" s="305">
        <v>3.43</v>
      </c>
      <c r="G41" s="305">
        <v>3.74</v>
      </c>
    </row>
    <row r="43" spans="1:7">
      <c r="A43" t="s">
        <v>549</v>
      </c>
      <c r="B43">
        <f>B35</f>
        <v>1.5</v>
      </c>
      <c r="C43" t="s">
        <v>388</v>
      </c>
      <c r="D43" t="s">
        <v>551</v>
      </c>
    </row>
    <row r="44" spans="1:7">
      <c r="A44" s="304" t="s">
        <v>550</v>
      </c>
      <c r="B44" s="304">
        <f>1.5*B45</f>
        <v>12</v>
      </c>
      <c r="C44" s="304" t="s">
        <v>196</v>
      </c>
      <c r="D44" t="s">
        <v>552</v>
      </c>
      <c r="E44">
        <f>B45*10</f>
        <v>80</v>
      </c>
      <c r="F44" t="s">
        <v>196</v>
      </c>
    </row>
    <row r="45" spans="1:7">
      <c r="A45" s="304" t="s">
        <v>554</v>
      </c>
      <c r="B45" s="304">
        <v>8</v>
      </c>
      <c r="C45" s="304" t="s">
        <v>196</v>
      </c>
      <c r="D45" t="s">
        <v>553</v>
      </c>
    </row>
    <row r="48" spans="1:7" ht="29">
      <c r="A48" s="188" t="s">
        <v>389</v>
      </c>
    </row>
    <row r="56" spans="1:4">
      <c r="A56" s="305" t="s">
        <v>390</v>
      </c>
      <c r="B56" s="305"/>
      <c r="C56" s="305"/>
      <c r="D56" s="305"/>
    </row>
    <row r="57" spans="1:4">
      <c r="A57" s="305" t="s">
        <v>84</v>
      </c>
      <c r="B57" s="305" t="s">
        <v>391</v>
      </c>
      <c r="C57" s="305" t="s">
        <v>392</v>
      </c>
      <c r="D57" s="305" t="s">
        <v>566</v>
      </c>
    </row>
    <row r="58" spans="1:4">
      <c r="A58" s="305">
        <v>0</v>
      </c>
      <c r="B58" s="305">
        <v>0</v>
      </c>
      <c r="C58" s="307">
        <v>1E-3</v>
      </c>
      <c r="D58" s="308">
        <f>(C58-C58)/C58</f>
        <v>0</v>
      </c>
    </row>
    <row r="59" spans="1:4">
      <c r="A59" s="305">
        <v>5</v>
      </c>
      <c r="B59" s="305">
        <v>5.0000000000000001E-3</v>
      </c>
      <c r="C59" s="307">
        <f t="shared" ref="C59:C64" si="0">(B59-B58)/(A59)</f>
        <v>1E-3</v>
      </c>
      <c r="D59" s="308">
        <f>(C59-C58)/C58</f>
        <v>0</v>
      </c>
    </row>
    <row r="60" spans="1:4">
      <c r="A60" s="305">
        <v>10</v>
      </c>
      <c r="B60" s="305">
        <v>1.4999999999999999E-2</v>
      </c>
      <c r="C60" s="307">
        <f t="shared" si="0"/>
        <v>9.999999999999998E-4</v>
      </c>
      <c r="D60" s="308">
        <f t="shared" ref="D60:D64" si="1">(C60-C59)/C59</f>
        <v>-2.1684043449710089E-16</v>
      </c>
    </row>
    <row r="61" spans="1:4">
      <c r="A61" s="305">
        <v>15</v>
      </c>
      <c r="B61" s="305">
        <v>3.5000000000000003E-2</v>
      </c>
      <c r="C61" s="307">
        <f t="shared" si="0"/>
        <v>1.3333333333333335E-3</v>
      </c>
      <c r="D61" s="308">
        <f>(C61-C60)/C60</f>
        <v>0.33333333333333376</v>
      </c>
    </row>
    <row r="62" spans="1:4">
      <c r="A62" s="305">
        <v>20</v>
      </c>
      <c r="B62" s="305">
        <v>6.5000000000000002E-2</v>
      </c>
      <c r="C62" s="307">
        <f t="shared" si="0"/>
        <v>1.5E-3</v>
      </c>
      <c r="D62" s="308">
        <f t="shared" si="1"/>
        <v>0.12499999999999988</v>
      </c>
    </row>
    <row r="63" spans="1:4">
      <c r="A63" s="305">
        <v>25</v>
      </c>
      <c r="B63" s="305">
        <v>0.11</v>
      </c>
      <c r="C63" s="307">
        <f t="shared" si="0"/>
        <v>1.8E-3</v>
      </c>
      <c r="D63" s="308">
        <f t="shared" si="1"/>
        <v>0.19999999999999996</v>
      </c>
    </row>
    <row r="64" spans="1:4">
      <c r="A64" s="305">
        <v>30</v>
      </c>
      <c r="B64" s="305">
        <v>0.17499999999999999</v>
      </c>
      <c r="C64" s="307">
        <f t="shared" si="0"/>
        <v>2.1666666666666661E-3</v>
      </c>
      <c r="D64" s="308">
        <f t="shared" si="1"/>
        <v>0.20370370370370344</v>
      </c>
    </row>
    <row r="65" spans="1:14">
      <c r="A65" s="305"/>
      <c r="B65" s="305" t="s">
        <v>393</v>
      </c>
      <c r="C65" s="307">
        <f>AVERAGE(C58:C64)</f>
        <v>1.3999999999999998E-3</v>
      </c>
      <c r="D65" s="305"/>
    </row>
    <row r="67" spans="1:14">
      <c r="A67" s="305" t="s">
        <v>394</v>
      </c>
      <c r="B67" s="305"/>
    </row>
    <row r="68" spans="1:14">
      <c r="A68" s="305" t="s">
        <v>395</v>
      </c>
      <c r="B68" s="305" t="s">
        <v>396</v>
      </c>
    </row>
    <row r="69" spans="1:14">
      <c r="A69" s="305">
        <v>0</v>
      </c>
      <c r="B69" s="305">
        <v>6.3E-2</v>
      </c>
    </row>
    <row r="70" spans="1:14">
      <c r="A70" s="305">
        <v>0.5</v>
      </c>
      <c r="B70" s="305">
        <v>6.8000000000000005E-2</v>
      </c>
    </row>
    <row r="71" spans="1:14">
      <c r="A71" s="305">
        <v>0.7</v>
      </c>
      <c r="B71" s="305">
        <v>6.9000000000000006E-2</v>
      </c>
      <c r="M71" t="s">
        <v>581</v>
      </c>
      <c r="N71">
        <v>0.85</v>
      </c>
    </row>
    <row r="72" spans="1:14">
      <c r="A72" s="305">
        <v>0.8</v>
      </c>
      <c r="B72" s="305">
        <v>6.9000000000000006E-2</v>
      </c>
      <c r="M72" t="s">
        <v>392</v>
      </c>
      <c r="N72">
        <f>VLOOKUP(N71,A69:B81,2,TRUE)</f>
        <v>6.9000000000000006E-2</v>
      </c>
    </row>
    <row r="73" spans="1:14">
      <c r="A73" s="305">
        <v>0.9</v>
      </c>
      <c r="B73" s="305">
        <v>6.7000000000000004E-2</v>
      </c>
    </row>
    <row r="74" spans="1:14">
      <c r="A74" s="305">
        <v>1</v>
      </c>
      <c r="B74" s="305">
        <v>6.6000000000000003E-2</v>
      </c>
    </row>
    <row r="75" spans="1:14">
      <c r="A75" s="305">
        <v>1.2</v>
      </c>
      <c r="B75" s="305">
        <v>6.3E-2</v>
      </c>
    </row>
    <row r="76" spans="1:14">
      <c r="A76" s="305">
        <v>1.5</v>
      </c>
      <c r="B76" s="305">
        <v>5.7000000000000002E-2</v>
      </c>
    </row>
    <row r="77" spans="1:14">
      <c r="A77" s="305">
        <v>2</v>
      </c>
      <c r="B77" s="305">
        <v>0.06</v>
      </c>
    </row>
    <row r="78" spans="1:14">
      <c r="A78" s="305">
        <v>2.5</v>
      </c>
      <c r="B78" s="305">
        <v>6.6000000000000003E-2</v>
      </c>
    </row>
    <row r="79" spans="1:14">
      <c r="A79" s="305">
        <v>3</v>
      </c>
      <c r="B79" s="305">
        <v>7.6999999999999999E-2</v>
      </c>
    </row>
    <row r="80" spans="1:14">
      <c r="A80" s="305">
        <v>3.5</v>
      </c>
      <c r="B80" s="305">
        <v>9.1999999999999998E-2</v>
      </c>
    </row>
    <row r="81" spans="1:4">
      <c r="A81" s="305">
        <v>4</v>
      </c>
      <c r="B81" s="305">
        <v>0.115</v>
      </c>
    </row>
    <row r="83" spans="1:4">
      <c r="A83" t="s">
        <v>397</v>
      </c>
      <c r="B83" t="s">
        <v>398</v>
      </c>
    </row>
    <row r="85" spans="1:4">
      <c r="D85" t="s">
        <v>555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556</v>
      </c>
    </row>
    <row r="103" spans="1:10">
      <c r="A103" t="s">
        <v>558</v>
      </c>
    </row>
    <row r="105" spans="1:10">
      <c r="I105" t="s">
        <v>559</v>
      </c>
    </row>
    <row r="111" spans="1:10">
      <c r="J111" t="s">
        <v>560</v>
      </c>
    </row>
    <row r="112" spans="1:10">
      <c r="J112" t="s">
        <v>561</v>
      </c>
    </row>
    <row r="114" spans="1:18">
      <c r="J114" t="s">
        <v>562</v>
      </c>
    </row>
    <row r="115" spans="1:18">
      <c r="J115" t="s">
        <v>563</v>
      </c>
    </row>
    <row r="117" spans="1:18">
      <c r="R117" t="s">
        <v>565</v>
      </c>
    </row>
    <row r="123" spans="1:18">
      <c r="A123" t="s">
        <v>564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96"/>
  <sheetViews>
    <sheetView zoomScale="85" zoomScaleNormal="85" workbookViewId="0">
      <pane ySplit="3" topLeftCell="A4" activePane="bottomLeft" state="frozen"/>
      <selection pane="bottomLeft" activeCell="E75" sqref="E75"/>
    </sheetView>
  </sheetViews>
  <sheetFormatPr defaultColWidth="9.08984375" defaultRowHeight="14.5"/>
  <cols>
    <col min="1" max="1" width="44.7265625" style="280" customWidth="1"/>
    <col min="2" max="6" width="9.08984375" style="281" bestFit="1" customWidth="1"/>
    <col min="7" max="8" width="10" style="281" bestFit="1" customWidth="1"/>
    <col min="9" max="11" width="9.08984375" style="281"/>
    <col min="13" max="13" width="17.08984375" customWidth="1"/>
  </cols>
  <sheetData>
    <row r="1" spans="1:13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1</v>
      </c>
      <c r="H1" s="281">
        <v>1.5</v>
      </c>
      <c r="I1" s="281">
        <v>2</v>
      </c>
      <c r="J1" s="281">
        <v>3</v>
      </c>
      <c r="K1" s="281">
        <v>5</v>
      </c>
    </row>
    <row r="2" spans="1:13">
      <c r="A2" s="280" t="s">
        <v>526</v>
      </c>
      <c r="B2" s="281">
        <f t="shared" ref="B2:K2" si="0">B1*$N$22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 t="shared" si="0"/>
        <v>340</v>
      </c>
      <c r="H2" s="281">
        <f t="shared" si="0"/>
        <v>510</v>
      </c>
      <c r="I2" s="281">
        <f t="shared" si="0"/>
        <v>680</v>
      </c>
      <c r="J2" s="281">
        <f t="shared" si="0"/>
        <v>1020</v>
      </c>
      <c r="K2" s="281">
        <f t="shared" si="0"/>
        <v>1700</v>
      </c>
      <c r="M2" t="s">
        <v>504</v>
      </c>
    </row>
    <row r="3" spans="1:13">
      <c r="A3" s="280" t="s">
        <v>536</v>
      </c>
      <c r="B3" s="281">
        <f>0.5*$N$25*B2^2</f>
        <v>254.68991999999997</v>
      </c>
      <c r="C3" s="281">
        <f t="shared" ref="C3:K3" si="1">0.5*$N$25*C2^2</f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 t="shared" si="1"/>
        <v>70747.199999999997</v>
      </c>
      <c r="H3" s="281">
        <f t="shared" si="1"/>
        <v>159181.19999999998</v>
      </c>
      <c r="I3" s="281">
        <f t="shared" si="1"/>
        <v>282988.79999999999</v>
      </c>
      <c r="J3" s="281">
        <f t="shared" si="1"/>
        <v>636724.79999999993</v>
      </c>
      <c r="K3" s="281">
        <f t="shared" si="1"/>
        <v>1768680</v>
      </c>
    </row>
    <row r="4" spans="1:13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</row>
    <row r="5" spans="1:13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>
        <v>5.2529211999999999E-3</v>
      </c>
      <c r="H5" s="293">
        <v>3.6308104999999999</v>
      </c>
      <c r="I5" s="293"/>
      <c r="J5" s="293"/>
      <c r="K5" s="293"/>
    </row>
    <row r="6" spans="1:13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</row>
    <row r="7" spans="1:13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</row>
    <row r="8" spans="1:13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</row>
    <row r="9" spans="1:13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</row>
    <row r="10" spans="1:13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</row>
    <row r="11" spans="1:13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</row>
    <row r="12" spans="1:13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</row>
    <row r="13" spans="1:13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G13" s="281">
        <v>3.6209692000000002E-2</v>
      </c>
      <c r="H13" s="281">
        <v>1.7392082</v>
      </c>
      <c r="I13" s="293"/>
      <c r="J13" s="293"/>
      <c r="K13" s="293"/>
    </row>
    <row r="14" spans="1:13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</row>
    <row r="15" spans="1:13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</row>
    <row r="16" spans="1:13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</row>
    <row r="17" spans="1:15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</row>
    <row r="18" spans="1:15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</row>
    <row r="19" spans="1:15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</row>
    <row r="20" spans="1:15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</row>
    <row r="21" spans="1:15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>
        <v>188.40852000000001</v>
      </c>
      <c r="H21" s="293">
        <v>573.49603999999999</v>
      </c>
      <c r="I21" s="293"/>
      <c r="J21" s="293"/>
      <c r="K21" s="293"/>
    </row>
    <row r="22" spans="1:15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M22" t="s">
        <v>530</v>
      </c>
      <c r="N22">
        <v>340</v>
      </c>
      <c r="O22" t="s">
        <v>116</v>
      </c>
    </row>
    <row r="23" spans="1:15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M23" t="s">
        <v>531</v>
      </c>
      <c r="N23">
        <v>288</v>
      </c>
      <c r="O23" t="s">
        <v>119</v>
      </c>
    </row>
    <row r="24" spans="1:15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M24" t="s">
        <v>535</v>
      </c>
      <c r="N24">
        <f>CrossSecAreaRocket</f>
        <v>6.2265482457436686E-3</v>
      </c>
      <c r="O24" t="s">
        <v>223</v>
      </c>
    </row>
    <row r="25" spans="1:15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M25" t="s">
        <v>537</v>
      </c>
      <c r="N25">
        <v>1.224</v>
      </c>
      <c r="O25" t="s">
        <v>316</v>
      </c>
    </row>
    <row r="26" spans="1:15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M26" t="s">
        <v>538</v>
      </c>
      <c r="N26">
        <f>'FinAeroDesign 2.0'!B225</f>
        <v>0.8</v>
      </c>
      <c r="O26" t="s">
        <v>197</v>
      </c>
    </row>
    <row r="27" spans="1:15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</row>
    <row r="28" spans="1:15">
      <c r="A28" s="280" t="s">
        <v>534</v>
      </c>
    </row>
    <row r="29" spans="1:15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>
        <v>3.5391137000000002E-5</v>
      </c>
      <c r="H29" s="294">
        <v>-4.6915793999999999E-5</v>
      </c>
    </row>
    <row r="30" spans="1:15">
      <c r="A30" s="280">
        <v>5</v>
      </c>
    </row>
    <row r="31" spans="1:15">
      <c r="A31" s="280">
        <v>10</v>
      </c>
    </row>
    <row r="32" spans="1:15">
      <c r="A32" s="280">
        <v>15</v>
      </c>
    </row>
    <row r="33" spans="1:15">
      <c r="A33" s="280">
        <v>20</v>
      </c>
    </row>
    <row r="34" spans="1:15">
      <c r="A34" s="280">
        <v>25</v>
      </c>
    </row>
    <row r="35" spans="1:15">
      <c r="A35" s="280">
        <v>30</v>
      </c>
    </row>
    <row r="36" spans="1:15">
      <c r="A36" s="280" t="s">
        <v>533</v>
      </c>
      <c r="O36">
        <f>42*3</f>
        <v>126</v>
      </c>
    </row>
    <row r="37" spans="1:15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G37" s="281">
        <v>-1.2667222000000001E-2</v>
      </c>
      <c r="H37" s="281">
        <v>1.9839978</v>
      </c>
    </row>
    <row r="38" spans="1:15">
      <c r="A38" s="280">
        <v>5</v>
      </c>
    </row>
    <row r="39" spans="1:15">
      <c r="A39" s="280">
        <v>10</v>
      </c>
    </row>
    <row r="40" spans="1:15">
      <c r="A40" s="280">
        <v>15</v>
      </c>
    </row>
    <row r="41" spans="1:15">
      <c r="A41" s="280">
        <v>20</v>
      </c>
    </row>
    <row r="42" spans="1:15">
      <c r="A42" s="280">
        <v>25</v>
      </c>
    </row>
    <row r="43" spans="1:15">
      <c r="A43" s="280">
        <v>30</v>
      </c>
    </row>
    <row r="44" spans="1:15">
      <c r="A44" s="280" t="s">
        <v>532</v>
      </c>
    </row>
    <row r="45" spans="1:15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G45" s="281">
        <v>2.9580740000000001E-2</v>
      </c>
      <c r="H45" s="281">
        <v>-1.2803529</v>
      </c>
    </row>
    <row r="46" spans="1:15">
      <c r="A46" s="280">
        <v>5</v>
      </c>
    </row>
    <row r="47" spans="1:15">
      <c r="A47" s="280">
        <v>10</v>
      </c>
    </row>
    <row r="48" spans="1:15">
      <c r="A48" s="280">
        <v>15</v>
      </c>
    </row>
    <row r="49" spans="1:11">
      <c r="A49" s="280">
        <v>20</v>
      </c>
    </row>
    <row r="50" spans="1:11">
      <c r="A50" s="280">
        <v>25</v>
      </c>
    </row>
    <row r="51" spans="1:11">
      <c r="A51" s="280">
        <v>30</v>
      </c>
    </row>
    <row r="52" spans="1:11">
      <c r="B52" s="293"/>
      <c r="C52" s="293"/>
      <c r="D52" s="293"/>
      <c r="E52" s="293"/>
      <c r="F52" s="293"/>
      <c r="G52" s="293"/>
      <c r="H52" s="293"/>
      <c r="I52" s="293"/>
      <c r="J52" s="293"/>
      <c r="K52" s="293"/>
    </row>
    <row r="53" spans="1:11" s="301" customFormat="1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</row>
    <row r="54" spans="1:11">
      <c r="A54" s="280" t="s">
        <v>501</v>
      </c>
      <c r="B54" s="281">
        <f t="shared" ref="B54:H54" si="2">B5/(B$3*$N$24)</f>
        <v>1.3275888668284246E-3</v>
      </c>
      <c r="C54" s="281">
        <f t="shared" si="2"/>
        <v>4.8425676243421013E-5</v>
      </c>
      <c r="D54" s="281">
        <f t="shared" si="2"/>
        <v>1.7140628475887629E-4</v>
      </c>
      <c r="E54" s="281">
        <f t="shared" si="2"/>
        <v>7.2128803428533675E-5</v>
      </c>
      <c r="F54" s="281">
        <f t="shared" si="2"/>
        <v>4.7739308759510138E-5</v>
      </c>
      <c r="G54" s="281">
        <f t="shared" si="2"/>
        <v>1.1924612416902101E-5</v>
      </c>
      <c r="H54" s="281">
        <f t="shared" si="2"/>
        <v>3.663232223939068E-3</v>
      </c>
    </row>
    <row r="55" spans="1:11">
      <c r="A55" s="280">
        <v>0</v>
      </c>
    </row>
    <row r="56" spans="1:11">
      <c r="A56" s="280">
        <v>5</v>
      </c>
    </row>
    <row r="57" spans="1:11">
      <c r="A57" s="280">
        <v>10</v>
      </c>
    </row>
    <row r="58" spans="1:11">
      <c r="A58" s="280">
        <v>15</v>
      </c>
    </row>
    <row r="59" spans="1:11">
      <c r="A59" s="280">
        <v>20</v>
      </c>
    </row>
    <row r="60" spans="1:11">
      <c r="A60" s="280">
        <v>25</v>
      </c>
    </row>
    <row r="61" spans="1:11">
      <c r="A61" s="280">
        <v>30</v>
      </c>
    </row>
    <row r="62" spans="1:11" s="264" customFormat="1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</row>
    <row r="63" spans="1:11">
      <c r="A63" s="280" t="s">
        <v>502</v>
      </c>
    </row>
    <row r="64" spans="1:11">
      <c r="A64" s="280">
        <v>0</v>
      </c>
      <c r="B64" s="281">
        <f t="shared" ref="B64:H64" si="3">B13/(B$3*$N$24)</f>
        <v>1.9073524221190751E-3</v>
      </c>
      <c r="C64" s="281">
        <f t="shared" si="3"/>
        <v>1.7251273447885158E-3</v>
      </c>
      <c r="D64" s="281">
        <f t="shared" si="3"/>
        <v>1.196446644812942E-4</v>
      </c>
      <c r="E64" s="281">
        <f t="shared" si="3"/>
        <v>7.9496567401092229E-5</v>
      </c>
      <c r="F64" s="281">
        <f t="shared" si="3"/>
        <v>1.8944266696932341E-5</v>
      </c>
      <c r="G64" s="281">
        <f t="shared" si="3"/>
        <v>8.2199318511650367E-5</v>
      </c>
      <c r="H64" s="281">
        <f t="shared" si="3"/>
        <v>1.7547386519839202E-3</v>
      </c>
    </row>
    <row r="65" spans="1:11">
      <c r="A65" s="280">
        <v>5</v>
      </c>
    </row>
    <row r="66" spans="1:11">
      <c r="A66" s="280">
        <v>10</v>
      </c>
    </row>
    <row r="67" spans="1:11">
      <c r="A67" s="280">
        <v>15</v>
      </c>
    </row>
    <row r="68" spans="1:11">
      <c r="A68" s="280">
        <v>20</v>
      </c>
    </row>
    <row r="69" spans="1:11">
      <c r="A69" s="280">
        <v>25</v>
      </c>
    </row>
    <row r="70" spans="1:11">
      <c r="A70" s="280">
        <v>30</v>
      </c>
    </row>
    <row r="71" spans="1:11" s="264" customFormat="1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</row>
    <row r="72" spans="1:11">
      <c r="A72" s="280" t="s">
        <v>503</v>
      </c>
    </row>
    <row r="73" spans="1:11">
      <c r="A73" s="280">
        <v>0</v>
      </c>
      <c r="B73" s="281">
        <f t="shared" ref="B73:H73" si="4">B21/(B$3*$N$24)</f>
        <v>0.27990070185165045</v>
      </c>
      <c r="C73" s="281">
        <f t="shared" si="4"/>
        <v>0.2674280983466692</v>
      </c>
      <c r="D73" s="281">
        <f t="shared" si="4"/>
        <v>0.25103209927166154</v>
      </c>
      <c r="E73" s="281">
        <f t="shared" si="4"/>
        <v>0.2474155244931</v>
      </c>
      <c r="F73" s="281">
        <f t="shared" si="4"/>
        <v>0.25031566031126029</v>
      </c>
      <c r="G73" s="281">
        <f t="shared" si="4"/>
        <v>0.42770460311533853</v>
      </c>
      <c r="H73" s="281">
        <f t="shared" si="4"/>
        <v>0.57861713631968636</v>
      </c>
    </row>
    <row r="74" spans="1:11">
      <c r="A74" s="280">
        <v>5</v>
      </c>
    </row>
    <row r="75" spans="1:11">
      <c r="A75" s="280">
        <v>10</v>
      </c>
    </row>
    <row r="76" spans="1:11">
      <c r="A76" s="280">
        <v>15</v>
      </c>
    </row>
    <row r="77" spans="1:11">
      <c r="A77" s="280">
        <v>20</v>
      </c>
    </row>
    <row r="78" spans="1:11">
      <c r="A78" s="280">
        <v>25</v>
      </c>
    </row>
    <row r="79" spans="1:11">
      <c r="A79" s="280">
        <v>30</v>
      </c>
    </row>
    <row r="80" spans="1:11" s="299" customFormat="1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</row>
    <row r="81" spans="1:8">
      <c r="A81" s="280" t="s">
        <v>539</v>
      </c>
    </row>
    <row r="82" spans="1:8">
      <c r="A82" s="280">
        <v>0</v>
      </c>
      <c r="B82" s="281">
        <f t="shared" ref="B82:H82" si="5">B37/B5</f>
        <v>-0.39930727654120662</v>
      </c>
      <c r="C82" s="281">
        <f t="shared" si="5"/>
        <v>-4.6610647947528304E-2</v>
      </c>
      <c r="D82" s="281">
        <f t="shared" si="5"/>
        <v>-0.42056601112583708</v>
      </c>
      <c r="E82" s="281">
        <f t="shared" si="5"/>
        <v>-0.34953687600147854</v>
      </c>
      <c r="F82" s="281">
        <f t="shared" si="5"/>
        <v>-0.34743337042052802</v>
      </c>
      <c r="G82" s="281">
        <f t="shared" si="5"/>
        <v>-2.4114624068603963</v>
      </c>
      <c r="H82" s="281">
        <f t="shared" si="5"/>
        <v>0.54643386097952507</v>
      </c>
    </row>
    <row r="83" spans="1:8">
      <c r="A83" s="280">
        <v>5</v>
      </c>
    </row>
    <row r="84" spans="1:8">
      <c r="A84" s="280">
        <v>10</v>
      </c>
    </row>
    <row r="85" spans="1:8">
      <c r="A85" s="280">
        <v>15</v>
      </c>
    </row>
    <row r="86" spans="1:8">
      <c r="A86" s="280">
        <v>20</v>
      </c>
    </row>
    <row r="87" spans="1:8">
      <c r="A87" s="280">
        <v>25</v>
      </c>
    </row>
    <row r="88" spans="1:8">
      <c r="A88" s="280">
        <v>30</v>
      </c>
    </row>
    <row r="89" spans="1:8">
      <c r="A89" s="280" t="s">
        <v>540</v>
      </c>
    </row>
    <row r="90" spans="1:8">
      <c r="A90" s="280">
        <v>0</v>
      </c>
      <c r="B90" s="281">
        <f t="shared" ref="B90:H90" si="6">B45/B13</f>
        <v>-0.41464066168686775</v>
      </c>
      <c r="C90" s="281">
        <f t="shared" si="6"/>
        <v>-0.43743291880967239</v>
      </c>
      <c r="D90" s="281">
        <f t="shared" si="6"/>
        <v>-0.57466148543661322</v>
      </c>
      <c r="E90" s="281">
        <f t="shared" si="6"/>
        <v>-0.66093708494079895</v>
      </c>
      <c r="F90" s="281">
        <f t="shared" si="6"/>
        <v>-1.5354261032797718</v>
      </c>
      <c r="G90" s="281">
        <f t="shared" si="6"/>
        <v>0.81692879353958603</v>
      </c>
      <c r="H90" s="281">
        <f t="shared" si="6"/>
        <v>-0.7361699996584653</v>
      </c>
    </row>
    <row r="91" spans="1:8">
      <c r="A91" s="280">
        <v>5</v>
      </c>
    </row>
    <row r="92" spans="1:8">
      <c r="A92" s="280">
        <v>10</v>
      </c>
    </row>
    <row r="93" spans="1:8">
      <c r="A93" s="280">
        <v>15</v>
      </c>
    </row>
    <row r="94" spans="1:8">
      <c r="A94" s="280">
        <v>20</v>
      </c>
    </row>
    <row r="95" spans="1:8">
      <c r="A95" s="280">
        <v>25</v>
      </c>
    </row>
    <row r="96" spans="1:8">
      <c r="A96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O96"/>
  <sheetViews>
    <sheetView zoomScale="85" zoomScaleNormal="85" workbookViewId="0">
      <pane ySplit="3" topLeftCell="A4" activePane="bottomLeft" state="frozen"/>
      <selection pane="bottomLeft" activeCell="C10" sqref="C10"/>
    </sheetView>
  </sheetViews>
  <sheetFormatPr defaultColWidth="9.08984375" defaultRowHeight="14.5"/>
  <cols>
    <col min="1" max="1" width="44.7265625" style="280" customWidth="1"/>
    <col min="2" max="6" width="9.08984375" style="281" bestFit="1" customWidth="1"/>
    <col min="7" max="8" width="10" style="281" bestFit="1" customWidth="1"/>
    <col min="9" max="11" width="9.08984375" style="281"/>
    <col min="13" max="13" width="17.08984375" customWidth="1"/>
  </cols>
  <sheetData>
    <row r="1" spans="1:13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1</v>
      </c>
      <c r="H1" s="281">
        <v>1.5</v>
      </c>
      <c r="I1" s="281">
        <v>2</v>
      </c>
      <c r="J1" s="281">
        <v>3</v>
      </c>
      <c r="K1" s="281">
        <v>5</v>
      </c>
    </row>
    <row r="2" spans="1:13">
      <c r="A2" s="280" t="s">
        <v>526</v>
      </c>
      <c r="B2" s="281">
        <f t="shared" ref="B2:K2" si="0">B1*$N$22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 t="shared" si="0"/>
        <v>340</v>
      </c>
      <c r="H2" s="281">
        <f t="shared" si="0"/>
        <v>510</v>
      </c>
      <c r="I2" s="281">
        <f t="shared" si="0"/>
        <v>680</v>
      </c>
      <c r="J2" s="281">
        <f t="shared" si="0"/>
        <v>1020</v>
      </c>
      <c r="K2" s="281">
        <f t="shared" si="0"/>
        <v>1700</v>
      </c>
      <c r="M2" t="s">
        <v>504</v>
      </c>
    </row>
    <row r="3" spans="1:13">
      <c r="A3" s="280" t="s">
        <v>536</v>
      </c>
      <c r="B3" s="281">
        <f>0.5*$N$25*B2^2</f>
        <v>254.68991999999997</v>
      </c>
      <c r="C3" s="281">
        <f t="shared" ref="C3:K3" si="1">0.5*$N$25*C2^2</f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 t="shared" si="1"/>
        <v>70747.199999999997</v>
      </c>
      <c r="H3" s="281">
        <f t="shared" si="1"/>
        <v>159181.19999999998</v>
      </c>
      <c r="I3" s="281">
        <f t="shared" si="1"/>
        <v>282988.79999999999</v>
      </c>
      <c r="J3" s="281">
        <f t="shared" si="1"/>
        <v>636724.79999999993</v>
      </c>
      <c r="K3" s="281">
        <f t="shared" si="1"/>
        <v>1768680</v>
      </c>
    </row>
    <row r="4" spans="1:13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</row>
    <row r="5" spans="1:13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>
        <v>5.2529211999999999E-3</v>
      </c>
      <c r="H5" s="293">
        <v>3.6308104999999999</v>
      </c>
      <c r="I5" s="293"/>
      <c r="J5" s="293"/>
      <c r="K5" s="293"/>
    </row>
    <row r="6" spans="1:13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</row>
    <row r="7" spans="1:13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</row>
    <row r="8" spans="1:13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</row>
    <row r="9" spans="1:13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</row>
    <row r="10" spans="1:13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</row>
    <row r="11" spans="1:13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</row>
    <row r="12" spans="1:13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</row>
    <row r="13" spans="1:13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G13" s="281">
        <v>3.6209692000000002E-2</v>
      </c>
      <c r="H13" s="281">
        <v>1.7392082</v>
      </c>
      <c r="I13" s="293"/>
      <c r="J13" s="293"/>
      <c r="K13" s="293"/>
    </row>
    <row r="14" spans="1:13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</row>
    <row r="15" spans="1:13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</row>
    <row r="16" spans="1:13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</row>
    <row r="17" spans="1:15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</row>
    <row r="18" spans="1:15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</row>
    <row r="19" spans="1:15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</row>
    <row r="20" spans="1:15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</row>
    <row r="21" spans="1:15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>
        <v>188.40852000000001</v>
      </c>
      <c r="H21" s="293">
        <v>573.49603999999999</v>
      </c>
      <c r="I21" s="293"/>
      <c r="J21" s="293"/>
      <c r="K21" s="293"/>
    </row>
    <row r="22" spans="1:15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M22" t="s">
        <v>530</v>
      </c>
      <c r="N22">
        <v>340</v>
      </c>
      <c r="O22" t="s">
        <v>116</v>
      </c>
    </row>
    <row r="23" spans="1:15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M23" t="s">
        <v>531</v>
      </c>
      <c r="N23">
        <v>288</v>
      </c>
      <c r="O23" t="s">
        <v>119</v>
      </c>
    </row>
    <row r="24" spans="1:15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M24" t="s">
        <v>535</v>
      </c>
      <c r="N24">
        <f>CrossSecAreaRocket</f>
        <v>6.2265482457436686E-3</v>
      </c>
      <c r="O24" t="s">
        <v>223</v>
      </c>
    </row>
    <row r="25" spans="1:15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M25" t="s">
        <v>537</v>
      </c>
      <c r="N25">
        <v>1.224</v>
      </c>
      <c r="O25" t="s">
        <v>316</v>
      </c>
    </row>
    <row r="26" spans="1:15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M26" t="s">
        <v>538</v>
      </c>
      <c r="N26">
        <f>'FinAeroDesign 2.0'!B225</f>
        <v>0.8</v>
      </c>
      <c r="O26" t="s">
        <v>197</v>
      </c>
    </row>
    <row r="27" spans="1:15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</row>
    <row r="28" spans="1:15">
      <c r="A28" s="280" t="s">
        <v>534</v>
      </c>
      <c r="M28" t="s">
        <v>546</v>
      </c>
      <c r="N28">
        <v>14</v>
      </c>
      <c r="O28">
        <v>15</v>
      </c>
    </row>
    <row r="29" spans="1:15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>
        <v>3.5391137000000002E-5</v>
      </c>
      <c r="H29" s="294">
        <v>-4.6915793999999999E-5</v>
      </c>
      <c r="M29" t="s">
        <v>547</v>
      </c>
      <c r="N29">
        <v>0.1</v>
      </c>
      <c r="O29">
        <v>0.2</v>
      </c>
    </row>
    <row r="30" spans="1:15">
      <c r="A30" s="280">
        <v>5</v>
      </c>
      <c r="M30" t="s">
        <v>548</v>
      </c>
      <c r="N30">
        <v>1.1000000000000001</v>
      </c>
      <c r="O30">
        <v>1.2</v>
      </c>
    </row>
    <row r="31" spans="1:15">
      <c r="A31" s="280">
        <v>10</v>
      </c>
    </row>
    <row r="32" spans="1:15">
      <c r="A32" s="280">
        <v>15</v>
      </c>
    </row>
    <row r="33" spans="1:8">
      <c r="A33" s="280">
        <v>20</v>
      </c>
    </row>
    <row r="34" spans="1:8">
      <c r="A34" s="280">
        <v>25</v>
      </c>
    </row>
    <row r="35" spans="1:8">
      <c r="A35" s="280">
        <v>30</v>
      </c>
    </row>
    <row r="36" spans="1:8">
      <c r="A36" s="280" t="s">
        <v>533</v>
      </c>
    </row>
    <row r="37" spans="1:8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G37" s="281">
        <v>-1.2667222000000001E-2</v>
      </c>
      <c r="H37" s="281">
        <v>1.9839978</v>
      </c>
    </row>
    <row r="38" spans="1:8">
      <c r="A38" s="280">
        <v>5</v>
      </c>
    </row>
    <row r="39" spans="1:8">
      <c r="A39" s="280">
        <v>10</v>
      </c>
    </row>
    <row r="40" spans="1:8">
      <c r="A40" s="280">
        <v>15</v>
      </c>
    </row>
    <row r="41" spans="1:8">
      <c r="A41" s="280">
        <v>20</v>
      </c>
    </row>
    <row r="42" spans="1:8">
      <c r="A42" s="280">
        <v>25</v>
      </c>
    </row>
    <row r="43" spans="1:8">
      <c r="A43" s="280">
        <v>30</v>
      </c>
    </row>
    <row r="44" spans="1:8">
      <c r="A44" s="280" t="s">
        <v>532</v>
      </c>
    </row>
    <row r="45" spans="1:8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G45" s="281">
        <v>2.9580740000000001E-2</v>
      </c>
      <c r="H45" s="281">
        <v>-1.2803529</v>
      </c>
    </row>
    <row r="46" spans="1:8">
      <c r="A46" s="280">
        <v>5</v>
      </c>
    </row>
    <row r="47" spans="1:8">
      <c r="A47" s="280">
        <v>10</v>
      </c>
    </row>
    <row r="48" spans="1:8">
      <c r="A48" s="280">
        <v>15</v>
      </c>
    </row>
    <row r="49" spans="1:11">
      <c r="A49" s="280">
        <v>20</v>
      </c>
    </row>
    <row r="50" spans="1:11">
      <c r="A50" s="280">
        <v>25</v>
      </c>
    </row>
    <row r="51" spans="1:11">
      <c r="A51" s="280">
        <v>30</v>
      </c>
    </row>
    <row r="52" spans="1:11">
      <c r="B52" s="293"/>
      <c r="C52" s="293"/>
      <c r="D52" s="293"/>
      <c r="E52" s="293"/>
      <c r="F52" s="293"/>
      <c r="G52" s="293"/>
      <c r="H52" s="293"/>
      <c r="I52" s="293"/>
      <c r="J52" s="293"/>
      <c r="K52" s="293"/>
    </row>
    <row r="53" spans="1:11" s="301" customFormat="1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</row>
    <row r="54" spans="1:11">
      <c r="A54" s="280" t="s">
        <v>501</v>
      </c>
      <c r="B54" s="281">
        <f t="shared" ref="B54:H54" si="2">B5/(B$3*$N$24)</f>
        <v>1.3275888668284246E-3</v>
      </c>
      <c r="C54" s="281">
        <f t="shared" si="2"/>
        <v>4.8425676243421013E-5</v>
      </c>
      <c r="D54" s="281">
        <f t="shared" si="2"/>
        <v>1.7140628475887629E-4</v>
      </c>
      <c r="E54" s="281">
        <f t="shared" si="2"/>
        <v>7.2128803428533675E-5</v>
      </c>
      <c r="F54" s="281">
        <f t="shared" si="2"/>
        <v>4.7739308759510138E-5</v>
      </c>
      <c r="G54" s="281">
        <f t="shared" si="2"/>
        <v>1.1924612416902101E-5</v>
      </c>
      <c r="H54" s="281">
        <f t="shared" si="2"/>
        <v>3.663232223939068E-3</v>
      </c>
    </row>
    <row r="55" spans="1:11">
      <c r="A55" s="280">
        <v>0</v>
      </c>
    </row>
    <row r="56" spans="1:11">
      <c r="A56" s="280">
        <v>5</v>
      </c>
    </row>
    <row r="57" spans="1:11">
      <c r="A57" s="280">
        <v>10</v>
      </c>
    </row>
    <row r="58" spans="1:11">
      <c r="A58" s="280">
        <v>15</v>
      </c>
    </row>
    <row r="59" spans="1:11">
      <c r="A59" s="280">
        <v>20</v>
      </c>
    </row>
    <row r="60" spans="1:11">
      <c r="A60" s="280">
        <v>25</v>
      </c>
    </row>
    <row r="61" spans="1:11">
      <c r="A61" s="280">
        <v>30</v>
      </c>
    </row>
    <row r="62" spans="1:11" s="264" customFormat="1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</row>
    <row r="63" spans="1:11">
      <c r="A63" s="280" t="s">
        <v>502</v>
      </c>
    </row>
    <row r="64" spans="1:11">
      <c r="A64" s="280">
        <v>0</v>
      </c>
      <c r="B64" s="281">
        <f t="shared" ref="B64:H64" si="3">B13/(B$3*$N$24)</f>
        <v>1.9073524221190751E-3</v>
      </c>
      <c r="C64" s="281">
        <f t="shared" si="3"/>
        <v>1.7251273447885158E-3</v>
      </c>
      <c r="D64" s="281">
        <f t="shared" si="3"/>
        <v>1.196446644812942E-4</v>
      </c>
      <c r="E64" s="281">
        <f t="shared" si="3"/>
        <v>7.9496567401092229E-5</v>
      </c>
      <c r="F64" s="281">
        <f t="shared" si="3"/>
        <v>1.8944266696932341E-5</v>
      </c>
      <c r="G64" s="281">
        <f t="shared" si="3"/>
        <v>8.2199318511650367E-5</v>
      </c>
      <c r="H64" s="281">
        <f t="shared" si="3"/>
        <v>1.7547386519839202E-3</v>
      </c>
    </row>
    <row r="65" spans="1:11">
      <c r="A65" s="280">
        <v>5</v>
      </c>
    </row>
    <row r="66" spans="1:11">
      <c r="A66" s="280">
        <v>10</v>
      </c>
    </row>
    <row r="67" spans="1:11">
      <c r="A67" s="280">
        <v>15</v>
      </c>
    </row>
    <row r="68" spans="1:11">
      <c r="A68" s="280">
        <v>20</v>
      </c>
    </row>
    <row r="69" spans="1:11">
      <c r="A69" s="280">
        <v>25</v>
      </c>
    </row>
    <row r="70" spans="1:11">
      <c r="A70" s="280">
        <v>30</v>
      </c>
    </row>
    <row r="71" spans="1:11" s="264" customFormat="1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</row>
    <row r="72" spans="1:11">
      <c r="A72" s="280" t="s">
        <v>503</v>
      </c>
    </row>
    <row r="73" spans="1:11">
      <c r="A73" s="280">
        <v>0</v>
      </c>
      <c r="B73" s="281">
        <f t="shared" ref="B73:H73" si="4">B21/(B$3*$N$24)</f>
        <v>0.27990070185165045</v>
      </c>
      <c r="C73" s="281">
        <f t="shared" si="4"/>
        <v>0.2674280983466692</v>
      </c>
      <c r="D73" s="281">
        <f t="shared" si="4"/>
        <v>0.25103209927166154</v>
      </c>
      <c r="E73" s="281">
        <f t="shared" si="4"/>
        <v>0.2474155244931</v>
      </c>
      <c r="F73" s="281">
        <f t="shared" si="4"/>
        <v>0.25031566031126029</v>
      </c>
      <c r="G73" s="281">
        <f t="shared" si="4"/>
        <v>0.42770460311533853</v>
      </c>
      <c r="H73" s="281">
        <f t="shared" si="4"/>
        <v>0.57861713631968636</v>
      </c>
    </row>
    <row r="74" spans="1:11">
      <c r="A74" s="280">
        <v>5</v>
      </c>
    </row>
    <row r="75" spans="1:11">
      <c r="A75" s="280">
        <v>10</v>
      </c>
    </row>
    <row r="76" spans="1:11">
      <c r="A76" s="280">
        <v>15</v>
      </c>
    </row>
    <row r="77" spans="1:11">
      <c r="A77" s="280">
        <v>20</v>
      </c>
    </row>
    <row r="78" spans="1:11">
      <c r="A78" s="280">
        <v>25</v>
      </c>
    </row>
    <row r="79" spans="1:11">
      <c r="A79" s="280">
        <v>30</v>
      </c>
    </row>
    <row r="80" spans="1:11" s="299" customFormat="1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</row>
    <row r="81" spans="1:8">
      <c r="A81" s="280" t="s">
        <v>539</v>
      </c>
    </row>
    <row r="82" spans="1:8">
      <c r="A82" s="280">
        <v>0</v>
      </c>
      <c r="B82" s="281">
        <f t="shared" ref="B82:H82" si="5">B37/B5</f>
        <v>-0.39930727654120662</v>
      </c>
      <c r="C82" s="281">
        <f t="shared" si="5"/>
        <v>-4.6610647947528304E-2</v>
      </c>
      <c r="D82" s="281">
        <f t="shared" si="5"/>
        <v>-0.42056601112583708</v>
      </c>
      <c r="E82" s="281">
        <f t="shared" si="5"/>
        <v>-0.34953687600147854</v>
      </c>
      <c r="F82" s="281">
        <f t="shared" si="5"/>
        <v>-0.34743337042052802</v>
      </c>
      <c r="G82" s="281">
        <f t="shared" si="5"/>
        <v>-2.4114624068603963</v>
      </c>
      <c r="H82" s="281">
        <f t="shared" si="5"/>
        <v>0.54643386097952507</v>
      </c>
    </row>
    <row r="83" spans="1:8">
      <c r="A83" s="280">
        <v>5</v>
      </c>
    </row>
    <row r="84" spans="1:8">
      <c r="A84" s="280">
        <v>10</v>
      </c>
    </row>
    <row r="85" spans="1:8">
      <c r="A85" s="280">
        <v>15</v>
      </c>
    </row>
    <row r="86" spans="1:8">
      <c r="A86" s="280">
        <v>20</v>
      </c>
    </row>
    <row r="87" spans="1:8">
      <c r="A87" s="280">
        <v>25</v>
      </c>
    </row>
    <row r="88" spans="1:8">
      <c r="A88" s="280">
        <v>30</v>
      </c>
    </row>
    <row r="89" spans="1:8">
      <c r="A89" s="280" t="s">
        <v>540</v>
      </c>
    </row>
    <row r="90" spans="1:8">
      <c r="A90" s="280">
        <v>0</v>
      </c>
      <c r="B90" s="281">
        <f t="shared" ref="B90:H90" si="6">B45/B13</f>
        <v>-0.41464066168686775</v>
      </c>
      <c r="C90" s="281">
        <f t="shared" si="6"/>
        <v>-0.43743291880967239</v>
      </c>
      <c r="D90" s="281">
        <f t="shared" si="6"/>
        <v>-0.57466148543661322</v>
      </c>
      <c r="E90" s="281">
        <f t="shared" si="6"/>
        <v>-0.66093708494079895</v>
      </c>
      <c r="F90" s="281">
        <f t="shared" si="6"/>
        <v>-1.5354261032797718</v>
      </c>
      <c r="G90" s="281">
        <f t="shared" si="6"/>
        <v>0.81692879353958603</v>
      </c>
      <c r="H90" s="281">
        <f t="shared" si="6"/>
        <v>-0.7361699996584653</v>
      </c>
    </row>
    <row r="91" spans="1:8">
      <c r="A91" s="280">
        <v>5</v>
      </c>
    </row>
    <row r="92" spans="1:8">
      <c r="A92" s="280">
        <v>10</v>
      </c>
    </row>
    <row r="93" spans="1:8">
      <c r="A93" s="280">
        <v>15</v>
      </c>
    </row>
    <row r="94" spans="1:8">
      <c r="A94" s="280">
        <v>20</v>
      </c>
    </row>
    <row r="95" spans="1:8">
      <c r="A95" s="280">
        <v>25</v>
      </c>
    </row>
    <row r="96" spans="1:8">
      <c r="A96" s="280">
        <v>30</v>
      </c>
    </row>
  </sheetData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9"/>
  <sheetViews>
    <sheetView workbookViewId="0">
      <selection activeCell="M20" sqref="M20"/>
    </sheetView>
  </sheetViews>
  <sheetFormatPr defaultRowHeight="14.5"/>
  <cols>
    <col min="1" max="1" width="10.453125" customWidth="1"/>
  </cols>
  <sheetData>
    <row r="1" spans="1:8" ht="42.75" customHeight="1">
      <c r="A1" s="370" t="s">
        <v>544</v>
      </c>
      <c r="B1" s="370"/>
      <c r="C1" s="302">
        <v>0.5</v>
      </c>
      <c r="D1" s="302">
        <v>1</v>
      </c>
      <c r="E1" s="302">
        <v>1.5</v>
      </c>
      <c r="F1" s="302">
        <v>3</v>
      </c>
      <c r="G1" s="302">
        <v>5</v>
      </c>
      <c r="H1" s="303" t="s">
        <v>176</v>
      </c>
    </row>
    <row r="2" spans="1:8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8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8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8" ht="28.5" customHeight="1">
      <c r="A6" s="370" t="s">
        <v>545</v>
      </c>
      <c r="B6" s="370"/>
      <c r="C6">
        <v>50</v>
      </c>
      <c r="D6">
        <v>100</v>
      </c>
      <c r="E6">
        <v>200</v>
      </c>
      <c r="F6">
        <v>300</v>
      </c>
    </row>
    <row r="7" spans="1:8">
      <c r="A7" s="264">
        <v>3</v>
      </c>
      <c r="B7" s="264">
        <f>A7*2.54</f>
        <v>7.62</v>
      </c>
      <c r="C7" s="302">
        <f>C$6/B7</f>
        <v>6.5616797900262469</v>
      </c>
      <c r="D7" s="302">
        <f t="shared" ref="D7:F7" si="4">D$6/C7</f>
        <v>15.24</v>
      </c>
      <c r="E7" s="302">
        <f t="shared" si="4"/>
        <v>13.123359580052494</v>
      </c>
      <c r="F7" s="302">
        <f t="shared" si="4"/>
        <v>22.86</v>
      </c>
      <c r="G7" s="371" t="s">
        <v>176</v>
      </c>
    </row>
    <row r="8" spans="1:8">
      <c r="A8" s="264">
        <v>5</v>
      </c>
      <c r="B8" s="264">
        <f t="shared" ref="B8:B9" si="5">A8*2.54</f>
        <v>12.7</v>
      </c>
      <c r="C8" s="302">
        <f t="shared" ref="C8:F8" si="6">C$6/B8</f>
        <v>3.9370078740157481</v>
      </c>
      <c r="D8" s="302">
        <f t="shared" si="6"/>
        <v>25.4</v>
      </c>
      <c r="E8" s="302">
        <f t="shared" si="6"/>
        <v>7.8740157480314963</v>
      </c>
      <c r="F8" s="302">
        <f t="shared" si="6"/>
        <v>38.1</v>
      </c>
      <c r="G8" s="371"/>
    </row>
    <row r="9" spans="1:8">
      <c r="A9" s="264">
        <v>8</v>
      </c>
      <c r="B9" s="264">
        <f t="shared" si="5"/>
        <v>20.32</v>
      </c>
      <c r="C9" s="302">
        <f t="shared" ref="C9:F9" si="7">C$6/B9</f>
        <v>2.4606299212598426</v>
      </c>
      <c r="D9" s="302">
        <f t="shared" si="7"/>
        <v>40.64</v>
      </c>
      <c r="E9" s="302">
        <f t="shared" si="7"/>
        <v>4.9212598425196852</v>
      </c>
      <c r="F9" s="302">
        <f t="shared" si="7"/>
        <v>60.96</v>
      </c>
      <c r="G9" s="371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42FDC09-86A2-4A8D-9C5A-BD852817852F}">
  <ds:schemaRefs>
    <ds:schemaRef ds:uri="http://www.w3.org/XML/1998/namespace"/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d7929c02-2ff7-4e2f-b3f4-5d7437463a37"/>
    <ds:schemaRef ds:uri="f5cf7016-d570-4e66-bed5-9c66354e4d6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14</vt:i4>
      </vt:variant>
    </vt:vector>
  </HeadingPairs>
  <TitlesOfParts>
    <vt:vector size="30" baseType="lpstr">
      <vt:lpstr>Manual rev.1</vt:lpstr>
      <vt:lpstr>Statistics</vt:lpstr>
      <vt:lpstr>Geometry</vt:lpstr>
      <vt:lpstr>Forces balance</vt:lpstr>
      <vt:lpstr>FinAeroDesign 2.0</vt:lpstr>
      <vt:lpstr>RocketAeroDesign 3.0 </vt:lpstr>
      <vt:lpstr>FBAeroDesign</vt:lpstr>
      <vt:lpstr>RocketData</vt:lpstr>
      <vt:lpstr>CFD fins</vt:lpstr>
      <vt:lpstr>CFD forebody</vt:lpstr>
      <vt:lpstr>Future CFD forebody</vt:lpstr>
      <vt:lpstr>Stability</vt:lpstr>
      <vt:lpstr>CFD fuselage</vt:lpstr>
      <vt:lpstr>CFD boat-tail</vt:lpstr>
      <vt:lpstr>CFD rocket</vt:lpstr>
      <vt:lpstr>OpenRocket</vt:lpstr>
      <vt:lpstr>FBAeroDesign!Airflow</vt:lpstr>
      <vt:lpstr>'RocketAeroDesign 3.0 '!Airflow</vt:lpstr>
      <vt:lpstr>Airflow</vt:lpstr>
      <vt:lpstr>FBAeroDesign!AoAfins</vt:lpstr>
      <vt:lpstr>'RocketAeroDesign 3.0 '!AoAfins</vt:lpstr>
      <vt:lpstr>AoAfins</vt:lpstr>
      <vt:lpstr>FBAeroDesign!AoSfins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dcterms:created xsi:type="dcterms:W3CDTF">2024-07-02T19:27:32Z</dcterms:created>
  <dcterms:modified xsi:type="dcterms:W3CDTF">2025-07-29T23:46:32Z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