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ink/ink9.xml" ContentType="application/inkml+xml"/>
  <Override PartName="/xl/ink/ink10.xml" ContentType="application/inkml+xml"/>
  <Override PartName="/xl/ink/ink11.xml" ContentType="application/inkml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588C42FA-AFA6-4C02-B21C-F61451D12B48}" xr6:coauthVersionLast="47" xr6:coauthVersionMax="47" xr10:uidLastSave="{00000000-0000-0000-0000-000000000000}"/>
  <bookViews>
    <workbookView xWindow="28680" yWindow="1770" windowWidth="29040" windowHeight="15720" tabRatio="864" firstSheet="1" activeTab="4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bending">SimpleComposites!$D$115</definedName>
    <definedName name="ScuComp">SimpleComposites!$B$57</definedName>
    <definedName name="ScyComp">SimpleComposites!$B$56</definedName>
    <definedName name="SsyComp">SimpleComposites!$D$38</definedName>
    <definedName name="StyComp">SimpleComposites!$B$55</definedName>
    <definedName name="tubeZ">SimpleComposites!$I$83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4" i="25" l="1"/>
  <c r="D246" i="25"/>
  <c r="D249" i="25" s="1"/>
  <c r="D255" i="25" s="1"/>
  <c r="D240" i="25"/>
  <c r="D238" i="25"/>
  <c r="D222" i="25"/>
  <c r="D212" i="25" l="1"/>
  <c r="D216" i="25" l="1"/>
  <c r="D219" i="25" s="1"/>
  <c r="D225" i="25" s="1"/>
  <c r="D239" i="25"/>
  <c r="D245" i="25" s="1"/>
  <c r="D248" i="25" s="1"/>
  <c r="D254" i="25" s="1"/>
  <c r="D213" i="25"/>
  <c r="D217" i="25" s="1"/>
  <c r="D221" i="25" s="1"/>
  <c r="D226" i="25" s="1"/>
  <c r="C310" i="25"/>
  <c r="C312" i="25" l="1"/>
  <c r="Q203" i="25" l="1"/>
  <c r="Q204" i="25" s="1"/>
  <c r="P203" i="25"/>
  <c r="P204" i="25" s="1"/>
  <c r="S193" i="25"/>
  <c r="S195" i="25" s="1"/>
  <c r="R201" i="25" s="1"/>
  <c r="N198" i="25"/>
  <c r="N201" i="25" s="1"/>
  <c r="S200" i="25" s="1"/>
  <c r="N196" i="25"/>
  <c r="N197" i="25" s="1"/>
  <c r="N200" i="25" s="1"/>
  <c r="C307" i="25"/>
  <c r="C308" i="25"/>
  <c r="C309" i="25"/>
  <c r="C311" i="25"/>
  <c r="C302" i="25"/>
  <c r="C303" i="25"/>
  <c r="C304" i="25"/>
  <c r="C305" i="25"/>
  <c r="C306" i="25"/>
  <c r="C301" i="25"/>
  <c r="F182" i="25"/>
  <c r="G172" i="25"/>
  <c r="F172" i="25"/>
  <c r="D171" i="25"/>
  <c r="H20" i="25"/>
  <c r="H29" i="25"/>
  <c r="H27" i="25"/>
  <c r="J145" i="25"/>
  <c r="J144" i="25" s="1"/>
  <c r="G152" i="25" s="1"/>
  <c r="S201" i="25" l="1"/>
  <c r="Q208" i="25"/>
  <c r="C314" i="25"/>
  <c r="J143" i="25"/>
  <c r="B145" i="25" s="1"/>
  <c r="C140" i="25"/>
  <c r="D20" i="25"/>
  <c r="J28" i="25"/>
  <c r="C50" i="25" s="1"/>
  <c r="C48" i="25"/>
  <c r="H23" i="25"/>
  <c r="H26" i="25"/>
  <c r="E51" i="25"/>
  <c r="E50" i="25" s="1"/>
  <c r="H25" i="25" l="1"/>
  <c r="D50" i="25" s="1"/>
  <c r="H28" i="25"/>
  <c r="D25" i="25" l="1"/>
  <c r="B44" i="25"/>
  <c r="D44" i="25"/>
  <c r="B53" i="25" s="1"/>
  <c r="I81" i="25"/>
  <c r="D107" i="25" l="1"/>
  <c r="D108" i="25"/>
  <c r="M135" i="25"/>
  <c r="L126" i="25"/>
  <c r="L137" i="25" s="1"/>
  <c r="M123" i="25"/>
  <c r="M124" i="25" s="1"/>
  <c r="M125" i="25" s="1"/>
  <c r="M126" i="25" s="1"/>
  <c r="L122" i="25"/>
  <c r="L135" i="25" s="1"/>
  <c r="L124" i="25"/>
  <c r="B48" i="25"/>
  <c r="B50" i="25"/>
  <c r="D82" i="25"/>
  <c r="D81" i="25"/>
  <c r="D77" i="25"/>
  <c r="F24" i="25"/>
  <c r="J26" i="25"/>
  <c r="D51" i="25"/>
  <c r="D48" i="25"/>
  <c r="E48" i="25" s="1"/>
  <c r="D83" i="25" l="1"/>
  <c r="D38" i="25"/>
  <c r="D35" i="25"/>
  <c r="B108" i="25"/>
  <c r="B107" i="25" s="1"/>
  <c r="C123" i="25" s="1"/>
  <c r="B131" i="25"/>
  <c r="I108" i="25"/>
  <c r="D121" i="25" s="1"/>
  <c r="B124" i="25" s="1"/>
  <c r="B51" i="25"/>
  <c r="J27" i="25"/>
  <c r="C53" i="25"/>
  <c r="C44" i="25"/>
  <c r="C43" i="25"/>
  <c r="D43" i="25" s="1"/>
  <c r="D37" i="25" s="1"/>
  <c r="D36" i="25" s="1"/>
  <c r="E53" i="25" s="1"/>
  <c r="C42" i="25"/>
  <c r="L136" i="25"/>
  <c r="M136" i="25" s="1"/>
  <c r="M137" i="25" s="1"/>
  <c r="L125" i="25"/>
  <c r="L123" i="25"/>
  <c r="L127" i="25"/>
  <c r="M127" i="25"/>
  <c r="D26" i="25"/>
  <c r="B42" i="25" s="1"/>
  <c r="H32" i="25"/>
  <c r="H36" i="25" s="1"/>
  <c r="H37" i="25" s="1"/>
  <c r="D32" i="25"/>
  <c r="I79" i="25" l="1"/>
  <c r="C93" i="25"/>
  <c r="H94" i="25" s="1"/>
  <c r="D123" i="25"/>
  <c r="D111" i="25"/>
  <c r="D152" i="25" s="1"/>
  <c r="D124" i="25"/>
  <c r="C124" i="25"/>
  <c r="D112" i="25"/>
  <c r="F112" i="25"/>
  <c r="B125" i="25"/>
  <c r="C51" i="25"/>
  <c r="D28" i="25"/>
  <c r="B43" i="25" s="1"/>
  <c r="B57" i="25"/>
  <c r="B56" i="25"/>
  <c r="D42" i="25"/>
  <c r="D34" i="25" s="1"/>
  <c r="D33" i="25"/>
  <c r="N37" i="16"/>
  <c r="I87" i="25" l="1"/>
  <c r="I78" i="25"/>
  <c r="D131" i="25"/>
  <c r="D113" i="25"/>
  <c r="D114" i="25" s="1"/>
  <c r="F113" i="25"/>
  <c r="C131" i="25"/>
  <c r="C125" i="25"/>
  <c r="D125" i="25"/>
  <c r="B126" i="25"/>
  <c r="B55" i="25"/>
  <c r="D53" i="25"/>
  <c r="C24" i="16"/>
  <c r="C28" i="16" s="1"/>
  <c r="N41" i="16"/>
  <c r="L41" i="16" s="1"/>
  <c r="L36" i="16"/>
  <c r="N36" i="16" s="1"/>
  <c r="G275" i="25"/>
  <c r="I275" i="25"/>
  <c r="G276" i="25"/>
  <c r="I276" i="25"/>
  <c r="G277" i="25"/>
  <c r="I277" i="25"/>
  <c r="G278" i="25"/>
  <c r="I278" i="25"/>
  <c r="G279" i="25"/>
  <c r="I279" i="25"/>
  <c r="G280" i="25"/>
  <c r="I280" i="25"/>
  <c r="G281" i="25"/>
  <c r="I281" i="25"/>
  <c r="G282" i="25"/>
  <c r="I282" i="25"/>
  <c r="G283" i="25"/>
  <c r="I283" i="25"/>
  <c r="I274" i="25"/>
  <c r="G274" i="25"/>
  <c r="D277" i="25"/>
  <c r="H277" i="25" s="1"/>
  <c r="D278" i="25"/>
  <c r="H278" i="25" s="1"/>
  <c r="D279" i="25"/>
  <c r="H279" i="25" s="1"/>
  <c r="D280" i="25"/>
  <c r="H280" i="25" s="1"/>
  <c r="D281" i="25"/>
  <c r="H281" i="25" s="1"/>
  <c r="D282" i="25"/>
  <c r="H282" i="25" s="1"/>
  <c r="D283" i="25"/>
  <c r="H283" i="25" s="1"/>
  <c r="D275" i="25"/>
  <c r="H275" i="25" s="1"/>
  <c r="D276" i="25"/>
  <c r="H276" i="25" s="1"/>
  <c r="D274" i="25"/>
  <c r="H274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I83" i="25" l="1"/>
  <c r="D115" i="25" s="1"/>
  <c r="C94" i="25"/>
  <c r="I80" i="25"/>
  <c r="I82" i="25"/>
  <c r="D149" i="25" s="1"/>
  <c r="I86" i="25"/>
  <c r="I88" i="25" s="1"/>
  <c r="C126" i="25"/>
  <c r="D126" i="25"/>
  <c r="B127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H93" i="25" l="1"/>
  <c r="D86" i="25"/>
  <c r="D87" i="25" s="1"/>
  <c r="D88" i="25" s="1"/>
  <c r="D118" i="25"/>
  <c r="D154" i="25"/>
  <c r="D150" i="25"/>
  <c r="D117" i="25"/>
  <c r="D158" i="25"/>
  <c r="D148" i="25"/>
  <c r="I170" i="25"/>
  <c r="I171" i="25"/>
  <c r="I168" i="25"/>
  <c r="I169" i="25"/>
  <c r="D169" i="25"/>
  <c r="D172" i="25" s="1"/>
  <c r="D174" i="25" s="1"/>
  <c r="D183" i="25"/>
  <c r="D186" i="25" s="1"/>
  <c r="D188" i="25" s="1"/>
  <c r="D176" i="25"/>
  <c r="D179" i="25" s="1"/>
  <c r="D181" i="25" s="1"/>
  <c r="D116" i="25"/>
  <c r="D119" i="25" s="1"/>
  <c r="D155" i="25" s="1"/>
  <c r="D127" i="25"/>
  <c r="C127" i="25"/>
  <c r="B128" i="25"/>
  <c r="C23" i="24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I172" i="25" l="1"/>
  <c r="I173" i="25" s="1"/>
  <c r="G159" i="25" s="1"/>
  <c r="D161" i="25"/>
  <c r="D162" i="25" s="1"/>
  <c r="D163" i="25" s="1"/>
  <c r="D165" i="25" s="1"/>
  <c r="D159" i="25"/>
  <c r="D160" i="25" s="1"/>
  <c r="D151" i="25"/>
  <c r="D153" i="25" s="1"/>
  <c r="J55" i="24"/>
  <c r="J57" i="24" s="1"/>
  <c r="J103" i="24" s="1"/>
  <c r="C24" i="24"/>
  <c r="C128" i="25"/>
  <c r="D128" i="25"/>
  <c r="B129" i="25"/>
  <c r="C29" i="24"/>
  <c r="C31" i="24" s="1"/>
  <c r="C30" i="24"/>
  <c r="C32" i="24" s="1"/>
  <c r="C55" i="24"/>
  <c r="C57" i="24" s="1"/>
  <c r="J24" i="24"/>
  <c r="C103" i="24"/>
  <c r="C102" i="24"/>
  <c r="C99" i="24" s="1"/>
  <c r="C133" i="24" s="1"/>
  <c r="K244" i="24"/>
  <c r="G5" i="24"/>
  <c r="G33" i="24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J102" i="24" l="1"/>
  <c r="D129" i="25"/>
  <c r="C129" i="25"/>
  <c r="B130" i="25"/>
  <c r="G29" i="24"/>
  <c r="G31" i="24" s="1"/>
  <c r="G202" i="24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 s="1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H99" i="24" l="1"/>
  <c r="C130" i="25"/>
  <c r="D130" i="25"/>
  <c r="B132" i="25"/>
  <c r="C232" i="24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D136" i="24" l="1"/>
  <c r="D147" i="24" s="1"/>
  <c r="C132" i="25"/>
  <c r="D132" i="25"/>
  <c r="B133" i="25"/>
  <c r="C9" i="21"/>
  <c r="D9" i="21"/>
  <c r="E9" i="21"/>
  <c r="F9" i="21"/>
  <c r="F8" i="21"/>
  <c r="C8" i="21"/>
  <c r="D8" i="21"/>
  <c r="E8" i="21"/>
  <c r="I80" i="24"/>
  <c r="I91" i="24" s="1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133" i="25" l="1"/>
  <c r="D133" i="25"/>
  <c r="B134" i="25"/>
  <c r="F137" i="24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D134" i="25" l="1"/>
  <c r="C134" i="25"/>
  <c r="B135" i="25"/>
  <c r="C138" i="24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135" i="25" l="1"/>
  <c r="D135" i="25"/>
  <c r="B136" i="25"/>
  <c r="E18" i="17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136" i="25" l="1"/>
  <c r="D136" i="25"/>
  <c r="B137" i="25"/>
  <c r="C7" i="17"/>
  <c r="C4" i="17"/>
  <c r="C26" i="17" s="1"/>
  <c r="C28" i="17" s="1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G108" i="17" l="1"/>
  <c r="I109" i="17"/>
  <c r="K100" i="17"/>
  <c r="C137" i="25"/>
  <c r="D137" i="25"/>
  <c r="B138" i="25"/>
  <c r="K25" i="17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8" i="24" l="1"/>
  <c r="D138" i="25"/>
  <c r="C138" i="25"/>
  <c r="B139" i="25"/>
  <c r="J154" i="24"/>
  <c r="J157" i="24" s="1"/>
  <c r="J159" i="24" s="1"/>
  <c r="H96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D143" i="24" l="1"/>
  <c r="H97" i="24"/>
  <c r="B140" i="25"/>
  <c r="D140" i="25" s="1"/>
  <c r="C139" i="25"/>
  <c r="D139" i="25"/>
  <c r="H143" i="24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D231" i="24" s="1"/>
  <c r="K156" i="24"/>
  <c r="K158" i="24" s="1"/>
  <c r="H225" i="24"/>
  <c r="H227" i="24" s="1"/>
  <c r="H228" i="24" s="1"/>
  <c r="H231" i="24" s="1"/>
  <c r="G96" i="24"/>
  <c r="G226" i="24" s="1"/>
  <c r="K231" i="24"/>
  <c r="G95" i="24"/>
  <c r="G152" i="24"/>
  <c r="I159" i="24"/>
  <c r="F153" i="24"/>
  <c r="D154" i="24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D156" i="24" l="1"/>
  <c r="D158" i="24" s="1"/>
  <c r="D157" i="24"/>
  <c r="G144" i="24"/>
  <c r="G155" i="24" s="1"/>
  <c r="F156" i="24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C96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2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15" i="17" l="1"/>
  <c r="F213" i="17"/>
  <c r="F218" i="17"/>
  <c r="F216" i="17"/>
  <c r="F214" i="17"/>
  <c r="F222" i="17" s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00000000-0006-0000-03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  <author>Juan Leonardo Valadez Ortiz</author>
  </authors>
  <commentList>
    <comment ref="B4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1" authorId="1" shapeId="0" xr:uid="{00000000-0006-0000-0400-000002000000}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72" authorId="1" shapeId="0" xr:uid="{00000000-0006-0000-0400-000003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6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<sst xmlns="http://schemas.openxmlformats.org/spreadsheetml/2006/main" count="1632" uniqueCount="1025">
  <si>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</si>
  <si>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</si>
  <si>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</si>
  <si>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</si>
  <si>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</si>
  <si>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</si>
  <si>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</si>
  <si>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</si>
  <si>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</si>
  <si>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</si>
  <si>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</si>
  <si>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</si>
  <si>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</si>
  <si>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</si>
  <si>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</si>
  <si>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</si>
  <si>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</si>
  <si>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</si>
  <si>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</si>
  <si>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</si>
  <si>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</si>
  <si>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</si>
  <si>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</si>
  <si>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</si>
  <si>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</si>
  <si>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</si>
  <si>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</si>
  <si>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</si>
  <si>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</si>
  <si>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</si>
  <si>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</si>
  <si>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</si>
  <si>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</si>
  <si>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</si>
  <si>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</si>
  <si>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</si>
  <si>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</si>
  <si>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</si>
  <si>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</si>
  <si>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</si>
  <si>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</si>
  <si>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</si>
  <si>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</si>
  <si>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</si>
  <si>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</si>
  <si>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</si>
  <si>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</si>
  <si>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</si>
  <si>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</si>
  <si>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</si>
  <si>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</si>
  <si>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</si>
  <si>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</si>
  <si>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</si>
  <si>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</si>
  <si>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</si>
  <si>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</si>
  <si>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</si>
  <si>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</si>
  <si>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</si>
  <si>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</si>
  <si>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</si>
  <si>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</si>
  <si>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</si>
  <si>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</si>
  <si>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</si>
  <si>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</si>
  <si>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</si>
  <si>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</si>
  <si>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</si>
  <si>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</si>
  <si>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</si>
  <si>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</si>
  <si>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</si>
  <si>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</si>
  <si>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</si>
  <si>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</si>
  <si>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</si>
  <si>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</si>
  <si>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</si>
  <si>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</si>
  <si>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</si>
  <si>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</si>
  <si>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</si>
  <si>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</si>
  <si>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</si>
  <si>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</si>
  <si>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</si>
  <si>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</si>
  <si>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</si>
  <si>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</si>
  <si>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</si>
  <si>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</si>
  <si>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</si>
  <si>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</si>
  <si>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</si>
  <si>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</si>
  <si>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</si>
  <si>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</si>
  <si>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</si>
  <si>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</si>
  <si>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</si>
  <si>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</si>
  <si>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</si>
  <si>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</si>
  <si>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</si>
  <si>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</si>
  <si>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</si>
  <si>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</si>
  <si>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</si>
  <si>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</si>
  <si>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</si>
  <si>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</si>
  <si>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</si>
  <si>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</si>
  <si>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</si>
  <si>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</si>
  <si>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</si>
  <si>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</si>
  <si>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</si>
  <si>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</si>
  <si>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</si>
  <si>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</si>
  <si>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</si>
  <si>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</si>
  <si>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</si>
  <si>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</si>
  <si>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</si>
  <si>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</si>
  <si>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</si>
  <si>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</si>
  <si>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</si>
  <si>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</si>
  <si>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</si>
  <si>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</si>
  <si>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</si>
  <si>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</si>
  <si>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</si>
  <si>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</si>
  <si>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</si>
  <si>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</si>
  <si>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</si>
  <si>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</si>
  <si>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</si>
  <si>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</si>
  <si>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</si>
  <si>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</si>
  <si>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</si>
  <si>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</si>
  <si>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</si>
  <si>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</si>
  <si>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</si>
  <si>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</si>
  <si>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</si>
  <si>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</si>
  <si>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</si>
  <si>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</si>
  <si>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</si>
  <si>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</si>
  <si>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</si>
  <si>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</si>
  <si>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</si>
  <si>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</si>
  <si>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</si>
  <si>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</si>
  <si>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</si>
  <si>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</si>
  <si>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</si>
  <si>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</si>
  <si>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</si>
  <si>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</si>
  <si>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</si>
  <si>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</si>
  <si>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</si>
  <si>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</si>
  <si>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</si>
  <si>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</si>
  <si>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</si>
  <si>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</si>
  <si>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</si>
  <si>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</si>
  <si>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</si>
  <si>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</si>
  <si>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</si>
  <si>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</si>
  <si>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</si>
  <si>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</si>
  <si>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</si>
  <si>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</si>
  <si>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</si>
  <si>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</si>
  <si>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</si>
  <si>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</si>
  <si>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</si>
  <si>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</si>
  <si>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</si>
  <si>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</si>
  <si>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</si>
  <si>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</si>
  <si>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</si>
  <si>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</si>
  <si>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</si>
  <si>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</si>
  <si>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</si>
  <si>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</si>
  <si>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</si>
  <si>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</si>
  <si>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</si>
  <si>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</si>
  <si>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</si>
  <si>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</si>
  <si>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</si>
  <si>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</si>
  <si>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</si>
  <si>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</si>
  <si>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</si>
  <si>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</si>
  <si>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</si>
  <si>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</si>
  <si>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</si>
  <si>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</si>
  <si>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</si>
  <si>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</si>
  <si>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</si>
  <si>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</si>
  <si>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</si>
  <si>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</si>
  <si>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</si>
  <si>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</si>
  <si>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</si>
  <si>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</si>
  <si>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</si>
  <si>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</si>
  <si>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</si>
  <si>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</si>
  <si>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</si>
  <si>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</si>
  <si>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</si>
  <si>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</si>
  <si>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</si>
  <si>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</si>
  <si>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</si>
  <si>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</si>
  <si>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</si>
  <si>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</si>
  <si>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</si>
  <si>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</si>
  <si>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</si>
  <si>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</si>
  <si>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</si>
  <si>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</si>
  <si>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</si>
  <si>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</si>
  <si>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</si>
  <si>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</si>
  <si>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</si>
  <si>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</si>
  <si>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</si>
  <si>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</si>
  <si>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</si>
  <si>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</si>
  <si>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</si>
  <si>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</si>
  <si>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</si>
  <si>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</si>
  <si>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</si>
  <si>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</si>
  <si>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</si>
  <si>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</si>
  <si>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</si>
  <si>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</si>
  <si>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</si>
  <si>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</si>
  <si>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</si>
  <si>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</si>
  <si>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</si>
  <si>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</si>
  <si>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</si>
  <si>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</si>
  <si>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</si>
  <si>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</si>
  <si>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</si>
  <si>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</si>
  <si>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</si>
  <si>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</si>
  <si>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</si>
  <si>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</si>
  <si>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</si>
  <si>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</si>
  <si>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</si>
  <si>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</si>
  <si>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</si>
  <si>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</si>
  <si>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</si>
  <si>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</si>
  <si>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</si>
  <si>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</si>
  <si>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</si>
  <si>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</si>
  <si>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</si>
  <si>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</si>
  <si>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</si>
  <si>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</si>
  <si>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</si>
  <si>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</si>
  <si>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</si>
  <si>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</si>
  <si>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</si>
  <si>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</si>
  <si>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</si>
  <si>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</si>
  <si>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</si>
  <si>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</si>
  <si>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</si>
  <si>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</si>
  <si>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</si>
  <si>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</si>
  <si>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</si>
  <si>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</si>
  <si>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</si>
  <si>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</si>
  <si>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</si>
  <si>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</si>
  <si>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</si>
  <si>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</si>
  <si>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</si>
  <si>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</si>
  <si>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</si>
  <si>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</si>
  <si>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</si>
  <si>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</si>
  <si>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</si>
  <si>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</si>
  <si>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</si>
  <si>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</si>
  <si>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</si>
  <si>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</si>
  <si>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</si>
  <si>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</si>
  <si>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</si>
  <si>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</si>
  <si>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</si>
  <si>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</si>
  <si>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</si>
  <si>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</si>
  <si>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</si>
  <si>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</si>
  <si>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</si>
  <si>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</si>
  <si>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</si>
  <si>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</si>
  <si>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</si>
  <si>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</si>
  <si>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</si>
  <si>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</si>
  <si>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</si>
  <si>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</si>
  <si>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</si>
  <si>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</si>
  <si>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</si>
  <si>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</si>
  <si>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</si>
  <si>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</si>
  <si>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</si>
  <si>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</si>
  <si>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</si>
  <si>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</si>
  <si>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</si>
  <si>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</si>
  <si>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</si>
  <si>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</si>
  <si>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</si>
  <si>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</si>
  <si>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</si>
  <si>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</si>
  <si>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</si>
  <si>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</si>
  <si>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</si>
  <si>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</si>
  <si>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</si>
  <si>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</si>
  <si>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</si>
  <si>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</si>
  <si>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</si>
  <si>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</si>
  <si>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</si>
  <si>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</si>
  <si>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</si>
  <si>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</si>
  <si>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</si>
  <si>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</si>
  <si>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</si>
  <si>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</si>
  <si>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</si>
  <si>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</si>
  <si>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</si>
  <si>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</si>
  <si>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</si>
  <si>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</si>
  <si>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</si>
  <si>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</si>
  <si>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</si>
  <si>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</si>
  <si>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</si>
  <si>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</si>
  <si>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</si>
  <si>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</si>
  <si>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</si>
  <si>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</si>
  <si>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</si>
  <si>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</si>
  <si>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</si>
  <si>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</si>
  <si>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</si>
  <si>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</si>
  <si>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</si>
  <si>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</si>
  <si>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</si>
  <si>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</si>
  <si>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</si>
  <si>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</si>
  <si>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</si>
  <si>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</si>
  <si>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</si>
  <si>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</si>
  <si>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</si>
  <si>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</si>
  <si>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</si>
  <si>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</si>
  <si>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</si>
  <si>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</si>
  <si>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</si>
  <si>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</si>
  <si>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</si>
  <si>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</si>
  <si>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</si>
  <si>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</si>
  <si>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</si>
  <si>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</si>
  <si>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</si>
  <si>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</si>
  <si>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</si>
  <si>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</si>
  <si>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</si>
  <si>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</si>
  <si>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</si>
  <si>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</si>
  <si>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</si>
  <si>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</si>
  <si>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</si>
  <si>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</si>
  <si>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</si>
  <si>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</si>
  <si>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</si>
  <si>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</si>
  <si>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</si>
  <si>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</si>
  <si>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</si>
  <si>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</si>
  <si>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</si>
  <si>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</si>
  <si>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</si>
  <si>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</si>
  <si>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</si>
  <si>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</si>
  <si>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</si>
  <si>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</si>
  <si>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</si>
  <si>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</si>
  <si>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</si>
  <si>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</si>
  <si>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</si>
  <si>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</si>
  <si>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</si>
  <si>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</si>
  <si>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</si>
  <si>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</si>
  <si>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</si>
  <si>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</si>
  <si>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</si>
  <si>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</si>
  <si>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</si>
  <si>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</si>
  <si>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</si>
  <si>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</si>
  <si>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</si>
  <si>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</si>
  <si>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</si>
  <si>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</si>
  <si>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</si>
  <si>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</si>
  <si>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</si>
  <si>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</si>
  <si>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</si>
  <si>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</si>
  <si>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</si>
  <si>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</si>
  <si>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</si>
  <si>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</si>
  <si>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</si>
  <si>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</si>
  <si>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</si>
  <si>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</si>
  <si>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</si>
  <si>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</si>
  <si>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</si>
  <si>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</si>
  <si>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</si>
  <si>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</si>
  <si>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</si>
  <si>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</si>
  <si>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</si>
  <si>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</si>
  <si>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</si>
  <si>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</si>
  <si>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</si>
  <si>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</si>
  <si>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</si>
  <si>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</si>
  <si>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</si>
  <si>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</si>
  <si>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</si>
  <si>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</si>
  <si>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</si>
  <si>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</si>
  <si>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</si>
  <si>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</si>
  <si>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</si>
  <si>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</si>
  <si>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</si>
  <si>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</si>
  <si>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</si>
  <si>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</si>
  <si>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</si>
  <si>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</si>
  <si>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</si>
  <si>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</si>
  <si>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</si>
  <si>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</si>
  <si>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</si>
  <si>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</si>
  <si>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</si>
  <si>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</si>
  <si>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</si>
  <si>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</si>
  <si>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</si>
  <si>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</si>
  <si>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</si>
  <si>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</si>
  <si>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</si>
  <si>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</si>
  <si>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</si>
  <si>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</si>
  <si>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</si>
  <si>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</si>
  <si>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</si>
  <si>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</si>
  <si>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</si>
  <si>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</si>
  <si>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</si>
  <si>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</si>
  <si>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</si>
  <si>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</si>
  <si>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</si>
  <si>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</si>
  <si>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</si>
  <si>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</si>
  <si>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</si>
  <si>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</si>
  <si>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</si>
  <si>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</si>
  <si>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</si>
  <si>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</si>
  <si>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</si>
  <si>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</si>
  <si>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</si>
  <si>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</si>
  <si>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</si>
  <si>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</si>
  <si>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</si>
  <si>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</si>
  <si>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</si>
  <si>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</si>
  <si>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</si>
  <si>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</si>
  <si>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</si>
  <si>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</si>
  <si>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</si>
  <si>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</si>
  <si>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</si>
  <si>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</si>
  <si>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</si>
  <si>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</si>
  <si>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</si>
  <si>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</si>
  <si>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</si>
  <si>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</si>
  <si>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</si>
  <si>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</si>
  <si>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</si>
  <si>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</si>
  <si>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</si>
  <si>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</si>
  <si>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</si>
  <si>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</si>
  <si>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</si>
  <si>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</si>
  <si>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</si>
  <si>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</si>
  <si>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</si>
  <si>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</si>
  <si>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</si>
  <si>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</si>
  <si>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</si>
  <si>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</si>
  <si>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</si>
  <si>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</si>
  <si>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</si>
  <si>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</si>
  <si>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</si>
  <si>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</si>
  <si>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</si>
  <si>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</si>
  <si>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</si>
  <si>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</si>
  <si>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</si>
  <si>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</si>
  <si>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</si>
  <si>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</si>
  <si>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</si>
  <si>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</si>
  <si>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</si>
  <si>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</si>
  <si>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</si>
  <si>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</si>
  <si>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</si>
  <si>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</si>
  <si>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</si>
  <si>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</si>
  <si>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</si>
  <si>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</si>
  <si>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</si>
  <si>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</si>
  <si>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</si>
  <si>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</si>
  <si>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</si>
  <si>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</si>
  <si>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</si>
  <si>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</si>
  <si>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</si>
  <si>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</si>
  <si>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</si>
  <si>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</si>
  <si>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</si>
  <si>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</si>
  <si>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</si>
  <si>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</si>
  <si>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</si>
  <si>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</si>
  <si>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</si>
  <si>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</si>
  <si>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</si>
  <si>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</si>
  <si>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</si>
  <si>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</si>
  <si>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</si>
  <si>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</si>
  <si>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</si>
  <si>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</si>
  <si>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</si>
  <si>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</si>
  <si>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</si>
  <si>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</si>
  <si>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</si>
  <si>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</si>
  <si>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</si>
  <si>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</si>
  <si>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</si>
  <si>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</si>
  <si>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</si>
  <si>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</si>
  <si>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</si>
  <si>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</si>
  <si>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</si>
  <si>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</si>
  <si>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</si>
  <si>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</si>
  <si>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</si>
  <si>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</si>
  <si>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</si>
  <si>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</si>
  <si>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</si>
  <si>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</si>
  <si>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</si>
  <si>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</si>
  <si>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</si>
  <si>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</si>
  <si>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</si>
  <si>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</si>
  <si>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</si>
  <si>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</si>
  <si>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</si>
  <si>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</si>
  <si>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</si>
  <si>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</si>
  <si>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</si>
  <si>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</si>
  <si>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</si>
  <si>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</si>
  <si>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</si>
  <si>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</si>
  <si>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Composite tube weight estimation</t>
  </si>
  <si>
    <t>Composite fin weight estimation</t>
  </si>
  <si>
    <t>Simple Composites v1.0</t>
  </si>
  <si>
    <t>Fiber density</t>
  </si>
  <si>
    <t xml:space="preserve">Resine density </t>
  </si>
  <si>
    <t>Composite density</t>
  </si>
  <si>
    <t>N</t>
  </si>
  <si>
    <t>Composite mechanical properties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</si>
  <si>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</si>
  <si>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</si>
  <si>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</si>
  <si>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</si>
  <si>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</si>
  <si>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</si>
  <si>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</si>
  <si>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</si>
  <si>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</si>
  <si>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</si>
  <si>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</si>
  <si>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</si>
  <si>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</si>
  <si>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</si>
  <si>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</si>
  <si>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</si>
  <si>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</si>
  <si>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</si>
  <si>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</si>
  <si>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Gpa</t>
  </si>
  <si>
    <t>less</t>
  </si>
  <si>
    <t>equal</t>
  </si>
  <si>
    <t>higher</t>
  </si>
  <si>
    <t>Composite</t>
  </si>
  <si>
    <t>Note:</t>
  </si>
  <si>
    <t>Fiber εcu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</si>
  <si>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</si>
  <si>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</si>
  <si>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</si>
  <si>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</si>
  <si>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</si>
  <si>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</si>
  <si>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</si>
  <si>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</si>
  <si>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</si>
  <si>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</si>
  <si>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</si>
  <si>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</si>
  <si>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</si>
  <si>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</si>
  <si>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</si>
  <si>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</si>
  <si>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</si>
  <si>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</si>
  <si>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</si>
  <si>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</si>
  <si>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</si>
  <si>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</si>
  <si>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</si>
  <si>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</si>
  <si>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</si>
  <si>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</si>
  <si>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(N)</t>
  </si>
  <si>
    <t xml:space="preserve">Location </t>
  </si>
  <si>
    <t>(mm)</t>
  </si>
  <si>
    <t>(cause/how is the load generated and where is applied)</t>
  </si>
  <si>
    <t>Forebody lift in Cpforebody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</si>
  <si>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</si>
  <si>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</si>
  <si>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</si>
  <si>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Figure for load representation in rocket fuselage</t>
  </si>
  <si>
    <t>Color rep.</t>
  </si>
  <si>
    <t xml:space="preserve">Axial </t>
  </si>
  <si>
    <t>x mm</t>
  </si>
  <si>
    <t>Fin</t>
  </si>
  <si>
    <t>+</t>
  </si>
  <si>
    <t>(+/-)</t>
  </si>
  <si>
    <t>Moment graph</t>
  </si>
  <si>
    <t>y Nmm</t>
  </si>
  <si>
    <t>y N</t>
  </si>
  <si>
    <t>Nmm</t>
  </si>
  <si>
    <t>x position</t>
  </si>
  <si>
    <t>Moment</t>
  </si>
  <si>
    <t>Mmax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</si>
  <si>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</si>
  <si>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</si>
  <si>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</si>
  <si>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</si>
  <si>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</si>
  <si>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</si>
  <si>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</si>
  <si>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</si>
  <si>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</si>
  <si>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</si>
  <si>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</si>
  <si>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</si>
  <si>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</si>
  <si>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</si>
  <si>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</si>
  <si>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</si>
  <si>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</si>
  <si>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</si>
  <si>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</si>
  <si>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</si>
  <si>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</si>
  <si>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</si>
  <si>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</si>
  <si>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</si>
  <si>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</si>
  <si>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</si>
  <si>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</si>
  <si>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</si>
  <si>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</si>
  <si>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</si>
  <si>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</si>
  <si>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</si>
  <si>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</si>
  <si>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</si>
  <si>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</si>
  <si>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</si>
  <si>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1 kgf/cm2</t>
  </si>
  <si>
    <t>=</t>
  </si>
  <si>
    <t>0.098806 Mpa</t>
  </si>
  <si>
    <t>0.1 Mpa</t>
  </si>
  <si>
    <t>1.02 kgf/cm2</t>
  </si>
  <si>
    <t>Precio 2</t>
  </si>
  <si>
    <t>y comp</t>
  </si>
  <si>
    <t>x comp</t>
  </si>
  <si>
    <t>Matrix Scy</t>
  </si>
  <si>
    <r>
      <t xml:space="preserve">Matrix </t>
    </r>
    <r>
      <rPr>
        <sz val="11"/>
        <color theme="1"/>
        <rFont val="Calibri"/>
        <family val="2"/>
      </rPr>
      <t>εcy</t>
    </r>
  </si>
  <si>
    <t>Fiber:</t>
  </si>
  <si>
    <t xml:space="preserve">HexForce  7533 </t>
  </si>
  <si>
    <t>Matrix:</t>
  </si>
  <si>
    <t>Epoxy resin Q102R Quintum</t>
  </si>
  <si>
    <t>Variables of interest:</t>
  </si>
  <si>
    <t>gr/m^2</t>
  </si>
  <si>
    <r>
      <t xml:space="preserve">Aprox, density </t>
    </r>
    <r>
      <rPr>
        <sz val="11"/>
        <color theme="1"/>
        <rFont val="Aptos Narrow"/>
        <family val="2"/>
      </rPr>
      <t>ρf</t>
    </r>
  </si>
  <si>
    <t>Fabric Weight, ρs</t>
  </si>
  <si>
    <t>Aprox, thickness</t>
  </si>
  <si>
    <t>Longitudinal</t>
  </si>
  <si>
    <t>Forebody drag in Cpforebody</t>
  </si>
  <si>
    <t>Fins drag in Cpfins</t>
  </si>
  <si>
    <t>Fins lift in Cpfins</t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</si>
  <si>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downwards</t>
    </r>
    <r>
      <rPr>
        <sz val="11"/>
        <color theme="1"/>
        <rFont val="Aptos Narrow"/>
        <family val="2"/>
        <scheme val="minor"/>
      </rPr>
      <t xml:space="preserve"> CG</t>
    </r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</si>
  <si>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forward</t>
    </r>
    <r>
      <rPr>
        <sz val="11"/>
        <color theme="1"/>
        <rFont val="Aptos Narrow"/>
        <family val="2"/>
        <scheme val="minor"/>
      </rPr>
      <t xml:space="preserve"> CG</t>
    </r>
  </si>
  <si>
    <t>Manufacture first considerations</t>
  </si>
  <si>
    <t>Mandril material</t>
  </si>
  <si>
    <t>Loads involved:</t>
  </si>
  <si>
    <t>Worst AoA &gt; determine maximum load at max Q &gt; SF of using composites Higher than 3</t>
  </si>
  <si>
    <t>15°</t>
  </si>
  <si>
    <t>Max Q</t>
  </si>
  <si>
    <t>kPa</t>
  </si>
  <si>
    <t>due Mach:</t>
  </si>
  <si>
    <t>Maximum moments</t>
  </si>
  <si>
    <t>Mforwards</t>
  </si>
  <si>
    <t>location</t>
  </si>
  <si>
    <t>mm^3</t>
  </si>
  <si>
    <t>mm^2</t>
  </si>
  <si>
    <r>
      <t xml:space="preserve">Sec. Modulus </t>
    </r>
    <r>
      <rPr>
        <b/>
        <sz val="11"/>
        <color theme="1"/>
        <rFont val="Aptos Narrow"/>
        <family val="2"/>
        <scheme val="minor"/>
      </rPr>
      <t>Z</t>
    </r>
  </si>
  <si>
    <t>Stress,bending</t>
  </si>
  <si>
    <t>Mdownwards</t>
  </si>
  <si>
    <t>Sections</t>
  </si>
  <si>
    <t>L=</t>
  </si>
  <si>
    <t>Shear at X1</t>
  </si>
  <si>
    <t>MaxMass</t>
  </si>
  <si>
    <t>Dry mass</t>
  </si>
  <si>
    <t>mass grain</t>
  </si>
  <si>
    <t>Scdrag</t>
  </si>
  <si>
    <t>Scinertia</t>
  </si>
  <si>
    <t>Scbending</t>
  </si>
  <si>
    <t>Sctotal</t>
  </si>
  <si>
    <t>SF rocket tension</t>
  </si>
  <si>
    <t>SF rocket compressibe</t>
  </si>
  <si>
    <t>Note: max inertia is not present at highest Q in this case</t>
  </si>
  <si>
    <t>there is an inertia caused by drag, the Gs experimented</t>
  </si>
  <si>
    <t>are equal to Gs=(DragMaxQ/DryMass)/g</t>
  </si>
  <si>
    <t>GsMaxQ:</t>
  </si>
  <si>
    <t>Inertial load CG</t>
  </si>
  <si>
    <t>SF rocket shear</t>
  </si>
  <si>
    <t>Fiber Ssu</t>
  </si>
  <si>
    <t>Fiber εsu</t>
  </si>
  <si>
    <t>Ssy composite</t>
  </si>
  <si>
    <t>SF tube tension</t>
  </si>
  <si>
    <t>SF tube compression</t>
  </si>
  <si>
    <t>Sshear</t>
  </si>
  <si>
    <t>SF tube shear</t>
  </si>
  <si>
    <t>Stress, shear</t>
  </si>
  <si>
    <t>Matrix Ssu</t>
  </si>
  <si>
    <t>Note: increasing layer, could affect the shear stress</t>
  </si>
  <si>
    <t>behavior on the composite</t>
  </si>
  <si>
    <t>Note: almost always as the fins</t>
  </si>
  <si>
    <t>contribute in more lift due AoA</t>
  </si>
  <si>
    <t>Malla de distribucion 145cmx 10m GREEN FLOW</t>
  </si>
  <si>
    <t>https://www.fibraq.com/collections/material-para-vacio-e-infusion/products/pelicula-antiadherente-malla-de-sangrado</t>
  </si>
  <si>
    <t>https://www.fibraq.com/collections/material-para-vacio-e-infusion/products/tubo-de-absorcion-pebd-de-infusion-o-10-x-12-mm</t>
  </si>
  <si>
    <t>https://www.fibraq.com/collections/material-para-vacio-e-infusion/products/toma-de-infusion-para-vacio</t>
  </si>
  <si>
    <t>PELICULA SEPARADORA</t>
  </si>
  <si>
    <t>Resina Q102R</t>
  </si>
  <si>
    <t>Resina Q101R</t>
  </si>
  <si>
    <t>Fiber II:</t>
  </si>
  <si>
    <t>Matrix II:</t>
  </si>
  <si>
    <t>FibraQ 3k plano</t>
  </si>
  <si>
    <r>
      <t xml:space="preserve">Cell in red are unknown | </t>
    </r>
    <r>
      <rPr>
        <b/>
        <sz val="11"/>
        <color rgb="FFFFC000"/>
        <rFont val="Aptos Narrow"/>
        <family val="2"/>
        <scheme val="minor"/>
      </rPr>
      <t>supposed by literature</t>
    </r>
  </si>
  <si>
    <t>Volume composite</t>
  </si>
  <si>
    <t>Volume of resine</t>
  </si>
  <si>
    <t>Volume of fiber</t>
  </si>
  <si>
    <t>Mass fiber</t>
  </si>
  <si>
    <t>Surface needed</t>
  </si>
  <si>
    <t>a</t>
  </si>
  <si>
    <t>b</t>
  </si>
  <si>
    <t>Required fiber and resine method 1:</t>
  </si>
  <si>
    <t>Required fiber and resine method 2:</t>
  </si>
  <si>
    <t>Layer thickness</t>
  </si>
  <si>
    <t>Turns</t>
  </si>
  <si>
    <t>Diametral long.</t>
  </si>
  <si>
    <t>Surface</t>
  </si>
  <si>
    <t>n</t>
  </si>
  <si>
    <t>Recovery tube</t>
  </si>
  <si>
    <t>electronics bay</t>
  </si>
  <si>
    <t>Tubes (m)</t>
  </si>
  <si>
    <t>Inner tube electronics bay</t>
  </si>
  <si>
    <t>Motor tube</t>
  </si>
  <si>
    <t>inner + motor</t>
  </si>
  <si>
    <t>recovery + outer elect</t>
  </si>
  <si>
    <t>Tube geometry iteration</t>
  </si>
  <si>
    <t>Inner tube configuration</t>
  </si>
  <si>
    <t>ID inner</t>
  </si>
  <si>
    <t>OD inner</t>
  </si>
  <si>
    <r>
      <t xml:space="preserve">OD due inner tube </t>
    </r>
    <r>
      <rPr>
        <sz val="11"/>
        <color rgb="FFFF0000"/>
        <rFont val="Aptos Narrow"/>
        <family val="2"/>
        <scheme val="minor"/>
      </rPr>
      <t>HOT</t>
    </r>
  </si>
  <si>
    <r>
      <t xml:space="preserve">OD  </t>
    </r>
    <r>
      <rPr>
        <sz val="11"/>
        <color theme="4" tint="0.59999389629810485"/>
        <rFont val="Aptos Narrow"/>
        <family val="2"/>
        <scheme val="minor"/>
      </rPr>
      <t>COLD</t>
    </r>
  </si>
  <si>
    <t>Machine thickness:</t>
  </si>
  <si>
    <t>A "fast" aproximation to determine inner tube</t>
  </si>
  <si>
    <t>thickness is using thin-wall structures theory</t>
  </si>
  <si>
    <t>tolerance</t>
  </si>
  <si>
    <t>Fast assimilation</t>
  </si>
  <si>
    <t>Vcomp</t>
  </si>
  <si>
    <t>Vcomp = Vresin</t>
  </si>
  <si>
    <t>Liters per fuselage made</t>
  </si>
  <si>
    <t>I89</t>
  </si>
  <si>
    <t>Trans area</t>
  </si>
  <si>
    <t>Liters</t>
  </si>
  <si>
    <t>Aprox 1 liters of matrix per fuselage</t>
  </si>
  <si>
    <t>4 kits of Q102R are needed</t>
  </si>
  <si>
    <t>2 fuselages are going to be made</t>
  </si>
  <si>
    <t>plus fins</t>
  </si>
  <si>
    <t>Fin material</t>
  </si>
  <si>
    <t>croot</t>
  </si>
  <si>
    <t>ctip</t>
  </si>
  <si>
    <t>enlarging</t>
  </si>
  <si>
    <t>sweep</t>
  </si>
  <si>
    <t>sweep length</t>
  </si>
  <si>
    <t>plus inch tolerance</t>
  </si>
  <si>
    <t>Carbon fiber fabric</t>
  </si>
  <si>
    <t>If fin of 3mm thickness supposed</t>
  </si>
  <si>
    <t>thickness layer</t>
  </si>
  <si>
    <t>turns</t>
  </si>
  <si>
    <t>thickness fin</t>
  </si>
  <si>
    <t>Plates needed</t>
  </si>
  <si>
    <t>4 fins</t>
  </si>
  <si>
    <t>plates</t>
  </si>
  <si>
    <t>2 meters of carbon fiber are needed</t>
  </si>
  <si>
    <t>Resina Qzero</t>
  </si>
  <si>
    <t>Dmr</t>
  </si>
  <si>
    <t>Dm</t>
  </si>
  <si>
    <t>dmr</t>
  </si>
  <si>
    <t>Lmr</t>
  </si>
  <si>
    <t>Ashear</t>
  </si>
  <si>
    <t>Abearing</t>
  </si>
  <si>
    <t xml:space="preserve">mm^2 </t>
  </si>
  <si>
    <t>Thrust, Max</t>
  </si>
  <si>
    <t>Shear, shear</t>
  </si>
  <si>
    <t>Shear, bearing</t>
  </si>
  <si>
    <t>ADINOX, shear allow</t>
  </si>
  <si>
    <t>Wood, bearing allow</t>
  </si>
  <si>
    <t>Sf, shear</t>
  </si>
  <si>
    <t>Sf, bearing</t>
  </si>
  <si>
    <t>Adhesive and contact joints</t>
  </si>
  <si>
    <t>Motor downward retainer (mdr)</t>
  </si>
  <si>
    <t>Motor retainer (mr)</t>
  </si>
  <si>
    <t>14.5 psi</t>
  </si>
  <si>
    <t>df</t>
  </si>
  <si>
    <t>Df</t>
  </si>
  <si>
    <t>Ddm</t>
  </si>
  <si>
    <t>Ldr, downward ret</t>
  </si>
  <si>
    <t>Shear, shear, mat</t>
  </si>
  <si>
    <t>o lo sume</t>
  </si>
  <si>
    <t>o lo corta</t>
  </si>
  <si>
    <t>Stress, bearing A</t>
  </si>
  <si>
    <t>Stress, bearing B</t>
  </si>
  <si>
    <t>ldr</t>
  </si>
  <si>
    <t>Area A</t>
  </si>
  <si>
    <t>Area B</t>
  </si>
  <si>
    <t>df, thickness</t>
  </si>
  <si>
    <t>Load, thrust</t>
  </si>
  <si>
    <t>SF, A</t>
  </si>
  <si>
    <t>SF, B</t>
  </si>
  <si>
    <t>Stress, allow A</t>
  </si>
  <si>
    <t>Stress, allow B</t>
  </si>
  <si>
    <t>Material A</t>
  </si>
  <si>
    <t>Material B</t>
  </si>
  <si>
    <t>Joints in conjunction</t>
  </si>
  <si>
    <t>Final dimensions:</t>
  </si>
  <si>
    <t>ID:</t>
  </si>
  <si>
    <t>OD:</t>
  </si>
  <si>
    <t>NA</t>
  </si>
  <si>
    <t>Length 1</t>
  </si>
  <si>
    <t>Length 2</t>
  </si>
  <si>
    <t>Length 3</t>
  </si>
  <si>
    <t>SF min</t>
  </si>
  <si>
    <t xml:space="preserve">The loads used are the "worst-case" according to dynamic and CFD simulations </t>
  </si>
  <si>
    <t>Location/
Distance</t>
  </si>
  <si>
    <t>(cause||how is the load generated and where is applied)</t>
  </si>
  <si>
    <t>Gmax, (Gs):</t>
  </si>
  <si>
    <t>Motor thrust in bulkhead and rocket base</t>
  </si>
  <si>
    <t>Spreadsheet to determine composite properties, joints and dimensions for geometries with composites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</si>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</sst>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3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51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21" fillId="0" borderId="0" xfId="0" applyFont="1"/>
    <xf numFmtId="165" fontId="0" fillId="27" borderId="0" xfId="0" applyNumberFormat="1" applyFill="1"/>
    <xf numFmtId="0" fontId="0" fillId="0" borderId="0" xfId="0" applyAlignment="1">
      <alignment horizontal="center"/>
    </xf>
    <xf numFmtId="0" fontId="26" fillId="0" borderId="0" xfId="0" applyFont="1"/>
    <xf numFmtId="170" fontId="0" fillId="27" borderId="0" xfId="2" applyNumberFormat="1" applyFont="1" applyFill="1"/>
    <xf numFmtId="170" fontId="0" fillId="27" borderId="0" xfId="0" applyNumberFormat="1" applyFill="1"/>
    <xf numFmtId="0" fontId="13" fillId="22" borderId="28" xfId="0" applyFont="1" applyFill="1" applyBorder="1"/>
    <xf numFmtId="0" fontId="0" fillId="0" borderId="34" xfId="0" applyBorder="1" applyAlignment="1">
      <alignment wrapText="1"/>
    </xf>
    <xf numFmtId="0" fontId="23" fillId="0" borderId="0" xfId="0" applyFont="1"/>
    <xf numFmtId="9" fontId="0" fillId="0" borderId="0" xfId="2" applyFont="1" applyBorder="1" applyAlignment="1">
      <alignment horizontal="left"/>
    </xf>
    <xf numFmtId="170" fontId="0" fillId="27" borderId="0" xfId="2" applyNumberFormat="1" applyFont="1" applyFill="1" applyBorder="1"/>
    <xf numFmtId="2" fontId="0" fillId="3" borderId="0" xfId="0" applyNumberFormat="1" applyFill="1"/>
    <xf numFmtId="0" fontId="0" fillId="10" borderId="0" xfId="0" applyFill="1"/>
    <xf numFmtId="9" fontId="0" fillId="0" borderId="0" xfId="2" applyFont="1" applyFill="1"/>
    <xf numFmtId="9" fontId="0" fillId="0" borderId="0" xfId="0" applyNumberFormat="1"/>
    <xf numFmtId="0" fontId="28" fillId="22" borderId="0" xfId="0" applyFont="1" applyFill="1"/>
    <xf numFmtId="2" fontId="0" fillId="0" borderId="34" xfId="0" applyNumberFormat="1" applyBorder="1"/>
    <xf numFmtId="0" fontId="30" fillId="0" borderId="34" xfId="0" applyFont="1" applyBorder="1"/>
    <xf numFmtId="0" fontId="31" fillId="0" borderId="34" xfId="0" applyFont="1" applyBorder="1"/>
    <xf numFmtId="0" fontId="31" fillId="0" borderId="0" xfId="0" applyFont="1"/>
    <xf numFmtId="0" fontId="32" fillId="0" borderId="0" xfId="0" applyFont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4624D6"/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36688"/>
        <c:axId val="184537072"/>
      </c:scatterChart>
      <c:valAx>
        <c:axId val="184536688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37072"/>
        <c:crosses val="autoZero"/>
        <c:crossBetween val="midCat"/>
        <c:majorUnit val="0.30000000000000004"/>
        <c:minorUnit val="0.30000000000000004"/>
      </c:valAx>
      <c:valAx>
        <c:axId val="1845370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53668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2669688"/>
        <c:axId val="422718032"/>
      </c:scatterChart>
      <c:valAx>
        <c:axId val="422669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718032"/>
        <c:crossesAt val="0"/>
        <c:crossBetween val="midCat"/>
      </c:valAx>
      <c:valAx>
        <c:axId val="422718032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2669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718200"/>
        <c:axId val="423718584"/>
      </c:scatterChart>
      <c:valAx>
        <c:axId val="423718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718584"/>
        <c:crosses val="autoZero"/>
        <c:crossBetween val="midCat"/>
      </c:valAx>
      <c:valAx>
        <c:axId val="423718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3718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928288"/>
        <c:axId val="423928672"/>
      </c:scatterChart>
      <c:valAx>
        <c:axId val="423928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928672"/>
        <c:crosses val="autoZero"/>
        <c:crossBetween val="midCat"/>
      </c:valAx>
      <c:valAx>
        <c:axId val="42392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92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3838936"/>
        <c:axId val="186230560"/>
      </c:scatterChart>
      <c:valAx>
        <c:axId val="423838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0560"/>
        <c:crosses val="autoZero"/>
        <c:crossBetween val="midCat"/>
      </c:valAx>
      <c:valAx>
        <c:axId val="18623056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3838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1736"/>
        <c:axId val="186232128"/>
      </c:scatterChart>
      <c:valAx>
        <c:axId val="186231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2128"/>
        <c:crosses val="autoZero"/>
        <c:crossBetween val="midCat"/>
      </c:valAx>
      <c:valAx>
        <c:axId val="18623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1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32912"/>
        <c:axId val="1856730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18623291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5673016"/>
        <c:crosses val="autoZero"/>
        <c:crossBetween val="midCat"/>
      </c:valAx>
      <c:valAx>
        <c:axId val="185673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623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5416"/>
        <c:axId val="424691888"/>
      </c:scatterChart>
      <c:valAx>
        <c:axId val="424695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1888"/>
        <c:crosses val="autoZero"/>
        <c:crossBetween val="midCat"/>
      </c:valAx>
      <c:valAx>
        <c:axId val="42469188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5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89928"/>
        <c:axId val="424696592"/>
      </c:scatterChart>
      <c:valAx>
        <c:axId val="424689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6592"/>
        <c:crosses val="autoZero"/>
        <c:crossBetween val="midCat"/>
      </c:valAx>
      <c:valAx>
        <c:axId val="42469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89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2672"/>
        <c:axId val="424689536"/>
      </c:scatterChart>
      <c:valAx>
        <c:axId val="424692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89536"/>
        <c:crosses val="autoZero"/>
        <c:crossBetween val="midCat"/>
      </c:valAx>
      <c:valAx>
        <c:axId val="424689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2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3064"/>
        <c:axId val="424690320"/>
      </c:scatterChart>
      <c:valAx>
        <c:axId val="424693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0320"/>
        <c:crosses val="autoZero"/>
        <c:crossBetween val="midCat"/>
      </c:valAx>
      <c:valAx>
        <c:axId val="4246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3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0712"/>
        <c:axId val="424691104"/>
      </c:scatterChart>
      <c:valAx>
        <c:axId val="424690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1104"/>
        <c:crosses val="autoZero"/>
        <c:crossBetween val="midCat"/>
      </c:valAx>
      <c:valAx>
        <c:axId val="424691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4690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longitudinal (tension)</a:t>
            </a:r>
            <a:endParaRPr lang="en-US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SimpleComposites!$B$47:$B$48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SimpleComposites!$D$47:$D$48</c:f>
              <c:numCache>
                <c:formatCode>0.00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SimpleComposites!$B$49:$B$51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SimpleComposites!$D$49:$D$51</c:f>
              <c:numCache>
                <c:formatCode>0.00</c:formatCode>
                <c:ptCount val="3"/>
                <c:pt idx="0">
                  <c:v>0</c:v>
                </c:pt>
                <c:pt idx="1">
                  <c:v>34.03921568627451</c:v>
                </c:pt>
                <c:pt idx="2">
                  <c:v>42.549019607843135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668-49E6-B37F-CC1E0295A8BA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SimpleComposites!$B$52:$B$53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SimpleComposites!$D$52:$D$53</c:f>
              <c:numCache>
                <c:formatCode>0.00</c:formatCode>
                <c:ptCount val="2"/>
                <c:pt idx="0">
                  <c:v>0</c:v>
                </c:pt>
                <c:pt idx="1">
                  <c:v>130.70735294117648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6200"/>
        <c:axId val="424693848"/>
      </c:scatterChart>
      <c:valAx>
        <c:axId val="424696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3848"/>
        <c:crosses val="autoZero"/>
        <c:crossBetween val="midCat"/>
      </c:valAx>
      <c:valAx>
        <c:axId val="424693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6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transversal</a:t>
            </a:r>
          </a:p>
          <a:p>
            <a:pPr>
              <a:defRPr sz="1100"/>
            </a:pPr>
            <a:r>
              <a:rPr lang="en-US" sz="1100" baseline="0"/>
              <a:t>or compression</a:t>
            </a:r>
            <a:endParaRPr lang="en-US" sz="1100"/>
          </a:p>
        </c:rich>
      </c:tx>
      <c:layout>
        <c:manualLayout>
          <c:xMode val="edge"/>
          <c:yMode val="edge"/>
          <c:x val="0.20042036433124658"/>
          <c:y val="3.2423873892303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SimpleComposites!$C$47:$C$48</c:f>
              <c:numCache>
                <c:formatCode>0.0%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SimpleComposites!$E$47:$E$48</c:f>
              <c:numCache>
                <c:formatCode>0.00</c:formatCode>
                <c:ptCount val="2"/>
                <c:pt idx="0">
                  <c:v>0</c:v>
                </c:pt>
                <c:pt idx="1">
                  <c:v>21.900000000000002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SimpleComposites!$C$49:$C$51</c:f>
              <c:numCache>
                <c:formatCode>0.0%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SimpleComposites!$E$49:$E$51</c:f>
              <c:numCache>
                <c:formatCode>0.00</c:formatCode>
                <c:ptCount val="3"/>
                <c:pt idx="0">
                  <c:v>0</c:v>
                </c:pt>
                <c:pt idx="1">
                  <c:v>97.176470588235304</c:v>
                </c:pt>
                <c:pt idx="2">
                  <c:v>121.47058823529412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2"/>
          <c:order val="2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658-469D-92B9-CCB9E1E622E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SimpleComposites!$C$52:$C$53</c:f>
              <c:numCache>
                <c:formatCode>0.0%</c:formatCode>
                <c:ptCount val="2"/>
                <c:pt idx="0">
                  <c:v>0</c:v>
                </c:pt>
                <c:pt idx="1">
                  <c:v>1.6799999999999999E-2</c:v>
                </c:pt>
              </c:numCache>
            </c:numRef>
          </c:xVal>
          <c:yVal>
            <c:numRef>
              <c:f>SimpleComposites!$E$52:$E$53</c:f>
              <c:numCache>
                <c:formatCode>0.00</c:formatCode>
                <c:ptCount val="2"/>
                <c:pt idx="0">
                  <c:v>0</c:v>
                </c:pt>
                <c:pt idx="1">
                  <c:v>53.365411764705883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4694240"/>
        <c:axId val="186230168"/>
      </c:scatterChart>
      <c:valAx>
        <c:axId val="42469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0168"/>
        <c:crosses val="autoZero"/>
        <c:crossBetween val="midCat"/>
      </c:valAx>
      <c:valAx>
        <c:axId val="186230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4694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SimpleComposites!$B$123:$B$140</c:f>
              <c:numCache>
                <c:formatCode>General</c:formatCode>
                <c:ptCount val="18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  <c:pt idx="17">
                  <c:v>1350</c:v>
                </c:pt>
              </c:numCache>
            </c:numRef>
          </c:xVal>
          <c:yVal>
            <c:numRef>
              <c:f>SimpleComposites!$C$123:$C$140</c:f>
              <c:numCache>
                <c:formatCode>General</c:formatCode>
                <c:ptCount val="18"/>
                <c:pt idx="0">
                  <c:v>89</c:v>
                </c:pt>
                <c:pt idx="1">
                  <c:v>95.324242424242428</c:v>
                </c:pt>
                <c:pt idx="2">
                  <c:v>101.64848484848486</c:v>
                </c:pt>
                <c:pt idx="3">
                  <c:v>107.97272727272728</c:v>
                </c:pt>
                <c:pt idx="4">
                  <c:v>114.29696969696971</c:v>
                </c:pt>
                <c:pt idx="5">
                  <c:v>120.62121212121214</c:v>
                </c:pt>
                <c:pt idx="6">
                  <c:v>126.94545454545457</c:v>
                </c:pt>
                <c:pt idx="7">
                  <c:v>133.26969696969698</c:v>
                </c:pt>
                <c:pt idx="8">
                  <c:v>135.37777777777779</c:v>
                </c:pt>
                <c:pt idx="9">
                  <c:v>93.171014492753642</c:v>
                </c:pt>
                <c:pt idx="10">
                  <c:v>29.860869565217413</c:v>
                </c:pt>
                <c:pt idx="11">
                  <c:v>-33.449275362318815</c:v>
                </c:pt>
                <c:pt idx="12">
                  <c:v>-96.759420289855058</c:v>
                </c:pt>
                <c:pt idx="13">
                  <c:v>-160.0695652173913</c:v>
                </c:pt>
                <c:pt idx="14">
                  <c:v>-223.37971014492751</c:v>
                </c:pt>
                <c:pt idx="15">
                  <c:v>-286.68985507246373</c:v>
                </c:pt>
                <c:pt idx="16">
                  <c:v>-350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v>Shear stress graph</c:v>
                </c15:tx>
              </c15:filteredSeriesTitle>
            </c:ext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8208"/>
        <c:axId val="186235264"/>
      </c:scatterChart>
      <c:valAx>
        <c:axId val="186228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35264"/>
        <c:crosses val="autoZero"/>
        <c:crossBetween val="midCat"/>
      </c:valAx>
      <c:valAx>
        <c:axId val="18623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8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SimpleComposites!$B$123:$B$139</c:f>
              <c:numCache>
                <c:formatCode>General</c:formatCode>
                <c:ptCount val="17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</c:numCache>
            </c:numRef>
          </c:xVal>
          <c:yVal>
            <c:numRef>
              <c:f>SimpleComposites!$D$123:$D$139</c:f>
              <c:numCache>
                <c:formatCode>General</c:formatCode>
                <c:ptCount val="17"/>
                <c:pt idx="0">
                  <c:v>0</c:v>
                </c:pt>
                <c:pt idx="1">
                  <c:v>8294.5909090909099</c:v>
                </c:pt>
                <c:pt idx="2">
                  <c:v>17158.363636363636</c:v>
                </c:pt>
                <c:pt idx="3">
                  <c:v>26591.318181818184</c:v>
                </c:pt>
                <c:pt idx="4">
                  <c:v>36593.454545454544</c:v>
                </c:pt>
                <c:pt idx="5">
                  <c:v>47164.772727272728</c:v>
                </c:pt>
                <c:pt idx="6">
                  <c:v>58305.272727272735</c:v>
                </c:pt>
                <c:pt idx="7">
                  <c:v>70014.954545454559</c:v>
                </c:pt>
                <c:pt idx="8">
                  <c:v>74044.666666666628</c:v>
                </c:pt>
                <c:pt idx="9">
                  <c:v>80901.130434782477</c:v>
                </c:pt>
                <c:pt idx="10">
                  <c:v>86437.565217391239</c:v>
                </c:pt>
                <c:pt idx="11">
                  <c:v>86276.086956521613</c:v>
                </c:pt>
                <c:pt idx="12">
                  <c:v>80416.695652173832</c:v>
                </c:pt>
                <c:pt idx="13">
                  <c:v>68859.391304347781</c:v>
                </c:pt>
                <c:pt idx="14">
                  <c:v>51604.173913043342</c:v>
                </c:pt>
                <c:pt idx="15">
                  <c:v>28651.043478260748</c:v>
                </c:pt>
                <c:pt idx="16">
                  <c:v>-1.1641532182693481E-10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928"/>
        <c:axId val="426213184"/>
      </c:scatterChart>
      <c:valAx>
        <c:axId val="426215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13184"/>
        <c:crosses val="autoZero"/>
        <c:crossBetween val="midCat"/>
      </c:valAx>
      <c:valAx>
        <c:axId val="42621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15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536"/>
        <c:axId val="426212792"/>
      </c:scatterChart>
      <c:valAx>
        <c:axId val="42621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2792"/>
        <c:crosses val="autoZero"/>
        <c:crossBetween val="midCat"/>
      </c:valAx>
      <c:valAx>
        <c:axId val="42621279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0048"/>
        <c:axId val="426213576"/>
      </c:scatterChart>
      <c:valAx>
        <c:axId val="42621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3576"/>
        <c:crosses val="autoZero"/>
        <c:crossBetween val="midCat"/>
      </c:valAx>
      <c:valAx>
        <c:axId val="426213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3968"/>
        <c:axId val="426214360"/>
      </c:scatterChart>
      <c:valAx>
        <c:axId val="42621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4360"/>
        <c:crosses val="autoZero"/>
        <c:crossBetween val="midCat"/>
      </c:valAx>
      <c:valAx>
        <c:axId val="426214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0832"/>
        <c:axId val="426211616"/>
      </c:scatterChart>
      <c:valAx>
        <c:axId val="42621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1616"/>
        <c:crosses val="autoZero"/>
        <c:crossBetween val="midCat"/>
      </c:valAx>
      <c:valAx>
        <c:axId val="42621161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0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15144"/>
        <c:axId val="425058384"/>
      </c:scatterChart>
      <c:valAx>
        <c:axId val="42621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8384"/>
        <c:crosses val="autoZero"/>
        <c:crossBetween val="midCat"/>
      </c:valAx>
      <c:valAx>
        <c:axId val="42505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6215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6424"/>
        <c:axId val="425059952"/>
      </c:scatterChart>
      <c:valAx>
        <c:axId val="425056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9952"/>
        <c:crosses val="autoZero"/>
        <c:crossBetween val="midCat"/>
      </c:valAx>
      <c:valAx>
        <c:axId val="42505995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5056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6032"/>
        <c:axId val="425054856"/>
      </c:scatterChart>
      <c:valAx>
        <c:axId val="425056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4856"/>
        <c:crosses val="autoZero"/>
        <c:crossBetween val="midCat"/>
      </c:valAx>
      <c:valAx>
        <c:axId val="425054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7208"/>
        <c:axId val="425060344"/>
      </c:scatterChart>
      <c:valAx>
        <c:axId val="425057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60344"/>
        <c:crosses val="autoZero"/>
        <c:crossBetween val="midCat"/>
      </c:valAx>
      <c:valAx>
        <c:axId val="425060344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058776"/>
        <c:axId val="425056816"/>
      </c:scatterChart>
      <c:valAx>
        <c:axId val="425058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6816"/>
        <c:crosses val="autoZero"/>
        <c:crossBetween val="midCat"/>
      </c:valAx>
      <c:valAx>
        <c:axId val="42505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8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055640"/>
        <c:axId val="425059168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059560"/>
        <c:axId val="425054072"/>
      </c:lineChart>
      <c:catAx>
        <c:axId val="425055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9168"/>
        <c:crosses val="autoZero"/>
        <c:auto val="1"/>
        <c:lblAlgn val="ctr"/>
        <c:lblOffset val="100"/>
        <c:noMultiLvlLbl val="0"/>
      </c:catAx>
      <c:valAx>
        <c:axId val="42505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5640"/>
        <c:crosses val="autoZero"/>
        <c:crossBetween val="between"/>
      </c:valAx>
      <c:valAx>
        <c:axId val="425054072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059560"/>
        <c:crosses val="max"/>
        <c:crossBetween val="between"/>
      </c:valAx>
      <c:catAx>
        <c:axId val="4250595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50540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209264"/>
        <c:axId val="428146576"/>
      </c:scatterChart>
      <c:valAx>
        <c:axId val="426209264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8146576"/>
        <c:crosses val="autoZero"/>
        <c:crossBetween val="midCat"/>
      </c:valAx>
      <c:valAx>
        <c:axId val="42814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2092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customXml" Target="../ink/ink7.xml"/><Relationship Id="rId18" Type="http://schemas.openxmlformats.org/officeDocument/2006/relationships/chart" Target="../charts/chart13.xml"/><Relationship Id="rId26" Type="http://schemas.openxmlformats.org/officeDocument/2006/relationships/image" Target="../media/image10.png"/><Relationship Id="rId3" Type="http://schemas.openxmlformats.org/officeDocument/2006/relationships/customXml" Target="../ink/ink2.xml"/><Relationship Id="rId21" Type="http://schemas.openxmlformats.org/officeDocument/2006/relationships/chart" Target="../charts/chart16.xml"/><Relationship Id="rId7" Type="http://schemas.openxmlformats.org/officeDocument/2006/relationships/customXml" Target="../ink/ink4.xml"/><Relationship Id="rId12" Type="http://schemas.openxmlformats.org/officeDocument/2006/relationships/image" Target="../media/image10.emf"/><Relationship Id="rId17" Type="http://schemas.openxmlformats.org/officeDocument/2006/relationships/image" Target="../media/image5.png"/><Relationship Id="rId25" Type="http://schemas.openxmlformats.org/officeDocument/2006/relationships/image" Target="../media/image9.png"/><Relationship Id="rId33" Type="http://schemas.openxmlformats.org/officeDocument/2006/relationships/customXml" Target="../ink/ink11.xml"/><Relationship Id="rId2" Type="http://schemas.openxmlformats.org/officeDocument/2006/relationships/image" Target="../media/image5.emf"/><Relationship Id="rId16" Type="http://schemas.openxmlformats.org/officeDocument/2006/relationships/image" Target="../media/image12.emf"/><Relationship Id="rId20" Type="http://schemas.openxmlformats.org/officeDocument/2006/relationships/chart" Target="../charts/chart15.xml"/><Relationship Id="rId29" Type="http://schemas.openxmlformats.org/officeDocument/2006/relationships/customXml" Target="../ink/ink9.xml"/><Relationship Id="rId1" Type="http://schemas.openxmlformats.org/officeDocument/2006/relationships/customXml" Target="../ink/ink1.xml"/><Relationship Id="rId6" Type="http://schemas.openxmlformats.org/officeDocument/2006/relationships/image" Target="../media/image7.emf"/><Relationship Id="rId11" Type="http://schemas.openxmlformats.org/officeDocument/2006/relationships/customXml" Target="../ink/ink6.xml"/><Relationship Id="rId24" Type="http://schemas.openxmlformats.org/officeDocument/2006/relationships/image" Target="../media/image8.png"/><Relationship Id="rId32" Type="http://schemas.openxmlformats.org/officeDocument/2006/relationships/image" Target="../media/image22.png"/><Relationship Id="rId37" Type="http://schemas.openxmlformats.org/officeDocument/2006/relationships/image" Target="../media/image13.png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23" Type="http://schemas.openxmlformats.org/officeDocument/2006/relationships/image" Target="../media/image7.png"/><Relationship Id="rId28" Type="http://schemas.openxmlformats.org/officeDocument/2006/relationships/image" Target="../media/image12.png"/><Relationship Id="rId36" Type="http://schemas.openxmlformats.org/officeDocument/2006/relationships/image" Target="../media/image21.emf"/><Relationship Id="rId10" Type="http://schemas.openxmlformats.org/officeDocument/2006/relationships/image" Target="../media/image9.emf"/><Relationship Id="rId19" Type="http://schemas.openxmlformats.org/officeDocument/2006/relationships/chart" Target="../charts/chart14.xml"/><Relationship Id="rId31" Type="http://schemas.openxmlformats.org/officeDocument/2006/relationships/customXml" Target="../ink/ink10.xml"/><Relationship Id="rId4" Type="http://schemas.openxmlformats.org/officeDocument/2006/relationships/image" Target="../media/image6.emf"/><Relationship Id="rId9" Type="http://schemas.openxmlformats.org/officeDocument/2006/relationships/customXml" Target="../ink/ink5.xml"/><Relationship Id="rId14" Type="http://schemas.openxmlformats.org/officeDocument/2006/relationships/image" Target="../media/image11.emf"/><Relationship Id="rId22" Type="http://schemas.openxmlformats.org/officeDocument/2006/relationships/image" Target="../media/image6.jpeg"/><Relationship Id="rId27" Type="http://schemas.openxmlformats.org/officeDocument/2006/relationships/image" Target="../media/image11.png"/><Relationship Id="rId30" Type="http://schemas.openxmlformats.org/officeDocument/2006/relationships/image" Target="../media/image21.png"/><Relationship Id="rId8" Type="http://schemas.openxmlformats.org/officeDocument/2006/relationships/image" Target="../media/image8.emf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chart" Target="../charts/chart22.xml"/><Relationship Id="rId7" Type="http://schemas.openxmlformats.org/officeDocument/2006/relationships/image" Target="../media/image17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image" Target="../media/image1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0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8.png"/><Relationship Id="rId3" Type="http://schemas.openxmlformats.org/officeDocument/2006/relationships/chart" Target="../charts/chart26.xml"/><Relationship Id="rId7" Type="http://schemas.openxmlformats.org/officeDocument/2006/relationships/image" Target="../media/image27.png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image" Target="../media/image26.png"/><Relationship Id="rId5" Type="http://schemas.openxmlformats.org/officeDocument/2006/relationships/image" Target="../media/image25.png"/><Relationship Id="rId4" Type="http://schemas.openxmlformats.org/officeDocument/2006/relationships/chart" Target="../charts/chart27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107674</xdr:colOff>
      <xdr:row>209</xdr:row>
      <xdr:rowOff>46521</xdr:rowOff>
    </xdr:from>
    <xdr:to>
      <xdr:col>9</xdr:col>
      <xdr:colOff>621649</xdr:colOff>
      <xdr:row>235</xdr:row>
      <xdr:rowOff>149087</xdr:rowOff>
    </xdr:to>
    <xdr:grpSp>
      <xdr:nvGrpSpPr>
        <xdr:cNvPr id="94" name="Group 93">
          <a:extLst>
            <a:ext uri="{FF2B5EF4-FFF2-40B4-BE49-F238E27FC236}">
              <a16:creationId xmlns:a16="http://schemas.microsoft.com/office/drawing/2014/main" id="{1FAD4E94-5FDE-0B9C-D0BF-1E00BB4BB91A}"/>
            </a:ext>
          </a:extLst>
        </xdr:cNvPr>
        <xdr:cNvGrpSpPr/>
      </xdr:nvGrpSpPr>
      <xdr:grpSpPr>
        <a:xfrm>
          <a:off x="3771624" y="36568546"/>
          <a:ext cx="2628525" cy="4801566"/>
          <a:chOff x="3641173" y="40452261"/>
          <a:chExt cx="2551497" cy="4494281"/>
        </a:xfrm>
      </xdr:grpSpPr>
      <xdr:grpSp>
        <xdr:nvGrpSpPr>
          <xdr:cNvPr id="92" name="Group 91">
            <a:extLst>
              <a:ext uri="{FF2B5EF4-FFF2-40B4-BE49-F238E27FC236}">
                <a16:creationId xmlns:a16="http://schemas.microsoft.com/office/drawing/2014/main" id="{4A6BDE5F-8E06-410F-41FC-BA109229B50D}"/>
              </a:ext>
            </a:extLst>
          </xdr:cNvPr>
          <xdr:cNvGrpSpPr/>
        </xdr:nvGrpSpPr>
        <xdr:grpSpPr>
          <a:xfrm>
            <a:off x="3644348" y="40449086"/>
            <a:ext cx="2551497" cy="4500631"/>
            <a:chOff x="2989800" y="40452261"/>
            <a:chExt cx="3202870" cy="4494281"/>
          </a:xfrm>
        </xdr:grpSpPr>
        <xdr:grpSp>
          <xdr:nvGrpSpPr>
            <xdr:cNvPr id="91" name="Group 90">
              <a:extLst>
                <a:ext uri="{FF2B5EF4-FFF2-40B4-BE49-F238E27FC236}">
                  <a16:creationId xmlns:a16="http://schemas.microsoft.com/office/drawing/2014/main" id="{6FB6A39A-81CD-CF53-4C33-1B08F73DCA6E}"/>
                </a:ext>
              </a:extLst>
            </xdr:cNvPr>
            <xdr:cNvGrpSpPr/>
          </xdr:nvGrpSpPr>
          <xdr:grpSpPr>
            <a:xfrm>
              <a:off x="2989800" y="40452261"/>
              <a:ext cx="3202870" cy="4494281"/>
              <a:chOff x="2989800" y="40452261"/>
              <a:chExt cx="3202870" cy="4494281"/>
            </a:xfrm>
          </xdr:grpSpPr>
          <xdr:grpSp>
            <xdr:nvGrpSpPr>
              <xdr:cNvPr id="90" name="Group 89">
                <a:extLst>
                  <a:ext uri="{FF2B5EF4-FFF2-40B4-BE49-F238E27FC236}">
                    <a16:creationId xmlns:a16="http://schemas.microsoft.com/office/drawing/2014/main" id="{83023071-9956-18D1-B190-107955EEFC2D}"/>
                  </a:ext>
                </a:extLst>
              </xdr:cNvPr>
              <xdr:cNvGrpSpPr/>
            </xdr:nvGrpSpPr>
            <xdr:grpSpPr>
              <a:xfrm>
                <a:off x="3538674" y="40452261"/>
                <a:ext cx="2653996" cy="4494281"/>
                <a:chOff x="3538674" y="40452261"/>
                <a:chExt cx="2653996" cy="4494281"/>
              </a:xfrm>
            </xdr:grpSpPr>
            <xdr:grpSp>
              <xdr:nvGrpSpPr>
                <xdr:cNvPr id="17" name="Group 16">
                  <a:extLst>
                    <a:ext uri="{FF2B5EF4-FFF2-40B4-BE49-F238E27FC236}">
                      <a16:creationId xmlns:a16="http://schemas.microsoft.com/office/drawing/2014/main" id="{8E43F349-C811-A62B-E1F5-54E36CCCBCE3}"/>
                    </a:ext>
                  </a:extLst>
                </xdr:cNvPr>
                <xdr:cNvGrpSpPr/>
              </xdr:nvGrpSpPr>
              <xdr:grpSpPr>
                <a:xfrm>
                  <a:off x="3583193" y="42331907"/>
                  <a:ext cx="2552211" cy="1030359"/>
                  <a:chOff x="3337886" y="40403445"/>
                  <a:chExt cx="2529464" cy="992685"/>
                </a:xfrm>
              </xdr:grpSpPr>
              <xdr:sp macro="" textlink="">
                <xdr:nvSpPr>
                  <xdr:cNvPr id="11" name="Rectangle 10">
                    <a:extLst>
                      <a:ext uri="{FF2B5EF4-FFF2-40B4-BE49-F238E27FC236}">
                        <a16:creationId xmlns:a16="http://schemas.microsoft.com/office/drawing/2014/main" id="{A5FCB0BC-EBE7-58E6-231E-2FF1FAFD5A55}"/>
                      </a:ext>
                    </a:extLst>
                  </xdr:cNvPr>
                  <xdr:cNvSpPr/>
                </xdr:nvSpPr>
                <xdr:spPr>
                  <a:xfrm>
                    <a:off x="3337886" y="40403957"/>
                    <a:ext cx="2529464" cy="992173"/>
                  </a:xfrm>
                  <a:prstGeom prst="rect">
                    <a:avLst/>
                  </a:prstGeom>
                  <a:solidFill>
                    <a:schemeClr val="accent2">
                      <a:lumMod val="60000"/>
                      <a:lumOff val="40000"/>
                    </a:schemeClr>
                  </a:solidFill>
                  <a:ln w="57150"/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12" name="Rectangle 11">
                    <a:extLst>
                      <a:ext uri="{FF2B5EF4-FFF2-40B4-BE49-F238E27FC236}">
                        <a16:creationId xmlns:a16="http://schemas.microsoft.com/office/drawing/2014/main" id="{AC8F8FB4-5B14-4057-9645-BB9C2CB622A0}"/>
                      </a:ext>
                    </a:extLst>
                  </xdr:cNvPr>
                  <xdr:cNvSpPr/>
                </xdr:nvSpPr>
                <xdr:spPr>
                  <a:xfrm>
                    <a:off x="3774038" y="40403445"/>
                    <a:ext cx="1681356" cy="992682"/>
                  </a:xfrm>
                  <a:prstGeom prst="rect">
                    <a:avLst/>
                  </a:prstGeom>
                  <a:solidFill>
                    <a:schemeClr val="accent1">
                      <a:lumMod val="20000"/>
                      <a:lumOff val="80000"/>
                    </a:schemeClr>
                  </a:solidFill>
                  <a:ln w="57150"/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lang="en-US" sz="1100"/>
                  </a:p>
                </xdr:txBody>
              </xdr:sp>
            </xdr:grpSp>
            <xdr:sp macro="" textlink="">
              <xdr:nvSpPr>
                <xdr:cNvPr id="18" name="Rectangle 17">
                  <a:extLst>
                    <a:ext uri="{FF2B5EF4-FFF2-40B4-BE49-F238E27FC236}">
                      <a16:creationId xmlns:a16="http://schemas.microsoft.com/office/drawing/2014/main" id="{22D94AB3-85E3-2C1C-8009-420BBC20417B}"/>
                    </a:ext>
                  </a:extLst>
                </xdr:cNvPr>
                <xdr:cNvSpPr/>
              </xdr:nvSpPr>
              <xdr:spPr>
                <a:xfrm>
                  <a:off x="3538674" y="40452261"/>
                  <a:ext cx="2653996" cy="4494280"/>
                </a:xfrm>
                <a:prstGeom prst="rect">
                  <a:avLst/>
                </a:prstGeom>
                <a:noFill/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F1D726FA-45E3-4097-AEDB-9A8667348845}"/>
                    </a:ext>
                  </a:extLst>
                </xdr:cNvPr>
                <xdr:cNvSpPr/>
              </xdr:nvSpPr>
              <xdr:spPr>
                <a:xfrm>
                  <a:off x="4211498" y="42338763"/>
                  <a:ext cx="1305361" cy="1024006"/>
                </a:xfrm>
                <a:prstGeom prst="rect">
                  <a:avLst/>
                </a:prstGeom>
                <a:solidFill>
                  <a:sysClr val="window" lastClr="FFFFFF"/>
                </a:solidFill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30" name="Rectangle 29">
                  <a:extLst>
                    <a:ext uri="{FF2B5EF4-FFF2-40B4-BE49-F238E27FC236}">
                      <a16:creationId xmlns:a16="http://schemas.microsoft.com/office/drawing/2014/main" id="{54F6CA07-7E76-4389-B505-B81F69874515}"/>
                    </a:ext>
                  </a:extLst>
                </xdr:cNvPr>
                <xdr:cNvSpPr/>
              </xdr:nvSpPr>
              <xdr:spPr>
                <a:xfrm>
                  <a:off x="4040738" y="43362632"/>
                  <a:ext cx="1676195" cy="1583910"/>
                </a:xfrm>
                <a:prstGeom prst="rect">
                  <a:avLst/>
                </a:prstGeom>
                <a:solidFill>
                  <a:schemeClr val="bg2">
                    <a:lumMod val="90000"/>
                  </a:schemeClr>
                </a:solidFill>
                <a:ln w="57150"/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  <xdr:grpSp>
            <xdr:nvGrpSpPr>
              <xdr:cNvPr id="89" name="Group 88">
                <a:extLst>
                  <a:ext uri="{FF2B5EF4-FFF2-40B4-BE49-F238E27FC236}">
                    <a16:creationId xmlns:a16="http://schemas.microsoft.com/office/drawing/2014/main" id="{27CA1B22-F7D2-BA10-DD30-76186F52A1F0}"/>
                  </a:ext>
                </a:extLst>
              </xdr:cNvPr>
              <xdr:cNvGrpSpPr/>
            </xdr:nvGrpSpPr>
            <xdr:grpSpPr>
              <a:xfrm>
                <a:off x="2989800" y="42398703"/>
                <a:ext cx="3107520" cy="1474201"/>
                <a:chOff x="2989800" y="42398703"/>
                <a:chExt cx="3107520" cy="1474201"/>
              </a:xfrm>
            </xdr:grpSpPr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1">
                  <xdr14:nvContentPartPr>
                    <xdr14:cNvPr id="35" name="Ink 34">
                      <a:extLst>
                        <a:ext uri="{FF2B5EF4-FFF2-40B4-BE49-F238E27FC236}">
                          <a16:creationId xmlns:a16="http://schemas.microsoft.com/office/drawing/2014/main" id="{3AAC3799-AE85-B6C8-0AE0-DF517775BD2E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478385" y="42421383"/>
                    <a:ext cx="161150" cy="865015"/>
                  </xdr14:xfrm>
                </xdr14:contentPart>
              </mc:Choice>
              <mc:Fallback xmlns="">
                <xdr:pic>
                  <xdr:nvPicPr>
                    <xdr:cNvPr id="35" name="Ink 34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3AAC3799-AE85-B6C8-0AE0-DF517775BD2E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2"/>
                    <a:stretch>
                      <a:fillRect/>
                    </a:stretch>
                  </xdr:blipFill>
                  <xdr:spPr>
                    <a:xfrm>
                      <a:off x="3432160" y="42383923"/>
                      <a:ext cx="253599" cy="934436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3">
                  <xdr14:nvContentPartPr>
                    <xdr14:cNvPr id="37" name="Ink 36">
                      <a:extLst>
                        <a:ext uri="{FF2B5EF4-FFF2-40B4-BE49-F238E27FC236}">
                          <a16:creationId xmlns:a16="http://schemas.microsoft.com/office/drawing/2014/main" id="{0930CCD5-B9F0-9CF6-899E-5FE4C793B11B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2989800" y="42866408"/>
                    <a:ext cx="504655" cy="241560"/>
                  </xdr14:xfrm>
                </xdr14:contentPart>
              </mc:Choice>
              <mc:Fallback xmlns="">
                <xdr:pic>
                  <xdr:nvPicPr>
                    <xdr:cNvPr id="37" name="Ink 36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0930CCD5-B9F0-9CF6-899E-5FE4C793B11B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4"/>
                    <a:stretch>
                      <a:fillRect/>
                    </a:stretch>
                  </xdr:blipFill>
                  <xdr:spPr>
                    <a:xfrm>
                      <a:off x="2943575" y="42828954"/>
                      <a:ext cx="597528" cy="316468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5">
                  <xdr14:nvContentPartPr>
                    <xdr14:cNvPr id="66" name="Ink 65">
                      <a:extLst>
                        <a:ext uri="{FF2B5EF4-FFF2-40B4-BE49-F238E27FC236}">
                          <a16:creationId xmlns:a16="http://schemas.microsoft.com/office/drawing/2014/main" id="{ED0B0688-B9BE-71FD-1083-63788DCBA899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273560" y="42854103"/>
                    <a:ext cx="1165025" cy="28375"/>
                  </xdr14:xfrm>
                </xdr14:contentPart>
              </mc:Choice>
              <mc:Fallback xmlns="">
                <xdr:pic>
                  <xdr:nvPicPr>
                    <xdr:cNvPr id="66" name="Ink 65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D0B0688-B9BE-71FD-1083-63788DCBA899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6"/>
                    <a:stretch>
                      <a:fillRect/>
                    </a:stretch>
                  </xdr:blipFill>
                  <xdr:spPr>
                    <a:xfrm>
                      <a:off x="4228164" y="42817523"/>
                      <a:ext cx="1255817" cy="101535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7">
                  <xdr14:nvContentPartPr>
                    <xdr14:cNvPr id="77" name="Ink 76">
                      <a:extLst>
                        <a:ext uri="{FF2B5EF4-FFF2-40B4-BE49-F238E27FC236}">
                          <a16:creationId xmlns:a16="http://schemas.microsoft.com/office/drawing/2014/main" id="{E04E276C-EC53-3CCD-EFEA-CB01A1EBF8E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4050000" y="43526713"/>
                    <a:ext cx="1657080" cy="142365"/>
                  </xdr14:xfrm>
                </xdr14:contentPart>
              </mc:Choice>
              <mc:Fallback xmlns="">
                <xdr:pic>
                  <xdr:nvPicPr>
                    <xdr:cNvPr id="77" name="Ink 76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04E276C-EC53-3CCD-EFEA-CB01A1EBF8E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8"/>
                    <a:stretch>
                      <a:fillRect/>
                    </a:stretch>
                  </xdr:blipFill>
                  <xdr:spPr>
                    <a:xfrm>
                      <a:off x="4003770" y="43489230"/>
                      <a:ext cx="1749541" cy="210109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9">
                  <xdr14:nvContentPartPr>
                    <xdr14:cNvPr id="80" name="Ink 79">
                      <a:extLst>
                        <a:ext uri="{FF2B5EF4-FFF2-40B4-BE49-F238E27FC236}">
                          <a16:creationId xmlns:a16="http://schemas.microsoft.com/office/drawing/2014/main" id="{4EE2B0D1-4473-6D44-7ECF-D608A48618F2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3619440" y="43789744"/>
                    <a:ext cx="2477880" cy="83160"/>
                  </xdr14:xfrm>
                </xdr14:contentPart>
              </mc:Choice>
              <mc:Fallback xmlns="">
                <xdr:pic>
                  <xdr:nvPicPr>
                    <xdr:cNvPr id="80" name="Ink 79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4EE2B0D1-4473-6D44-7ECF-D608A48618F2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0"/>
                    <a:stretch>
                      <a:fillRect/>
                    </a:stretch>
                  </xdr:blipFill>
                  <xdr:spPr>
                    <a:xfrm>
                      <a:off x="3573632" y="43752631"/>
                      <a:ext cx="2569496" cy="157385"/>
                    </a:xfrm>
                    <a:prstGeom prst="rect">
                      <a:avLst/>
                    </a:prstGeom>
                  </xdr:spPr>
                </xdr:pic>
              </mc:Fallback>
            </mc:AlternateContent>
            <mc:AlternateContent xmlns:mc="http://schemas.openxmlformats.org/markup-compatibility/2006" xmlns:xdr14="http://schemas.microsoft.com/office/excel/2010/spreadsheetDrawing">
              <mc:Choice Requires="xdr14">
                <xdr14:contentPart xmlns:r="http://schemas.openxmlformats.org/officeDocument/2006/relationships" r:id="rId11">
                  <xdr14:nvContentPartPr>
                    <xdr14:cNvPr id="86" name="Ink 85">
                      <a:extLst>
                        <a:ext uri="{FF2B5EF4-FFF2-40B4-BE49-F238E27FC236}">
                          <a16:creationId xmlns:a16="http://schemas.microsoft.com/office/drawing/2014/main" id="{EE276BD8-FDF1-B901-DE61-09919555B905}"/>
                        </a:ext>
                      </a:extLst>
                    </xdr14:cNvPr>
                    <xdr14:cNvContentPartPr/>
                  </xdr14:nvContentPartPr>
                  <xdr14:nvPr macro=""/>
                  <xdr14:xfrm>
                    <a:off x="5971320" y="42398703"/>
                    <a:ext cx="720" cy="936360"/>
                  </xdr14:xfrm>
                </xdr14:contentPart>
              </mc:Choice>
              <mc:Fallback xmlns="">
                <xdr:pic>
                  <xdr:nvPicPr>
                    <xdr:cNvPr id="86" name="Ink 85">
                      <a:extLst>
                        <a:ext uri="{FF2B5EF4-FFF2-40B4-BE49-F238E27FC236}">
                          <a16:creationId xmlns:a16="http://schemas.microsoft.com/office/drawing/2014/main" xmlns:xdr14="http://schemas.microsoft.com/office/excel/2010/spreadsheetDrawing" xmlns:r="http://schemas.openxmlformats.org/officeDocument/2006/relationships" xmlns="" id="{EE276BD8-FDF1-B901-DE61-09919555B905}"/>
                        </a:ext>
                      </a:extLst>
                    </xdr:cNvPr>
                    <xdr:cNvPicPr/>
                  </xdr:nvPicPr>
                  <xdr:blipFill>
                    <a:blip xmlns:r="http://schemas.openxmlformats.org/officeDocument/2006/relationships" r:embed="rId12"/>
                    <a:stretch>
                      <a:fillRect/>
                    </a:stretch>
                  </xdr:blipFill>
                  <xdr:spPr>
                    <a:xfrm>
                      <a:off x="5894280" y="42361936"/>
                      <a:ext cx="154800" cy="1009894"/>
                    </a:xfrm>
                    <a:prstGeom prst="rect">
                      <a:avLst/>
                    </a:prstGeom>
                  </xdr:spPr>
                </xdr:pic>
              </mc:Fallback>
            </mc:AlternateContent>
          </xdr:grpSp>
        </xdr:grpSp>
        <mc:AlternateContent xmlns:mc="http://schemas.openxmlformats.org/markup-compatibility/2006" xmlns:xdr14="http://schemas.microsoft.com/office/excel/2010/spreadsheetDrawing">
          <mc:Choice Requires="xdr14">
            <xdr14:contentPart xmlns:r="http://schemas.openxmlformats.org/officeDocument/2006/relationships" r:id="rId13">
              <xdr14:nvContentPartPr>
                <xdr14:cNvPr id="39" name="Ink 38">
                  <a:extLst>
                    <a:ext uri="{FF2B5EF4-FFF2-40B4-BE49-F238E27FC236}">
                      <a16:creationId xmlns:a16="http://schemas.microsoft.com/office/drawing/2014/main" id="{A46D5ADD-B608-CDA7-EBC6-B05891AE458E}"/>
                    </a:ext>
                  </a:extLst>
                </xdr14:cNvPr>
                <xdr14:cNvContentPartPr/>
              </xdr14:nvContentPartPr>
              <xdr14:nvPr macro=""/>
              <xdr14:xfrm>
                <a:off x="4232160" y="42155048"/>
                <a:ext cx="204185" cy="393055"/>
              </xdr14:xfrm>
            </xdr14:contentPart>
          </mc:Choice>
          <mc:Fallback xmlns="">
            <xdr:pic>
              <xdr:nvPicPr>
                <xdr:cNvPr id="39" name="Ink 38">
                  <a:extLst>
                    <a:ext uri="{FF2B5EF4-FFF2-40B4-BE49-F238E27FC236}">
                      <a16:creationId xmlns:a16="http://schemas.microsoft.com/office/drawing/2014/main" xmlns:xdr14="http://schemas.microsoft.com/office/excel/2010/spreadsheetDrawing" xmlns:r="http://schemas.openxmlformats.org/officeDocument/2006/relationships" xmlns="" id="{A46D5ADD-B608-CDA7-EBC6-B05891AE458E}"/>
                    </a:ext>
                  </a:extLst>
                </xdr:cNvPr>
                <xdr:cNvPicPr/>
              </xdr:nvPicPr>
              <xdr:blipFill>
                <a:blip xmlns:r="http://schemas.openxmlformats.org/officeDocument/2006/relationships" r:embed="rId14"/>
                <a:stretch>
                  <a:fillRect/>
                </a:stretch>
              </xdr:blipFill>
              <xdr:spPr>
                <a:xfrm>
                  <a:off x="4185889" y="42117598"/>
                  <a:ext cx="296726" cy="467955"/>
                </a:xfrm>
                <a:prstGeom prst="rect">
                  <a:avLst/>
                </a:prstGeom>
              </xdr:spPr>
            </xdr:pic>
          </mc:Fallback>
        </mc:AlternateContent>
      </xdr:grpSp>
      <mc:AlternateContent xmlns:mc="http://schemas.openxmlformats.org/markup-compatibility/2006" xmlns:xdr14="http://schemas.microsoft.com/office/excel/2010/spreadsheetDrawing">
        <mc:Choice Requires="xdr14">
          <xdr14:contentPart xmlns:r="http://schemas.openxmlformats.org/officeDocument/2006/relationships" r:id="rId15">
            <xdr14:nvContentPartPr>
              <xdr14:cNvPr id="93" name="Ink 92">
                <a:extLst>
                  <a:ext uri="{FF2B5EF4-FFF2-40B4-BE49-F238E27FC236}">
                    <a16:creationId xmlns:a16="http://schemas.microsoft.com/office/drawing/2014/main" id="{3579F991-65D9-614B-0FA6-D16C794C186D}"/>
                  </a:ext>
                </a:extLst>
              </xdr14:cNvPr>
              <xdr14:cNvContentPartPr/>
            </xdr14:nvContentPartPr>
            <xdr14:nvPr macro=""/>
            <xdr14:xfrm>
              <a:off x="4120855" y="43804330"/>
              <a:ext cx="80705" cy="98280"/>
            </xdr14:xfrm>
          </xdr14:contentPart>
        </mc:Choice>
        <mc:Fallback xmlns="">
          <xdr:pic>
            <xdr:nvPicPr>
              <xdr:cNvPr id="93" name="Ink 92">
                <a:extLst>
                  <a:ext uri="{FF2B5EF4-FFF2-40B4-BE49-F238E27FC236}">
                    <a16:creationId xmlns:a16="http://schemas.microsoft.com/office/drawing/2014/main" xmlns:xdr14="http://schemas.microsoft.com/office/excel/2010/spreadsheetDrawing" xmlns:r="http://schemas.openxmlformats.org/officeDocument/2006/relationships" xmlns="" id="{3579F991-65D9-614B-0FA6-D16C794C186D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6"/>
              <a:stretch>
                <a:fillRect/>
              </a:stretch>
            </xdr:blipFill>
            <xdr:spPr>
              <a:xfrm>
                <a:off x="4084048" y="43766874"/>
                <a:ext cx="154319" cy="168038"/>
              </a:xfrm>
              <a:prstGeom prst="rect">
                <a:avLst/>
              </a:prstGeom>
            </xdr:spPr>
          </xdr:pic>
        </mc:Fallback>
      </mc:AlternateContent>
    </xdr:grpSp>
    <xdr:clientData/>
  </xdr:twoCellAnchor>
  <xdr:twoCellAnchor editAs="oneCell">
    <xdr:from>
      <xdr:col>1</xdr:col>
      <xdr:colOff>30070</xdr:colOff>
      <xdr:row>0</xdr:row>
      <xdr:rowOff>19050</xdr:rowOff>
    </xdr:from>
    <xdr:to>
      <xdr:col>3</xdr:col>
      <xdr:colOff>543895</xdr:colOff>
      <xdr:row>3</xdr:row>
      <xdr:rowOff>106269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45" y="19050"/>
          <a:ext cx="1920350" cy="703169"/>
        </a:xfrm>
        <a:prstGeom prst="rect">
          <a:avLst/>
        </a:prstGeom>
      </xdr:spPr>
    </xdr:pic>
    <xdr:clientData/>
  </xdr:twoCellAnchor>
  <xdr:twoCellAnchor>
    <xdr:from>
      <xdr:col>0</xdr:col>
      <xdr:colOff>76064</xdr:colOff>
      <xdr:row>38</xdr:row>
      <xdr:rowOff>15875</xdr:rowOff>
    </xdr:from>
    <xdr:to>
      <xdr:col>9</xdr:col>
      <xdr:colOff>701675</xdr:colOff>
      <xdr:row>53</xdr:row>
      <xdr:rowOff>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5ACC3DE1-0B3E-D972-4B62-68EC1507AC09}"/>
            </a:ext>
          </a:extLst>
        </xdr:cNvPr>
        <xdr:cNvGrpSpPr/>
      </xdr:nvGrpSpPr>
      <xdr:grpSpPr>
        <a:xfrm>
          <a:off x="76064" y="5340350"/>
          <a:ext cx="6407286" cy="2698750"/>
          <a:chOff x="161789" y="5568952"/>
          <a:chExt cx="6362836" cy="2797172"/>
        </a:xfrm>
      </xdr:grpSpPr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GraphicFramePr/>
        </xdr:nvGraphicFramePr>
        <xdr:xfrm>
          <a:off x="161789" y="5575299"/>
          <a:ext cx="3238635" cy="27908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8"/>
          </a:graphicData>
        </a:graphic>
      </xdr:graphicFrame>
      <xdr:graphicFrame macro="">
        <xdr:nvGraphicFramePr>
          <xdr:cNvPr id="14" name="Chart 13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GraphicFramePr>
            <a:graphicFrameLocks/>
          </xdr:cNvGraphicFramePr>
        </xdr:nvGraphicFramePr>
        <xdr:xfrm>
          <a:off x="3437590" y="5568952"/>
          <a:ext cx="3087035" cy="279082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9"/>
          </a:graphicData>
        </a:graphic>
      </xdr:graphicFrame>
    </xdr:grpSp>
    <xdr:clientData/>
  </xdr:twoCellAnchor>
  <xdr:twoCellAnchor>
    <xdr:from>
      <xdr:col>1</xdr:col>
      <xdr:colOff>29884</xdr:colOff>
      <xdr:row>67</xdr:row>
      <xdr:rowOff>167340</xdr:rowOff>
    </xdr:from>
    <xdr:to>
      <xdr:col>8</xdr:col>
      <xdr:colOff>657411</xdr:colOff>
      <xdr:row>70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71D255C3-B7C8-885E-5A39-030847CD4A9D}"/>
            </a:ext>
          </a:extLst>
        </xdr:cNvPr>
        <xdr:cNvGrpSpPr/>
      </xdr:nvGrpSpPr>
      <xdr:grpSpPr>
        <a:xfrm>
          <a:off x="169584" y="10755965"/>
          <a:ext cx="5561477" cy="405467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>
    <xdr:from>
      <xdr:col>4</xdr:col>
      <xdr:colOff>429559</xdr:colOff>
      <xdr:row>71</xdr:row>
      <xdr:rowOff>144904</xdr:rowOff>
    </xdr:from>
    <xdr:to>
      <xdr:col>5</xdr:col>
      <xdr:colOff>30011</xdr:colOff>
      <xdr:row>73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70</xdr:row>
      <xdr:rowOff>77929</xdr:rowOff>
    </xdr:from>
    <xdr:to>
      <xdr:col>5</xdr:col>
      <xdr:colOff>323417</xdr:colOff>
      <xdr:row>75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71</xdr:row>
      <xdr:rowOff>167317</xdr:rowOff>
    </xdr:from>
    <xdr:to>
      <xdr:col>4</xdr:col>
      <xdr:colOff>728382</xdr:colOff>
      <xdr:row>73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66674</xdr:colOff>
      <xdr:row>69</xdr:row>
      <xdr:rowOff>12196</xdr:rowOff>
    </xdr:from>
    <xdr:to>
      <xdr:col>2</xdr:col>
      <xdr:colOff>268006</xdr:colOff>
      <xdr:row>71</xdr:row>
      <xdr:rowOff>171450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id="{A1663DC9-DD9F-0D43-D4CB-150A91081E0C}"/>
            </a:ext>
          </a:extLst>
        </xdr:cNvPr>
        <xdr:cNvSpPr/>
      </xdr:nvSpPr>
      <xdr:spPr>
        <a:xfrm rot="10800000">
          <a:off x="885824" y="11489821"/>
          <a:ext cx="201332" cy="52120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123564</xdr:colOff>
      <xdr:row>68</xdr:row>
      <xdr:rowOff>180422</xdr:rowOff>
    </xdr:from>
    <xdr:to>
      <xdr:col>8</xdr:col>
      <xdr:colOff>370093</xdr:colOff>
      <xdr:row>73</xdr:row>
      <xdr:rowOff>114299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id="{E5378644-7622-4C10-9C7F-B7881026715E}"/>
            </a:ext>
          </a:extLst>
        </xdr:cNvPr>
        <xdr:cNvSpPr/>
      </xdr:nvSpPr>
      <xdr:spPr>
        <a:xfrm rot="10800000">
          <a:off x="5000364" y="11477072"/>
          <a:ext cx="246529" cy="838752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27081</xdr:colOff>
      <xdr:row>120</xdr:row>
      <xdr:rowOff>35938</xdr:rowOff>
    </xdr:from>
    <xdr:to>
      <xdr:col>9</xdr:col>
      <xdr:colOff>696687</xdr:colOff>
      <xdr:row>140</xdr:row>
      <xdr:rowOff>0</xdr:rowOff>
    </xdr:to>
    <xdr:grpSp>
      <xdr:nvGrpSpPr>
        <xdr:cNvPr id="128" name="Group 127">
          <a:extLst>
            <a:ext uri="{FF2B5EF4-FFF2-40B4-BE49-F238E27FC236}">
              <a16:creationId xmlns:a16="http://schemas.microsoft.com/office/drawing/2014/main" id="{00000000-0008-0000-0400-000080000000}"/>
            </a:ext>
          </a:extLst>
        </xdr:cNvPr>
        <xdr:cNvGrpSpPr/>
      </xdr:nvGrpSpPr>
      <xdr:grpSpPr>
        <a:xfrm>
          <a:off x="173131" y="20409913"/>
          <a:ext cx="6302056" cy="3583562"/>
          <a:chOff x="175853" y="21969292"/>
          <a:chExt cx="6668541" cy="2779754"/>
        </a:xfrm>
      </xdr:grpSpPr>
      <xdr:graphicFrame macro="">
        <xdr:nvGraphicFramePr>
          <xdr:cNvPr id="20" name="Chart 19">
            <a:extLst>
              <a:ext uri="{FF2B5EF4-FFF2-40B4-BE49-F238E27FC236}">
                <a16:creationId xmlns:a16="http://schemas.microsoft.com/office/drawing/2014/main" id="{8F28B114-4F46-6AE9-2D00-B87DF6B18AA7}"/>
              </a:ext>
            </a:extLst>
          </xdr:cNvPr>
          <xdr:cNvGraphicFramePr/>
        </xdr:nvGraphicFramePr>
        <xdr:xfrm>
          <a:off x="175853" y="21970334"/>
          <a:ext cx="3225933" cy="277871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0"/>
          </a:graphicData>
        </a:graphic>
      </xdr:graphicFrame>
      <xdr:graphicFrame macro="">
        <xdr:nvGraphicFramePr>
          <xdr:cNvPr id="36" name="Chart 35">
            <a:extLst>
              <a:ext uri="{FF2B5EF4-FFF2-40B4-BE49-F238E27FC236}">
                <a16:creationId xmlns:a16="http://schemas.microsoft.com/office/drawing/2014/main" id="{99D37E3A-4F98-454B-A0B0-786AFFF92EA6}"/>
              </a:ext>
            </a:extLst>
          </xdr:cNvPr>
          <xdr:cNvGraphicFramePr>
            <a:graphicFrameLocks/>
          </xdr:cNvGraphicFramePr>
        </xdr:nvGraphicFramePr>
        <xdr:xfrm>
          <a:off x="3456214" y="21969292"/>
          <a:ext cx="3388180" cy="276849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1"/>
          </a:graphicData>
        </a:graphic>
      </xdr:graphicFrame>
    </xdr:grpSp>
    <xdr:clientData/>
  </xdr:twoCellAnchor>
  <xdr:twoCellAnchor>
    <xdr:from>
      <xdr:col>9</xdr:col>
      <xdr:colOff>84535</xdr:colOff>
      <xdr:row>67</xdr:row>
      <xdr:rowOff>82153</xdr:rowOff>
    </xdr:from>
    <xdr:to>
      <xdr:col>9</xdr:col>
      <xdr:colOff>714703</xdr:colOff>
      <xdr:row>70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pSpPr/>
      </xdr:nvGrpSpPr>
      <xdr:grpSpPr>
        <a:xfrm>
          <a:off x="5869385" y="10677128"/>
          <a:ext cx="614293" cy="563961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12</xdr:col>
      <xdr:colOff>84817</xdr:colOff>
      <xdr:row>51</xdr:row>
      <xdr:rowOff>908</xdr:rowOff>
    </xdr:from>
    <xdr:to>
      <xdr:col>20</xdr:col>
      <xdr:colOff>20863</xdr:colOff>
      <xdr:row>67</xdr:row>
      <xdr:rowOff>17596</xdr:rowOff>
    </xdr:to>
    <xdr:pic>
      <xdr:nvPicPr>
        <xdr:cNvPr id="42" name="Picture 41" descr="International pressure units - WIKA blo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52467" y="7678058"/>
          <a:ext cx="4736646" cy="293133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563789</xdr:colOff>
      <xdr:row>296</xdr:row>
      <xdr:rowOff>123825</xdr:rowOff>
    </xdr:from>
    <xdr:to>
      <xdr:col>23</xdr:col>
      <xdr:colOff>568860</xdr:colOff>
      <xdr:row>320</xdr:row>
      <xdr:rowOff>83147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831364" y="54073425"/>
          <a:ext cx="7263121" cy="4302722"/>
        </a:xfrm>
        <a:prstGeom prst="rect">
          <a:avLst/>
        </a:prstGeom>
      </xdr:spPr>
    </xdr:pic>
    <xdr:clientData/>
  </xdr:twoCellAnchor>
  <xdr:twoCellAnchor editAs="oneCell">
    <xdr:from>
      <xdr:col>12</xdr:col>
      <xdr:colOff>114300</xdr:colOff>
      <xdr:row>23</xdr:row>
      <xdr:rowOff>104184</xdr:rowOff>
    </xdr:from>
    <xdr:to>
      <xdr:col>21</xdr:col>
      <xdr:colOff>260349</xdr:colOff>
      <xdr:row>45</xdr:row>
      <xdr:rowOff>171942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E038EC2-EC3C-1B9E-7790-D0AE345E5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981950" y="2714034"/>
          <a:ext cx="5562599" cy="4049208"/>
        </a:xfrm>
        <a:prstGeom prst="rect">
          <a:avLst/>
        </a:prstGeom>
      </xdr:spPr>
    </xdr:pic>
    <xdr:clientData/>
  </xdr:twoCellAnchor>
  <xdr:twoCellAnchor>
    <xdr:from>
      <xdr:col>2</xdr:col>
      <xdr:colOff>200025</xdr:colOff>
      <xdr:row>66</xdr:row>
      <xdr:rowOff>57150</xdr:rowOff>
    </xdr:from>
    <xdr:to>
      <xdr:col>4</xdr:col>
      <xdr:colOff>527049</xdr:colOff>
      <xdr:row>67</xdr:row>
      <xdr:rowOff>133350</xdr:rowOff>
    </xdr:to>
    <xdr:grpSp>
      <xdr:nvGrpSpPr>
        <xdr:cNvPr id="50" name="Group 49">
          <a:extLst>
            <a:ext uri="{FF2B5EF4-FFF2-40B4-BE49-F238E27FC236}">
              <a16:creationId xmlns:a16="http://schemas.microsoft.com/office/drawing/2014/main" id="{3C2DB7E1-74D8-496C-96DB-0C9100686BAE}"/>
            </a:ext>
          </a:extLst>
        </xdr:cNvPr>
        <xdr:cNvGrpSpPr/>
      </xdr:nvGrpSpPr>
      <xdr:grpSpPr>
        <a:xfrm>
          <a:off x="1044575" y="10467975"/>
          <a:ext cx="1736724" cy="257175"/>
          <a:chOff x="3597275" y="9848850"/>
          <a:chExt cx="1000125" cy="571500"/>
        </a:xfrm>
      </xdr:grpSpPr>
      <xdr:cxnSp macro="">
        <xdr:nvCxnSpPr>
          <xdr:cNvPr id="51" name="Straight Arrow Connector 50">
            <a:extLst>
              <a:ext uri="{FF2B5EF4-FFF2-40B4-BE49-F238E27FC236}">
                <a16:creationId xmlns:a16="http://schemas.microsoft.com/office/drawing/2014/main" id="{26F73A6A-81E9-F259-01C4-77D63F8F959E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2" name="Straight Arrow Connector 51">
            <a:extLst>
              <a:ext uri="{FF2B5EF4-FFF2-40B4-BE49-F238E27FC236}">
                <a16:creationId xmlns:a16="http://schemas.microsoft.com/office/drawing/2014/main" id="{12E7DCD0-156E-579C-018B-C2F3D8640ABD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Arrow Connector 52">
            <a:extLst>
              <a:ext uri="{FF2B5EF4-FFF2-40B4-BE49-F238E27FC236}">
                <a16:creationId xmlns:a16="http://schemas.microsoft.com/office/drawing/2014/main" id="{21259BB9-C661-0C74-DEF3-12A5AE1D2D23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Arrow Connector 53">
            <a:extLst>
              <a:ext uri="{FF2B5EF4-FFF2-40B4-BE49-F238E27FC236}">
                <a16:creationId xmlns:a16="http://schemas.microsoft.com/office/drawing/2014/main" id="{825EC7C6-2E66-8D0A-538D-278D92FB04B8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Arrow Connector 54">
            <a:extLst>
              <a:ext uri="{FF2B5EF4-FFF2-40B4-BE49-F238E27FC236}">
                <a16:creationId xmlns:a16="http://schemas.microsoft.com/office/drawing/2014/main" id="{4ACAD2AC-C1D7-1607-0618-2D59BAF84B3F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Arrow Connector 55">
            <a:extLst>
              <a:ext uri="{FF2B5EF4-FFF2-40B4-BE49-F238E27FC236}">
                <a16:creationId xmlns:a16="http://schemas.microsoft.com/office/drawing/2014/main" id="{54B0F0E9-62E9-5C55-5408-C8C1B30146F3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Arrow Connector 56">
            <a:extLst>
              <a:ext uri="{FF2B5EF4-FFF2-40B4-BE49-F238E27FC236}">
                <a16:creationId xmlns:a16="http://schemas.microsoft.com/office/drawing/2014/main" id="{74D9F84F-B9FE-F387-7F3A-F80ACDE5A0D0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85726</xdr:colOff>
      <xdr:row>64</xdr:row>
      <xdr:rowOff>57150</xdr:rowOff>
    </xdr:from>
    <xdr:to>
      <xdr:col>8</xdr:col>
      <xdr:colOff>228601</xdr:colOff>
      <xdr:row>67</xdr:row>
      <xdr:rowOff>82550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id="{86219524-58D5-4E93-8BF3-AD7D38173E37}"/>
            </a:ext>
          </a:extLst>
        </xdr:cNvPr>
        <xdr:cNvGrpSpPr/>
      </xdr:nvGrpSpPr>
      <xdr:grpSpPr>
        <a:xfrm>
          <a:off x="3044826" y="10106025"/>
          <a:ext cx="2260600" cy="571500"/>
          <a:chOff x="3597275" y="9848850"/>
          <a:chExt cx="1000125" cy="571500"/>
        </a:xfrm>
      </xdr:grpSpPr>
      <xdr:cxnSp macro="">
        <xdr:nvCxnSpPr>
          <xdr:cNvPr id="59" name="Straight Arrow Connector 58">
            <a:extLst>
              <a:ext uri="{FF2B5EF4-FFF2-40B4-BE49-F238E27FC236}">
                <a16:creationId xmlns:a16="http://schemas.microsoft.com/office/drawing/2014/main" id="{163EB054-41D3-922D-8582-9A862E8152F5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Straight Arrow Connector 59">
            <a:extLst>
              <a:ext uri="{FF2B5EF4-FFF2-40B4-BE49-F238E27FC236}">
                <a16:creationId xmlns:a16="http://schemas.microsoft.com/office/drawing/2014/main" id="{5C92FD6C-60EA-0166-BE1B-125AF640D8F3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1" name="Straight Arrow Connector 60">
            <a:extLst>
              <a:ext uri="{FF2B5EF4-FFF2-40B4-BE49-F238E27FC236}">
                <a16:creationId xmlns:a16="http://schemas.microsoft.com/office/drawing/2014/main" id="{0190BD91-2BD4-E657-68E7-48B4ACF326D7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Straight Arrow Connector 61">
            <a:extLst>
              <a:ext uri="{FF2B5EF4-FFF2-40B4-BE49-F238E27FC236}">
                <a16:creationId xmlns:a16="http://schemas.microsoft.com/office/drawing/2014/main" id="{30DF63C9-D624-562F-1C91-3A172EFAE0FA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Straight Arrow Connector 62">
            <a:extLst>
              <a:ext uri="{FF2B5EF4-FFF2-40B4-BE49-F238E27FC236}">
                <a16:creationId xmlns:a16="http://schemas.microsoft.com/office/drawing/2014/main" id="{6871C9C5-7558-D3BB-0673-1E0ADCD4D818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Straight Arrow Connector 63">
            <a:extLst>
              <a:ext uri="{FF2B5EF4-FFF2-40B4-BE49-F238E27FC236}">
                <a16:creationId xmlns:a16="http://schemas.microsoft.com/office/drawing/2014/main" id="{1F7D1E5C-E6FA-BE68-6521-50D51F1A79B0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Straight Arrow Connector 64">
            <a:extLst>
              <a:ext uri="{FF2B5EF4-FFF2-40B4-BE49-F238E27FC236}">
                <a16:creationId xmlns:a16="http://schemas.microsoft.com/office/drawing/2014/main" id="{A07A0140-21B0-9D92-F006-73D3D9F560F9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19</xdr:col>
      <xdr:colOff>482600</xdr:colOff>
      <xdr:row>26</xdr:row>
      <xdr:rowOff>44450</xdr:rowOff>
    </xdr:from>
    <xdr:to>
      <xdr:col>26</xdr:col>
      <xdr:colOff>429209</xdr:colOff>
      <xdr:row>44</xdr:row>
      <xdr:rowOff>9949</xdr:rowOff>
    </xdr:to>
    <xdr:grpSp>
      <xdr:nvGrpSpPr>
        <xdr:cNvPr id="70" name="Group 69">
          <a:extLst>
            <a:ext uri="{FF2B5EF4-FFF2-40B4-BE49-F238E27FC236}">
              <a16:creationId xmlns:a16="http://schemas.microsoft.com/office/drawing/2014/main" id="{123796AF-603C-C960-208F-01DAA693AD4F}"/>
            </a:ext>
          </a:extLst>
        </xdr:cNvPr>
        <xdr:cNvGrpSpPr/>
      </xdr:nvGrpSpPr>
      <xdr:grpSpPr>
        <a:xfrm>
          <a:off x="12553950" y="3200400"/>
          <a:ext cx="4255084" cy="3216699"/>
          <a:chOff x="12293600" y="3559175"/>
          <a:chExt cx="4185234" cy="3042074"/>
        </a:xfrm>
      </xdr:grpSpPr>
      <xdr:pic>
        <xdr:nvPicPr>
          <xdr:cNvPr id="68" name="Picture 67">
            <a:extLst>
              <a:ext uri="{FF2B5EF4-FFF2-40B4-BE49-F238E27FC236}">
                <a16:creationId xmlns:a16="http://schemas.microsoft.com/office/drawing/2014/main" id="{466EBCF4-92C0-AC25-EBCC-A0E7F31A69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5"/>
          <a:stretch>
            <a:fillRect/>
          </a:stretch>
        </xdr:blipFill>
        <xdr:spPr>
          <a:xfrm>
            <a:off x="12293600" y="3559175"/>
            <a:ext cx="4185234" cy="3042074"/>
          </a:xfrm>
          <a:prstGeom prst="rect">
            <a:avLst/>
          </a:prstGeom>
        </xdr:spPr>
      </xdr:pic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id="{B56D87BF-4C7B-B166-8009-90B4EEFBF1E9}"/>
              </a:ext>
            </a:extLst>
          </xdr:cNvPr>
          <xdr:cNvSpPr txBox="1"/>
        </xdr:nvSpPr>
        <xdr:spPr>
          <a:xfrm>
            <a:off x="12773025" y="3733800"/>
            <a:ext cx="894476" cy="264560"/>
          </a:xfrm>
          <a:prstGeom prst="rect">
            <a:avLst/>
          </a:prstGeom>
          <a:solidFill>
            <a:schemeClr val="accent2"/>
          </a:solidFill>
          <a:ln>
            <a:solidFill>
              <a:schemeClr val="accent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Shear failure</a:t>
            </a:r>
          </a:p>
        </xdr:txBody>
      </xdr:sp>
    </xdr:grpSp>
    <xdr:clientData/>
  </xdr:twoCellAnchor>
  <xdr:twoCellAnchor editAs="oneCell">
    <xdr:from>
      <xdr:col>20</xdr:col>
      <xdr:colOff>86948</xdr:colOff>
      <xdr:row>47</xdr:row>
      <xdr:rowOff>120650</xdr:rowOff>
    </xdr:from>
    <xdr:to>
      <xdr:col>28</xdr:col>
      <xdr:colOff>598068</xdr:colOff>
      <xdr:row>65</xdr:row>
      <xdr:rowOff>121364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48258DB5-36F4-384F-C16C-6E4408CA5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2755198" y="7073900"/>
          <a:ext cx="5467295" cy="3280489"/>
        </a:xfrm>
        <a:prstGeom prst="rect">
          <a:avLst/>
        </a:prstGeom>
      </xdr:spPr>
    </xdr:pic>
    <xdr:clientData/>
  </xdr:twoCellAnchor>
  <xdr:twoCellAnchor editAs="oneCell">
    <xdr:from>
      <xdr:col>10</xdr:col>
      <xdr:colOff>669924</xdr:colOff>
      <xdr:row>166</xdr:row>
      <xdr:rowOff>122998</xdr:rowOff>
    </xdr:from>
    <xdr:to>
      <xdr:col>20</xdr:col>
      <xdr:colOff>277513</xdr:colOff>
      <xdr:row>187</xdr:row>
      <xdr:rowOff>162809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75FA5368-22D3-CE96-C04F-72C7D1DF2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070724" y="32441323"/>
          <a:ext cx="5595640" cy="3837111"/>
        </a:xfrm>
        <a:prstGeom prst="rect">
          <a:avLst/>
        </a:prstGeom>
      </xdr:spPr>
    </xdr:pic>
    <xdr:clientData/>
  </xdr:twoCellAnchor>
  <xdr:twoCellAnchor>
    <xdr:from>
      <xdr:col>11</xdr:col>
      <xdr:colOff>273196</xdr:colOff>
      <xdr:row>214</xdr:row>
      <xdr:rowOff>12659</xdr:rowOff>
    </xdr:from>
    <xdr:to>
      <xdr:col>17</xdr:col>
      <xdr:colOff>427707</xdr:colOff>
      <xdr:row>225</xdr:row>
      <xdr:rowOff>92950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543F2A01-BA3C-4C42-9AB1-962F64B8463E}"/>
            </a:ext>
          </a:extLst>
        </xdr:cNvPr>
        <xdr:cNvGrpSpPr/>
      </xdr:nvGrpSpPr>
      <xdr:grpSpPr>
        <a:xfrm>
          <a:off x="7543946" y="37433209"/>
          <a:ext cx="3754961" cy="2074191"/>
          <a:chOff x="2695575" y="2080375"/>
          <a:chExt cx="3649065" cy="1768205"/>
        </a:xfrm>
      </xdr:grpSpPr>
      <xdr:pic>
        <xdr:nvPicPr>
          <xdr:cNvPr id="4" name="Picture 3">
            <a:extLst>
              <a:ext uri="{FF2B5EF4-FFF2-40B4-BE49-F238E27FC236}">
                <a16:creationId xmlns:a16="http://schemas.microsoft.com/office/drawing/2014/main" id="{0DCF65F9-5D3A-CAD6-72CA-2D2AEF32DF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8"/>
          <a:stretch>
            <a:fillRect/>
          </a:stretch>
        </xdr:blipFill>
        <xdr:spPr>
          <a:xfrm>
            <a:off x="2695575" y="2080375"/>
            <a:ext cx="3649065" cy="1768205"/>
          </a:xfrm>
          <a:prstGeom prst="rect">
            <a:avLst/>
          </a:prstGeom>
        </xdr:spPr>
      </xdr:pic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B7F1E0D4-C695-9EEB-D3B3-DA8A73E58E4D}"/>
              </a:ext>
            </a:extLst>
          </xdr:cNvPr>
          <xdr:cNvSpPr txBox="1"/>
        </xdr:nvSpPr>
        <xdr:spPr>
          <a:xfrm>
            <a:off x="2781300" y="2324100"/>
            <a:ext cx="1013291" cy="264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ADINOX M305</a:t>
            </a:r>
          </a:p>
        </xdr:txBody>
      </xdr:sp>
    </xdr:grpSp>
    <xdr:clientData/>
  </xdr:twoCellAnchor>
  <xdr:oneCellAnchor>
    <xdr:from>
      <xdr:col>4</xdr:col>
      <xdr:colOff>647362</xdr:colOff>
      <xdr:row>225</xdr:row>
      <xdr:rowOff>73477</xdr:rowOff>
    </xdr:from>
    <xdr:ext cx="1167884" cy="69307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𝑠h𝑒𝑎𝑟</m:t>
                        </m:r>
                      </m:sub>
                    </m:sSub>
                    <m:r>
                      <a:rPr lang="en-US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l-GR" sz="1100" i="1">
                        <a:latin typeface="Cambria Math" panose="02040503050406030204" pitchFamily="18" charset="0"/>
                      </a:rPr>
                      <m:t>𝜋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𝜏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𝑠h𝑒𝑎𝑟</m:t>
                            </m:r>
                          </m:sub>
                        </m:sSub>
                      </m:den>
                    </m:f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13DFF96-6272-434E-646D-75FA0E733689}"/>
                </a:ext>
              </a:extLst>
            </xdr:cNvPr>
            <xdr:cNvSpPr txBox="1"/>
          </xdr:nvSpPr>
          <xdr:spPr>
            <a:xfrm>
              <a:off x="2825688" y="43093347"/>
              <a:ext cx="1167884" cy="69307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</a:rPr>
                <a:t>𝐴</a:t>
              </a:r>
              <a:r>
                <a:rPr lang="es-419" sz="1100" b="0" i="0">
                  <a:latin typeface="Cambria Math" panose="02040503050406030204" pitchFamily="18" charset="0"/>
                </a:rPr>
                <a:t>_𝑠ℎ𝑒𝑎𝑟</a:t>
              </a:r>
              <a:r>
                <a:rPr lang="en-US" sz="1100" i="0">
                  <a:latin typeface="Cambria Math" panose="02040503050406030204" pitchFamily="18" charset="0"/>
                </a:rPr>
                <a:t>=</a:t>
              </a:r>
              <a:r>
                <a:rPr lang="el-GR" sz="1100" i="0">
                  <a:latin typeface="Cambria Math" panose="02040503050406030204" pitchFamily="18" charset="0"/>
                </a:rPr>
                <a:t>𝜋</a:t>
              </a:r>
              <a:r>
                <a:rPr lang="es-419" sz="1100" b="0" i="0">
                  <a:latin typeface="Cambria Math" panose="02040503050406030204" pitchFamily="18" charset="0"/>
                </a:rPr>
                <a:t>𝐷_𝑚𝑟 𝐿_𝑚𝑟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𝜏=𝑉/𝐴_𝑠ℎ𝑒𝑎𝑟   </a:t>
              </a:r>
              <a:br>
                <a:rPr lang="es-419" sz="1100" b="0" i="1">
                  <a:latin typeface="Cambria Math" panose="02040503050406030204" pitchFamily="18" charset="0"/>
                </a:rPr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598833</xdr:colOff>
      <xdr:row>213</xdr:row>
      <xdr:rowOff>76062</xdr:rowOff>
    </xdr:from>
    <xdr:ext cx="1606529" cy="82836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𝜏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𝑏𝑒𝑎𝑟𝑖𝑛𝑔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sty m:val="p"/>
                          </m:rPr>
                          <a:rPr lang="es-419" sz="1100" b="0" i="0">
                            <a:latin typeface="Cambria Math" panose="02040503050406030204" pitchFamily="18" charset="0"/>
                          </a:rPr>
                          <m:t>V</m:t>
                        </m:r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A</m:t>
                            </m:r>
                          </m:e>
                          <m:sub>
                            <m:r>
                              <m:rPr>
                                <m:sty m:val="p"/>
                              </m:rPr>
                              <a:rPr lang="es-419" sz="1100" b="0" i="0">
                                <a:latin typeface="Cambria Math" panose="02040503050406030204" pitchFamily="18" charset="0"/>
                              </a:rPr>
                              <m:t>bearing</m:t>
                            </m:r>
                          </m:sub>
                        </m:sSub>
                      </m:den>
                    </m:f>
                  </m:oMath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</m:num>
                      <m:den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den>
                    </m:f>
                    <m:d>
                      <m:d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Sup>
                          <m:sSubSup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𝑑</m:t>
                            </m:r>
                          </m:e>
                          <m:sub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𝑚𝑟</m:t>
                            </m:r>
                          </m:sub>
                          <m:sup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</m:e>
                    </m:d>
                  </m:oMath>
                  <m:oMath xmlns:m="http://schemas.openxmlformats.org/officeDocument/2006/math"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𝑎𝑛𝑑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𝑉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C5166FB9-EDD9-E109-810A-F16510F500CA}"/>
                </a:ext>
              </a:extLst>
            </xdr:cNvPr>
            <xdr:cNvSpPr txBox="1"/>
          </xdr:nvSpPr>
          <xdr:spPr>
            <a:xfrm>
              <a:off x="4135507" y="41273758"/>
              <a:ext cx="1606529" cy="8283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𝜏_𝑏𝑒𝑎𝑟𝑖𝑛𝑔=V/A_bearing </a:t>
              </a:r>
              <a:br>
                <a:rPr lang="es-419" sz="1100" b="0"/>
              </a:br>
              <a:r>
                <a:rPr lang="es-419" sz="1100" b="0" i="0">
                  <a:latin typeface="Cambria Math" panose="02040503050406030204" pitchFamily="18" charset="0"/>
                </a:rPr>
                <a:t>𝑤ℎ𝑒𝑟𝑒 𝐴_𝑏=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𝜋/4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𝐷_𝑚^2−𝑑_𝑚𝑟^2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br>
                <a:rPr lang="es-419" sz="1100" b="0">
                  <a:solidFill>
                    <a:schemeClr val="tx1"/>
                  </a:solidFill>
                  <a:effectLst/>
                  <a:ea typeface="+mn-ea"/>
                  <a:cs typeface="+mn-cs"/>
                </a:rPr>
              </a:b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𝑎𝑛𝑑 𝑉=𝑇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112089</xdr:colOff>
      <xdr:row>222</xdr:row>
      <xdr:rowOff>130865</xdr:rowOff>
    </xdr:from>
    <xdr:ext cx="26802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4736FAFA-18CD-2A1A-09D7-8A61DB81B1E6}"/>
                </a:ext>
              </a:extLst>
            </xdr:cNvPr>
            <xdr:cNvSpPr txBox="1"/>
          </xdr:nvSpPr>
          <xdr:spPr>
            <a:xfrm>
              <a:off x="5007111" y="42786300"/>
              <a:ext cx="268022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𝑑_𝑚𝑟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153503</xdr:colOff>
      <xdr:row>227</xdr:row>
      <xdr:rowOff>89453</xdr:rowOff>
    </xdr:from>
    <xdr:ext cx="21961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37D074B5-00D3-41FE-AC30-8C0260B49247}"/>
                </a:ext>
              </a:extLst>
            </xdr:cNvPr>
            <xdr:cNvSpPr txBox="1"/>
          </xdr:nvSpPr>
          <xdr:spPr>
            <a:xfrm>
              <a:off x="5048525" y="43473757"/>
              <a:ext cx="219611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103807</xdr:colOff>
      <xdr:row>228</xdr:row>
      <xdr:rowOff>165929</xdr:rowOff>
    </xdr:from>
    <xdr:ext cx="27565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3" name="TextBox 8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98829" y="43732451"/>
              <a:ext cx="275653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𝐷_𝑚𝑟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9</xdr:col>
      <xdr:colOff>372299</xdr:colOff>
      <xdr:row>220</xdr:row>
      <xdr:rowOff>70621</xdr:rowOff>
    </xdr:from>
    <xdr:to>
      <xdr:col>9</xdr:col>
      <xdr:colOff>504124</xdr:colOff>
      <xdr:row>220</xdr:row>
      <xdr:rowOff>113166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01709510-8FD9-2D97-B5FF-709CD4B82C96}"/>
                </a:ext>
              </a:extLst>
            </xdr14:cNvPr>
            <xdr14:cNvContentPartPr/>
          </xdr14:nvContentPartPr>
          <xdr14:nvPr macro=""/>
          <xdr14:xfrm>
            <a:off x="5946495" y="42361621"/>
            <a:ext cx="135000" cy="42545"/>
          </xdr14:xfrm>
        </xdr:contentPart>
      </mc:Choice>
      <mc:Fallback xmlns=""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01709510-8FD9-2D97-B5FF-709CD4B82C96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5940375" y="42355926"/>
              <a:ext cx="147240" cy="539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375833</xdr:colOff>
      <xdr:row>226</xdr:row>
      <xdr:rowOff>99149</xdr:rowOff>
    </xdr:from>
    <xdr:to>
      <xdr:col>9</xdr:col>
      <xdr:colOff>504353</xdr:colOff>
      <xdr:row>226</xdr:row>
      <xdr:rowOff>168334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111C9F12-6876-F49C-C6D5-9BC0B7B837D1}"/>
                </a:ext>
              </a:extLst>
            </xdr14:cNvPr>
            <xdr14:cNvContentPartPr/>
          </xdr14:nvContentPartPr>
          <xdr14:nvPr macro=""/>
          <xdr14:xfrm>
            <a:off x="5950029" y="43301236"/>
            <a:ext cx="125345" cy="69185"/>
          </xdr14:xfrm>
        </xdr:contentPart>
      </mc:Choice>
      <mc:Fallback xmlns=""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111C9F12-6876-F49C-C6D5-9BC0B7B837D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5944060" y="43295385"/>
              <a:ext cx="137283" cy="80888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9</xdr:col>
      <xdr:colOff>289198</xdr:colOff>
      <xdr:row>222</xdr:row>
      <xdr:rowOff>74819</xdr:rowOff>
    </xdr:from>
    <xdr:ext cx="2612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149396D0-9B5C-41F0-8D55-1AD89856DE5A}"/>
                </a:ext>
              </a:extLst>
            </xdr:cNvPr>
            <xdr:cNvSpPr txBox="1"/>
          </xdr:nvSpPr>
          <xdr:spPr>
            <a:xfrm>
              <a:off x="5863394" y="42730254"/>
              <a:ext cx="261289" cy="173766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𝐿_𝑚𝑟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530499</xdr:colOff>
      <xdr:row>236</xdr:row>
      <xdr:rowOff>133627</xdr:rowOff>
    </xdr:from>
    <xdr:to>
      <xdr:col>9</xdr:col>
      <xdr:colOff>656671</xdr:colOff>
      <xdr:row>247</xdr:row>
      <xdr:rowOff>144895</xdr:rowOff>
    </xdr:to>
    <xdr:grpSp>
      <xdr:nvGrpSpPr>
        <xdr:cNvPr id="101" name="Group 100">
          <a:extLst>
            <a:ext uri="{FF2B5EF4-FFF2-40B4-BE49-F238E27FC236}">
              <a16:creationId xmlns:a16="http://schemas.microsoft.com/office/drawing/2014/main" id="{655E91DC-5A4D-117F-6BB0-008847ADD39A}"/>
            </a:ext>
          </a:extLst>
        </xdr:cNvPr>
        <xdr:cNvGrpSpPr/>
      </xdr:nvGrpSpPr>
      <xdr:grpSpPr>
        <a:xfrm>
          <a:off x="4197624" y="41538802"/>
          <a:ext cx="2243897" cy="1998818"/>
          <a:chOff x="3997599" y="45155127"/>
          <a:chExt cx="2158172" cy="1824193"/>
        </a:xfrm>
      </xdr:grpSpPr>
      <xdr:sp macro="" textlink="">
        <xdr:nvSpPr>
          <xdr:cNvPr id="95" name="Rectangle 94">
            <a:extLst>
              <a:ext uri="{FF2B5EF4-FFF2-40B4-BE49-F238E27FC236}">
                <a16:creationId xmlns:a16="http://schemas.microsoft.com/office/drawing/2014/main" id="{2FCC716C-4AE6-4909-AFAF-500F618688E3}"/>
              </a:ext>
            </a:extLst>
          </xdr:cNvPr>
          <xdr:cNvSpPr/>
        </xdr:nvSpPr>
        <xdr:spPr>
          <a:xfrm>
            <a:off x="4009750" y="45155127"/>
            <a:ext cx="2105551" cy="1047856"/>
          </a:xfrm>
          <a:prstGeom prst="rect">
            <a:avLst/>
          </a:prstGeom>
          <a:noFill/>
          <a:ln w="57150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8" name="Rectangle 97">
            <a:extLst>
              <a:ext uri="{FF2B5EF4-FFF2-40B4-BE49-F238E27FC236}">
                <a16:creationId xmlns:a16="http://schemas.microsoft.com/office/drawing/2014/main" id="{1065E609-3B86-454D-A5A3-88B536CE6499}"/>
              </a:ext>
            </a:extLst>
          </xdr:cNvPr>
          <xdr:cNvSpPr/>
        </xdr:nvSpPr>
        <xdr:spPr>
          <a:xfrm>
            <a:off x="4039468" y="46109698"/>
            <a:ext cx="2053646" cy="116891"/>
          </a:xfrm>
          <a:prstGeom prst="rect">
            <a:avLst/>
          </a:prstGeom>
          <a:solidFill>
            <a:schemeClr val="accent2">
              <a:lumMod val="60000"/>
              <a:lumOff val="4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7" name="Rectangle 96">
            <a:extLst>
              <a:ext uri="{FF2B5EF4-FFF2-40B4-BE49-F238E27FC236}">
                <a16:creationId xmlns:a16="http://schemas.microsoft.com/office/drawing/2014/main" id="{14149341-E7DF-4D03-9274-AFD942B16E9D}"/>
              </a:ext>
            </a:extLst>
          </xdr:cNvPr>
          <xdr:cNvSpPr/>
        </xdr:nvSpPr>
        <xdr:spPr>
          <a:xfrm>
            <a:off x="3997599" y="46227587"/>
            <a:ext cx="2158172" cy="119043"/>
          </a:xfrm>
          <a:prstGeom prst="rect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100" name="Isosceles Triangle 99">
            <a:extLst>
              <a:ext uri="{FF2B5EF4-FFF2-40B4-BE49-F238E27FC236}">
                <a16:creationId xmlns:a16="http://schemas.microsoft.com/office/drawing/2014/main" id="{F08C3E94-7400-7837-43F4-1A7298EB02D2}"/>
              </a:ext>
            </a:extLst>
          </xdr:cNvPr>
          <xdr:cNvSpPr/>
        </xdr:nvSpPr>
        <xdr:spPr>
          <a:xfrm>
            <a:off x="4306743" y="45588960"/>
            <a:ext cx="1528907" cy="1390360"/>
          </a:xfrm>
          <a:prstGeom prst="triangle">
            <a:avLst/>
          </a:prstGeom>
          <a:solidFill>
            <a:schemeClr val="bg2">
              <a:lumMod val="9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6" name="Rectangle 95">
            <a:extLst>
              <a:ext uri="{FF2B5EF4-FFF2-40B4-BE49-F238E27FC236}">
                <a16:creationId xmlns:a16="http://schemas.microsoft.com/office/drawing/2014/main" id="{17852502-040F-4B46-A0B9-2F65E5669152}"/>
              </a:ext>
            </a:extLst>
          </xdr:cNvPr>
          <xdr:cNvSpPr/>
        </xdr:nvSpPr>
        <xdr:spPr>
          <a:xfrm>
            <a:off x="4400459" y="45184869"/>
            <a:ext cx="1342206" cy="1261390"/>
          </a:xfrm>
          <a:prstGeom prst="rect">
            <a:avLst/>
          </a:prstGeom>
          <a:solidFill>
            <a:schemeClr val="bg2">
              <a:lumMod val="9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99" name="Rectangle 98">
            <a:extLst>
              <a:ext uri="{FF2B5EF4-FFF2-40B4-BE49-F238E27FC236}">
                <a16:creationId xmlns:a16="http://schemas.microsoft.com/office/drawing/2014/main" id="{2CFB2CA6-9019-4177-B905-11B93A06ED7A}"/>
              </a:ext>
            </a:extLst>
          </xdr:cNvPr>
          <xdr:cNvSpPr/>
        </xdr:nvSpPr>
        <xdr:spPr>
          <a:xfrm>
            <a:off x="4296550" y="46357596"/>
            <a:ext cx="1530441" cy="107134"/>
          </a:xfrm>
          <a:prstGeom prst="rect">
            <a:avLst/>
          </a:prstGeom>
          <a:solidFill>
            <a:schemeClr val="bg2">
              <a:lumMod val="90000"/>
            </a:schemeClr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7</xdr:col>
      <xdr:colOff>125016</xdr:colOff>
      <xdr:row>242</xdr:row>
      <xdr:rowOff>166687</xdr:rowOff>
    </xdr:from>
    <xdr:to>
      <xdr:col>7</xdr:col>
      <xdr:colOff>232172</xdr:colOff>
      <xdr:row>244</xdr:row>
      <xdr:rowOff>48026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AC8F8FB4-5B14-4057-9645-BB9C2CB622A0}"/>
            </a:ext>
          </a:extLst>
        </xdr:cNvPr>
        <xdr:cNvSpPr/>
      </xdr:nvSpPr>
      <xdr:spPr>
        <a:xfrm>
          <a:off x="4673204" y="45517593"/>
          <a:ext cx="107156" cy="238527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12</xdr:col>
      <xdr:colOff>504825</xdr:colOff>
      <xdr:row>225</xdr:row>
      <xdr:rowOff>171450</xdr:rowOff>
    </xdr:from>
    <xdr:to>
      <xdr:col>20</xdr:col>
      <xdr:colOff>478971</xdr:colOff>
      <xdr:row>236</xdr:row>
      <xdr:rowOff>133351</xdr:rowOff>
    </xdr:to>
    <xdr:pic>
      <xdr:nvPicPr>
        <xdr:cNvPr id="102" name="Picture 101" descr="International pressure units - WIKA blo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897" b="16492"/>
        <a:stretch/>
      </xdr:blipFill>
      <xdr:spPr bwMode="auto">
        <a:xfrm>
          <a:off x="8372475" y="39585900"/>
          <a:ext cx="4774746" cy="19526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211933</xdr:colOff>
      <xdr:row>242</xdr:row>
      <xdr:rowOff>176212</xdr:rowOff>
    </xdr:from>
    <xdr:to>
      <xdr:col>9</xdr:col>
      <xdr:colOff>297656</xdr:colOff>
      <xdr:row>244</xdr:row>
      <xdr:rowOff>57551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AC8F8FB4-5B14-4057-9645-BB9C2CB622A0}"/>
            </a:ext>
          </a:extLst>
        </xdr:cNvPr>
        <xdr:cNvSpPr/>
      </xdr:nvSpPr>
      <xdr:spPr>
        <a:xfrm>
          <a:off x="6224589" y="45527118"/>
          <a:ext cx="85723" cy="238527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107674</xdr:colOff>
      <xdr:row>245</xdr:row>
      <xdr:rowOff>124239</xdr:rowOff>
    </xdr:from>
    <xdr:to>
      <xdr:col>9</xdr:col>
      <xdr:colOff>298174</xdr:colOff>
      <xdr:row>245</xdr:row>
      <xdr:rowOff>124239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CxnSpPr/>
      </xdr:nvCxnSpPr>
      <xdr:spPr>
        <a:xfrm>
          <a:off x="4679674" y="46788456"/>
          <a:ext cx="1664804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541681</xdr:colOff>
      <xdr:row>244</xdr:row>
      <xdr:rowOff>86139</xdr:rowOff>
    </xdr:from>
    <xdr:to>
      <xdr:col>9</xdr:col>
      <xdr:colOff>654326</xdr:colOff>
      <xdr:row>244</xdr:row>
      <xdr:rowOff>86139</xdr:rowOff>
    </xdr:to>
    <xdr:cxnSp macro="">
      <xdr:nvCxnSpPr>
        <xdr:cNvPr id="106" name="Straight Arrow Connector 105">
          <a:extLst>
            <a:ext uri="{FF2B5EF4-FFF2-40B4-BE49-F238E27FC236}">
              <a16:creationId xmlns:a16="http://schemas.microsoft.com/office/drawing/2014/main" id="{00000000-0008-0000-0400-00006A000000}"/>
            </a:ext>
          </a:extLst>
        </xdr:cNvPr>
        <xdr:cNvCxnSpPr/>
      </xdr:nvCxnSpPr>
      <xdr:spPr>
        <a:xfrm>
          <a:off x="4376529" y="46568139"/>
          <a:ext cx="2324101" cy="0"/>
        </a:xfrm>
        <a:prstGeom prst="straightConnector1">
          <a:avLst/>
        </a:prstGeom>
        <a:ln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591377</xdr:colOff>
      <xdr:row>243</xdr:row>
      <xdr:rowOff>53008</xdr:rowOff>
    </xdr:from>
    <xdr:to>
      <xdr:col>9</xdr:col>
      <xdr:colOff>588803</xdr:colOff>
      <xdr:row>243</xdr:row>
      <xdr:rowOff>58475</xdr:rowOff>
    </xdr:to>
    <xdr:cxnSp macro="">
      <xdr:nvCxnSpPr>
        <xdr:cNvPr id="107" name="Straight Arrow Connector 106">
          <a:extLst>
            <a:ext uri="{FF2B5EF4-FFF2-40B4-BE49-F238E27FC236}">
              <a16:creationId xmlns:a16="http://schemas.microsoft.com/office/drawing/2014/main" id="{00000000-0008-0000-0400-00006B000000}"/>
            </a:ext>
          </a:extLst>
        </xdr:cNvPr>
        <xdr:cNvCxnSpPr>
          <a:endCxn id="98" idx="3"/>
        </xdr:cNvCxnSpPr>
      </xdr:nvCxnSpPr>
      <xdr:spPr>
        <a:xfrm>
          <a:off x="4426225" y="46253399"/>
          <a:ext cx="2208882" cy="5467"/>
        </a:xfrm>
        <a:prstGeom prst="straightConnector1">
          <a:avLst/>
        </a:prstGeom>
        <a:ln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251791</xdr:colOff>
      <xdr:row>242</xdr:row>
      <xdr:rowOff>24848</xdr:rowOff>
    </xdr:from>
    <xdr:to>
      <xdr:col>9</xdr:col>
      <xdr:colOff>198783</xdr:colOff>
      <xdr:row>242</xdr:row>
      <xdr:rowOff>36443</xdr:rowOff>
    </xdr:to>
    <xdr:cxnSp macro="">
      <xdr:nvCxnSpPr>
        <xdr:cNvPr id="109" name="Straight Arrow Connector 108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CxnSpPr/>
      </xdr:nvCxnSpPr>
      <xdr:spPr>
        <a:xfrm flipV="1">
          <a:off x="4823791" y="46142413"/>
          <a:ext cx="1421296" cy="11595"/>
        </a:xfrm>
        <a:prstGeom prst="straightConnector1">
          <a:avLst/>
        </a:prstGeom>
        <a:ln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103808</xdr:colOff>
      <xdr:row>240</xdr:row>
      <xdr:rowOff>107951</xdr:rowOff>
    </xdr:from>
    <xdr:ext cx="277897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0" name="TextBox 109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5412960" y="46043299"/>
              <a:ext cx="277897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0" name="TextBox 109">
              <a:extLst>
                <a:ext uri="{FF2B5EF4-FFF2-40B4-BE49-F238E27FC236}">
                  <a16:creationId xmlns:a16="http://schemas.microsoft.com/office/drawing/2014/main" xmlns:a14="http://schemas.microsoft.com/office/drawing/2010/main" xmlns="" id="{ADDDBA0E-DB20-4D2D-B59C-BCF438731B1A}"/>
                </a:ext>
              </a:extLst>
            </xdr:cNvPr>
            <xdr:cNvSpPr txBox="1"/>
          </xdr:nvSpPr>
          <xdr:spPr>
            <a:xfrm>
              <a:off x="5412960" y="46043299"/>
              <a:ext cx="277897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𝐷_𝑚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90556</xdr:colOff>
      <xdr:row>242</xdr:row>
      <xdr:rowOff>136113</xdr:rowOff>
    </xdr:from>
    <xdr:ext cx="228268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5399708" y="46253678"/>
              <a:ext cx="228268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1" name="TextBox 110">
              <a:extLst>
                <a:ext uri="{FF2B5EF4-FFF2-40B4-BE49-F238E27FC236}">
                  <a16:creationId xmlns:a16="http://schemas.microsoft.com/office/drawing/2014/main" xmlns:a14="http://schemas.microsoft.com/office/drawing/2010/main" xmlns="" id="{ADDDBA0E-DB20-4D2D-B59C-BCF438731B1A}"/>
                </a:ext>
              </a:extLst>
            </xdr:cNvPr>
            <xdr:cNvSpPr txBox="1"/>
          </xdr:nvSpPr>
          <xdr:spPr>
            <a:xfrm>
              <a:off x="5399708" y="46253678"/>
              <a:ext cx="228268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𝑑_𝑓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93869</xdr:colOff>
      <xdr:row>243</xdr:row>
      <xdr:rowOff>164274</xdr:rowOff>
    </xdr:from>
    <xdr:ext cx="235897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5403021" y="46464057"/>
              <a:ext cx="235897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xmlns:a14="http://schemas.microsoft.com/office/drawing/2010/main" xmlns="" id="{ADDDBA0E-DB20-4D2D-B59C-BCF438731B1A}"/>
                </a:ext>
              </a:extLst>
            </xdr:cNvPr>
            <xdr:cNvSpPr txBox="1"/>
          </xdr:nvSpPr>
          <xdr:spPr>
            <a:xfrm>
              <a:off x="5403021" y="46464057"/>
              <a:ext cx="235897" cy="18280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𝐷_𝑓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88900</xdr:colOff>
      <xdr:row>245</xdr:row>
      <xdr:rowOff>51632</xdr:rowOff>
    </xdr:from>
    <xdr:ext cx="343684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5398052" y="46715849"/>
              <a:ext cx="343684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𝑑𝑚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3" name="TextBox 112">
              <a:extLst>
                <a:ext uri="{FF2B5EF4-FFF2-40B4-BE49-F238E27FC236}">
                  <a16:creationId xmlns:a16="http://schemas.microsoft.com/office/drawing/2014/main" xmlns:a14="http://schemas.microsoft.com/office/drawing/2010/main" xmlns="" id="{ADDDBA0E-DB20-4D2D-B59C-BCF438731B1A}"/>
                </a:ext>
              </a:extLst>
            </xdr:cNvPr>
            <xdr:cNvSpPr txBox="1"/>
          </xdr:nvSpPr>
          <xdr:spPr>
            <a:xfrm>
              <a:off x="5398052" y="46715849"/>
              <a:ext cx="343684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𝐷_𝑑𝑚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404232</xdr:colOff>
      <xdr:row>243</xdr:row>
      <xdr:rowOff>116159</xdr:rowOff>
    </xdr:from>
    <xdr:to>
      <xdr:col>6</xdr:col>
      <xdr:colOff>409771</xdr:colOff>
      <xdr:row>244</xdr:row>
      <xdr:rowOff>78180</xdr:rowOff>
    </xdr:to>
    <xdr:cxnSp macro="">
      <xdr:nvCxnSpPr>
        <xdr:cNvPr id="67" name="Straight Arrow Connector 66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CxnSpPr/>
      </xdr:nvCxnSpPr>
      <xdr:spPr>
        <a:xfrm>
          <a:off x="4228171" y="46449476"/>
          <a:ext cx="5539" cy="143228"/>
        </a:xfrm>
        <a:prstGeom prst="straightConnector1">
          <a:avLst/>
        </a:prstGeom>
        <a:ln w="3175">
          <a:headEnd type="arrow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72981</xdr:colOff>
      <xdr:row>243</xdr:row>
      <xdr:rowOff>106416</xdr:rowOff>
    </xdr:from>
    <xdr:ext cx="258596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3896920" y="46439733"/>
              <a:ext cx="258596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5" name="TextBox 114">
              <a:extLst>
                <a:ext uri="{FF2B5EF4-FFF2-40B4-BE49-F238E27FC236}">
                  <a16:creationId xmlns:a16="http://schemas.microsoft.com/office/drawing/2014/main" xmlns:a14="http://schemas.microsoft.com/office/drawing/2010/main" xmlns="" id="{ADDDBA0E-DB20-4D2D-B59C-BCF438731B1A}"/>
                </a:ext>
              </a:extLst>
            </xdr:cNvPr>
            <xdr:cNvSpPr txBox="1"/>
          </xdr:nvSpPr>
          <xdr:spPr>
            <a:xfrm>
              <a:off x="3896920" y="46439733"/>
              <a:ext cx="258596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𝑙_𝑑𝑟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456838</xdr:colOff>
      <xdr:row>243</xdr:row>
      <xdr:rowOff>23811</xdr:rowOff>
    </xdr:from>
    <xdr:to>
      <xdr:col>6</xdr:col>
      <xdr:colOff>660798</xdr:colOff>
      <xdr:row>244</xdr:row>
      <xdr:rowOff>47624</xdr:rowOff>
    </xdr:to>
    <xdr:sp macro="" textlink="">
      <xdr:nvSpPr>
        <xdr:cNvPr id="74" name="Oval 73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SpPr/>
      </xdr:nvSpPr>
      <xdr:spPr>
        <a:xfrm>
          <a:off x="4272791" y="45410436"/>
          <a:ext cx="203960" cy="202407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121081</xdr:colOff>
      <xdr:row>243</xdr:row>
      <xdr:rowOff>116680</xdr:rowOff>
    </xdr:from>
    <xdr:to>
      <xdr:col>7</xdr:col>
      <xdr:colOff>325041</xdr:colOff>
      <xdr:row>244</xdr:row>
      <xdr:rowOff>140493</xdr:rowOff>
    </xdr:to>
    <xdr:sp macro="" textlink="">
      <xdr:nvSpPr>
        <xdr:cNvPr id="116" name="Oval 115">
          <a:extLst>
            <a:ext uri="{FF2B5EF4-FFF2-40B4-BE49-F238E27FC236}">
              <a16:creationId xmlns:a16="http://schemas.microsoft.com/office/drawing/2014/main" id="{00000000-0008-0000-0400-000074000000}"/>
            </a:ext>
          </a:extLst>
        </xdr:cNvPr>
        <xdr:cNvSpPr/>
      </xdr:nvSpPr>
      <xdr:spPr>
        <a:xfrm>
          <a:off x="4669269" y="45503305"/>
          <a:ext cx="203960" cy="202407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220266</xdr:colOff>
      <xdr:row>244</xdr:row>
      <xdr:rowOff>71437</xdr:rowOff>
    </xdr:from>
    <xdr:to>
      <xdr:col>6</xdr:col>
      <xdr:colOff>535782</xdr:colOff>
      <xdr:row>245</xdr:row>
      <xdr:rowOff>172641</xdr:rowOff>
    </xdr:to>
    <xdr:cxnSp macro="">
      <xdr:nvCxnSpPr>
        <xdr:cNvPr id="76" name="Straight Arrow Connector 75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CxnSpPr/>
      </xdr:nvCxnSpPr>
      <xdr:spPr>
        <a:xfrm flipV="1">
          <a:off x="4036219" y="45636656"/>
          <a:ext cx="315516" cy="27979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541734</xdr:colOff>
      <xdr:row>244</xdr:row>
      <xdr:rowOff>128587</xdr:rowOff>
    </xdr:from>
    <xdr:to>
      <xdr:col>7</xdr:col>
      <xdr:colOff>170259</xdr:colOff>
      <xdr:row>246</xdr:row>
      <xdr:rowOff>119063</xdr:rowOff>
    </xdr:to>
    <xdr:cxnSp macro="">
      <xdr:nvCxnSpPr>
        <xdr:cNvPr id="117" name="Straight Arrow Connector 116">
          <a:extLst>
            <a:ext uri="{FF2B5EF4-FFF2-40B4-BE49-F238E27FC236}">
              <a16:creationId xmlns:a16="http://schemas.microsoft.com/office/drawing/2014/main" id="{00000000-0008-0000-0400-000075000000}"/>
            </a:ext>
          </a:extLst>
        </xdr:cNvPr>
        <xdr:cNvCxnSpPr/>
      </xdr:nvCxnSpPr>
      <xdr:spPr>
        <a:xfrm flipV="1">
          <a:off x="4357687" y="45693806"/>
          <a:ext cx="360760" cy="34766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702468</xdr:colOff>
      <xdr:row>245</xdr:row>
      <xdr:rowOff>154780</xdr:rowOff>
    </xdr:from>
    <xdr:ext cx="269304" cy="248466"/>
    <xdr:sp macro="" textlink="">
      <xdr:nvSpPr>
        <xdr:cNvPr id="118" name="TextBox 117">
          <a:extLst>
            <a:ext uri="{FF2B5EF4-FFF2-40B4-BE49-F238E27FC236}">
              <a16:creationId xmlns:a16="http://schemas.microsoft.com/office/drawing/2014/main" id="{00000000-0008-0000-0400-000076000000}"/>
            </a:ext>
          </a:extLst>
        </xdr:cNvPr>
        <xdr:cNvSpPr txBox="1"/>
      </xdr:nvSpPr>
      <xdr:spPr>
        <a:xfrm>
          <a:off x="3786187" y="45898593"/>
          <a:ext cx="269304" cy="248466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aseline="0"/>
            <a:t>A</a:t>
          </a:r>
          <a:endParaRPr lang="en-US" sz="1100"/>
        </a:p>
      </xdr:txBody>
    </xdr:sp>
    <xdr:clientData/>
  </xdr:oneCellAnchor>
  <xdr:oneCellAnchor>
    <xdr:from>
      <xdr:col>6</xdr:col>
      <xdr:colOff>301228</xdr:colOff>
      <xdr:row>246</xdr:row>
      <xdr:rowOff>110728</xdr:rowOff>
    </xdr:from>
    <xdr:ext cx="269304" cy="248466"/>
    <xdr:sp macro="" textlink="">
      <xdr:nvSpPr>
        <xdr:cNvPr id="119" name="TextBox 118">
          <a:extLst>
            <a:ext uri="{FF2B5EF4-FFF2-40B4-BE49-F238E27FC236}">
              <a16:creationId xmlns:a16="http://schemas.microsoft.com/office/drawing/2014/main" id="{00000000-0008-0000-0400-000077000000}"/>
            </a:ext>
          </a:extLst>
        </xdr:cNvPr>
        <xdr:cNvSpPr txBox="1"/>
      </xdr:nvSpPr>
      <xdr:spPr>
        <a:xfrm>
          <a:off x="4117181" y="46033134"/>
          <a:ext cx="269304" cy="248466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aseline="0"/>
            <a:t>B</a:t>
          </a:r>
          <a:endParaRPr lang="en-US" sz="1100"/>
        </a:p>
      </xdr:txBody>
    </xdr:sp>
    <xdr:clientData/>
  </xdr:oneCellAnchor>
  <xdr:twoCellAnchor>
    <xdr:from>
      <xdr:col>7</xdr:col>
      <xdr:colOff>198783</xdr:colOff>
      <xdr:row>220</xdr:row>
      <xdr:rowOff>157370</xdr:rowOff>
    </xdr:from>
    <xdr:to>
      <xdr:col>7</xdr:col>
      <xdr:colOff>335911</xdr:colOff>
      <xdr:row>226</xdr:row>
      <xdr:rowOff>108955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21" name="Ink 120">
              <a:extLst>
                <a:ext uri="{FF2B5EF4-FFF2-40B4-BE49-F238E27FC236}">
                  <a16:creationId xmlns:a16="http://schemas.microsoft.com/office/drawing/2014/main" id="{3AAC3799-AE85-B6C8-0AE0-DF517775BD2E}"/>
                </a:ext>
              </a:extLst>
            </xdr14:cNvPr>
            <xdr14:cNvContentPartPr/>
          </xdr14:nvContentPartPr>
          <xdr14:nvPr macro=""/>
          <xdr14:xfrm>
            <a:off x="4770783" y="42531196"/>
            <a:ext cx="137128" cy="862672"/>
          </xdr14:xfrm>
        </xdr:contentPart>
      </mc:Choice>
      <mc:Fallback xmlns="">
        <xdr:pic>
          <xdr:nvPicPr>
            <xdr:cNvPr id="121" name="Ink 120">
              <a:extLst>
                <a:ext uri="{FF2B5EF4-FFF2-40B4-BE49-F238E27FC236}">
                  <a16:creationId xmlns:a16="http://schemas.microsoft.com/office/drawing/2014/main" xmlns:xdr14="http://schemas.microsoft.com/office/excel/2010/spreadsheetDrawing" xmlns:r="http://schemas.openxmlformats.org/officeDocument/2006/relationships" xmlns="" id="{3AAC3799-AE85-B6C8-0AE0-DF517775BD2E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4762145" y="42523838"/>
              <a:ext cx="154404" cy="87554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301625</xdr:colOff>
      <xdr:row>237</xdr:row>
      <xdr:rowOff>111125</xdr:rowOff>
    </xdr:from>
    <xdr:to>
      <xdr:col>16</xdr:col>
      <xdr:colOff>143204</xdr:colOff>
      <xdr:row>254</xdr:row>
      <xdr:rowOff>74426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00000000-0008-0000-0400-00007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8169275" y="41697275"/>
          <a:ext cx="2241879" cy="3039876"/>
        </a:xfrm>
        <a:prstGeom prst="rect">
          <a:avLst/>
        </a:prstGeom>
      </xdr:spPr>
    </xdr:pic>
    <xdr:clientData/>
  </xdr:twoCellAnchor>
  <xdr:twoCellAnchor>
    <xdr:from>
      <xdr:col>7</xdr:col>
      <xdr:colOff>290920</xdr:colOff>
      <xdr:row>242</xdr:row>
      <xdr:rowOff>158968</xdr:rowOff>
    </xdr:from>
    <xdr:to>
      <xdr:col>7</xdr:col>
      <xdr:colOff>290920</xdr:colOff>
      <xdr:row>244</xdr:row>
      <xdr:rowOff>57863</xdr:rowOff>
    </xdr:to>
    <xdr:cxnSp macro="">
      <xdr:nvCxnSpPr>
        <xdr:cNvPr id="123" name="Straight Arrow Connector 122">
          <a:extLst>
            <a:ext uri="{FF2B5EF4-FFF2-40B4-BE49-F238E27FC236}">
              <a16:creationId xmlns:a16="http://schemas.microsoft.com/office/drawing/2014/main" id="{00000000-0008-0000-0400-00007B000000}"/>
            </a:ext>
          </a:extLst>
        </xdr:cNvPr>
        <xdr:cNvCxnSpPr/>
      </xdr:nvCxnSpPr>
      <xdr:spPr>
        <a:xfrm>
          <a:off x="4856351" y="46923434"/>
          <a:ext cx="0" cy="266757"/>
        </a:xfrm>
        <a:prstGeom prst="straightConnector1">
          <a:avLst/>
        </a:prstGeom>
        <a:ln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346345</xdr:colOff>
      <xdr:row>243</xdr:row>
      <xdr:rowOff>84017</xdr:rowOff>
    </xdr:from>
    <xdr:ext cx="289053" cy="16927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id="{ADDDBA0E-DB20-4D2D-B59C-BCF438731B1A}"/>
                </a:ext>
              </a:extLst>
            </xdr:cNvPr>
            <xdr:cNvSpPr txBox="1"/>
          </xdr:nvSpPr>
          <xdr:spPr>
            <a:xfrm>
              <a:off x="4911776" y="47032414"/>
              <a:ext cx="289053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𝑑𝑟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4" name="TextBox 123">
              <a:extLst>
                <a:ext uri="{FF2B5EF4-FFF2-40B4-BE49-F238E27FC236}">
                  <a16:creationId xmlns:a16="http://schemas.microsoft.com/office/drawing/2014/main" xmlns:a14="http://schemas.microsoft.com/office/drawing/2010/main" xmlns="" id="{ADDDBA0E-DB20-4D2D-B59C-BCF438731B1A}"/>
                </a:ext>
              </a:extLst>
            </xdr:cNvPr>
            <xdr:cNvSpPr txBox="1"/>
          </xdr:nvSpPr>
          <xdr:spPr>
            <a:xfrm>
              <a:off x="4911776" y="47032414"/>
              <a:ext cx="289053" cy="169277"/>
            </a:xfrm>
            <a:prstGeom prst="rect">
              <a:avLst/>
            </a:prstGeom>
            <a:solidFill>
              <a:sysClr val="window" lastClr="FFFFFF"/>
            </a:solidFill>
            <a:ln>
              <a:solidFill>
                <a:sysClr val="windowText" lastClr="00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419" sz="1100" b="0" i="0">
                  <a:latin typeface="Cambria Math" panose="02040503050406030204" pitchFamily="18" charset="0"/>
                </a:rPr>
                <a:t>𝐿_𝑑𝑟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50606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11844</xdr:colOff>
      <xdr:row>577</xdr:row>
      <xdr:rowOff>64772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273797</xdr:colOff>
      <xdr:row>563</xdr:row>
      <xdr:rowOff>106659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3.208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269 6 24575,'-50'-2'0,"30"0"0,2 1 0,-2 1 0,1 2 0,-32 6 0,47-7 0,1 1 0,-2 0 0,2 0 0,-1 1 0,1-1 0,0 2 0,-2-1 0,2 0 0,0 0 0,0 1 0,-3 3 0,5-5 0,1-1 0,-1 0 0,0 1 0,1-1 0,-1 0 0,1 0 0,-1 0 0,1 0 0,-1 1 0,1-1 0,0 0 0,-1 1 0,1-1 0,0 0 0,0 1 0,0-1 0,0 0 0,0 1 0,0 0 0,0 0 0,0-1 0,0 0 0,0 1 0,1-1 0,-1 0 0,0 1 0,1-1 0,-1 0 0,1 0 0,-1 0 0,1 1 0,-1-1 0,1 0 0,0 0 0,-1 0 0,1 0 0,0 0 0,0 0 0,0-1 0,-1 1 0,1 0 0,0 0 0,0-1 0,1 1 0,0 0 0,7 4 0,0-1 0,0 0 0,1-1 0,13 4 0,-14-5 0,-1 0 0,0 1 0,0-1 0,0 2 0,-1 0 0,16 10 0,-20-12 0,-2 0 0,0 0 0,1 0 0,-1 1 0,1-1 0,0 1 0,-1 0 0,1-1 0,-1 1 0,0-1 0,-1 1 0,1 0 0,0 0 0,0-1 0,-1 1 0,0 0 0,2 0 0,-2 0 0,0 0 0,0 0 0,0 0 0,0 0 0,0 1 0,-2-1 0,2-1 0,-1 1 0,1 0 0,-1 0 0,-1 4 0,1 0 0,-1 0 0,1 0 0,-2 1 0,1-1 0,-1-1 0,2 0 0,-3 1 0,1-1 0,0 0 0,-1 0 0,0 0 0,0-1 0,0 0 0,1 1 0,-2-1 0,0-1 0,0 1 0,0-1 0,0-1 0,1 2 0,-2-2 0,0-1 0,1 1 0,-2-1 0,-8 3 0,9-3 0,0 0 0,2 0 0,-1 0 0,0 1 0,0 0 0,1 0 0,-2 1 0,2 0 0,0 0 0,0 1 0,1-1 0,-2 1 0,-2 7 0,5-10 0,1-1 0,0 1 0,1 0 0,-1 0 0,0-1 0,1 1 0,-1 0 0,1 0 0,-1 0 0,1 0 0,0 0 0,-1 0 0,1 1 0,0-1 0,0 0 0,0 0 0,0 0 0,1 3 0,0-2 0,0-1 0,0 1 0,0-1 0,0 0 0,0 0 0,2 1 0,-2-1 0,0 0 0,1 0 0,-1-1 0,1 1 0,1 0 0,-2-1 0,1 1 0,0-1 0,0 0 0,3 3 0,16 8 0,-11-6 0,2 0 0,-1 1 0,0 1 0,10 10 0,-18-15 0,-1 1 0,2-1 0,-1 1 0,0 0 0,0 0 0,-1 0 0,0 0 0,0 1 0,1 0 0,-2 0 0,0 1 0,1-1 0,-1-1 0,0 1 0,2 10 0,-1 4 0,-1-1 0,0 1 0,-2 30 0,1-43 0,-1 1 0,0 0 0,0-1 0,-1 1 0,0-1 0,0 2 0,0-1 0,1-1 0,-2 0 0,0 0 0,1-1 0,-8 11 0,2-6 0,1 1 0,-1 0 0,-10 27 0,17-36 0,0 1 0,0-1 0,0 0 0,0 1 0,0-1 0,0 1 0,1-1 0,-1 1 0,1-1 0,0 2 0,-1-1 0,1-1 0,0 1 0,0 0 0,0-1 0,0 1 0,1 0 0,-1-1 0,1 1 0,-1 0 0,1-1 0,-1 1 0,1-1 0,0 0 0,0 1 0,0-1 0,0 0 0,3 5 0,5 3 0,0-2 0,0 0 0,0-1 0,1 0 0,0 0 0,0-1 0,20 7 0,-17-7 0,-1 0 0,2 1 0,-3 1 0,17 13 0,-27-20 0,1 0 0,-1 0 0,0 0 0,2 1 0,-2-1 0,0 0 0,0 1 0,1 0 0,-1-1 0,0 1 0,1 0 0,-1-1 0,0 1 0,-1 0 0,1 0 0,0 0 0,-1 1 0,1-1 0,-1 0 0,1 0 0,-1 1 0,0-1 0,1 0 0,-1 0 0,0 0 0,0 0 0,0 1 0,-1-1 0,1 0 0,0 0 0,-1 0 0,1 0 0,-1 0 0,1 0 0,-1 0 0,0 0 0,1 0 0,-1 0 0,0 2 0,-1-2 0,1-1 0,0 1 0,0-1 0,-3 3 0,-1 2 0,1-1 0,-2-1 0,1 1 0,-1-1 0,0 0 0,1-1 0,-1 0 0,1 1 0,-2-1 0,0-1 0,-8 3 0,-1-3 0,3 0 0,-3 2 0,3 0 0,-2 1 0,-19 11 0,31-12 0,0-3 0,0 1 0,0 0 0,0 1 0,0-1 0,1 1 0,-2-1 0,2 1 0,0 0 0,0 0 0,0 0 0,0 1 0,0-1 0,0 0 0,1 1 0,-2 0 0,2 0 0,0 0 0,0 0 0,0 0 0,0 0 0,0 0 0,1 0 0,-1 0 0,1 0 0,0 1 0,0-1 0,0 1 0,0 0 0,1 3 0,-1-5 0,1-1 0,-1 1 0,1-1 0,0 0 0,-1 0 0,1 1 0,0-1 0,0 0 0,0 0 0,1 0 0,-1 0 0,0 0 0,1 0 0,-1-1 0,0 1 0,1-1 0,-1 2 0,1-2 0,2 3 0,40 13 0,-39-16 0,0 1 0,1-1 0,-1 1 0,0 1 0,1-1 0,0 1 0,-2 0 0,8 9 0,-3-1 0,-1 1 0,0 0 0,0 2 0,-1-1 0,-1 1 0,0 0 0,6 19 0,-12-32 0,1 1 0,-1 0 0,1 0 0,-1 0 0,0 0 0,0 0 0,0-1 0,0 2 0,0-1 0,0 0 0,0 0 0,0 0 0,-1 0 0,1 0 0,0-1 0,-1 1 0,1 0 0,-1 0 0,0-1 0,1 1 0,-1 0 0,-1-1 0,1 1 0,0-1 0,0 1 0,0-1 0,0 0 0,0 0 0,0 1 0,-4 0 0,-3 7 0,-2-2 0,1 0 0,-17 7 0,-1 1 0,22-13 0,2 1 0,-1 1 0,1 0 0,0-1 0,-1 1 0,0 0 0,2 0 0,-1 0 0,-1 0 0,2 0 0,-1 2 0,1-1 0,-3 8 0,5-11 0,0-1 0,-1 1 0,1 0 0,0 0 0,0-1 0,-1 1 0,1 0 0,0 0 0,0 0 0,1-1 0,-1 1 0,0 0 0,0 0 0,1-1 0,-1 1 0,1 0 0,0 2 0,1-1 0,-1 0 0,0 0 0,1-1 0,0 0 0,-1 0 0,1 0 0,1 0 0,-1-1 0,0 1 0,0 0 0,1-1 0,-1 0 0,0 0 0,2 1 0,56 14 0,0-1 0,-57-14 0,2 1 0,-2-1 0,0 1 0,1 0 0,-1 0 0,0 1 0,1-1 0,-2 1 0,1 0 0,0-1 0,0 2 0,5 5 0,-7-6 0,0-1 0,1 1 0,-1-1 0,0 1 0,0-1 0,1 1 0,-1-1 0,-1 1 0,0-1 0,1 1 0,-1 0 0,1-1 0,-1 1 0,0 1 0,0-1 0,0-1 0,0 1 0,0 0 0,0 1 0,0-2 0,-1 1 0,1 0 0,-1 0 0,1-1 0,0 1 0,-4 3 0,3-3 0,-1 0 0,0-1 0,0 1 0,-1-1 0,1 1 0,-1-1 0,1 0 0,-1 0 0,0 0 0,1 0 0,-1 0 0,1-1 0,-1 1 0,0-1 0,0 0 0,0-1 0,0 1 0,-1-1 0,-1 1 0,-27-2 0,-29 3 0,59-2 0,0 1 0,-2-1 0,2 1 0,0 0 0,0 0 0,-2 0 0,2 0 0,0 0 0,0 1 0,0-1 0,0 1 0,0 0 0,0-1 0,0 1 0,-1 1 0,2 0 0,-1-1 0,1 0 0,-4 4 0,4 0 0,0-1 0,0-1 0,0 1 0,0 0 0,1 0 0,-1 0 0,1 0 0,0-1 0,0 1 0,0 1 0,1-1 0,0 6 0,0-8 0,-1 1 0,1-1 0,-1 1 0,1 0 0,0-1 0,1 0 0,-1 0 0,0 1 0,0-1 0,1 0 0,-1 0 0,1 0 0,0-1 0,0 1 0,0-1 0,0 0 0,0 1 0,2 1 0,7 0 0,0-1 0,-2 0 0,2-1 0,0 0 0,1-1 0,-1-1 0,-1 0 0,1-1 0,16-3 0,43 1 0,-69 2 0,1 1 0,-1 0 0,0 0 0,2 1 0,-2-1 0,0 0 0,0 1 0,0-1 0,2 1 0,-2-1 0,1 1 0,-1 0 0,0 0 0,0 0 0,1 0 0,0 0 0,-1 0 0,0 0 0,0 2 0,0-2 0,0 0 0,0 1 0,0-1 0,0 1 0,-1-1 0,2 1 0,-1 0 0,-1-1 0,1 1 0,-1 0 0,1 0 0,-1 0 0,0-1 0,0 1 0,0 0 0,0 1 0,0-1 0,0 0 0,0 3 0,0-2 0,-1 0 0,1 1 0,-1-1 0,0 1 0,-1-1 0,1 0 0,0-1 0,0 1 0,-1 0 0,1 0 0,-1-1 0,0 1 0,0-1 0,0 1 0,0-1 0,0 0 0,-1 0 0,1 0 0,1-1 0,-1 1 0,-2-1 0,-1 3 0,-27 7 0,1-3 0,0 0 0,-1-3 0,-1-1 0,1-3 0,-33-2 0,60 1 0,-2 0 0,0 1 0,2 0 0,-1 0 0,-7 3 0,12-4 0,-2 1 0,2-1 0,0 2 0,0-2 0,0 1 0,-1 0 0,1 0 0,0 0 0,0 0 0,0 0 0,0 0 0,0 0 0,0 0 0,0 0 0,0 1 0,0-1 0,1 0 0,-1 1 0,-1-1 0,2 1 0,-1 0 0,0-1 0,1 1 0,0-1 0,-1 1 0,1 0 0,-1 2 0,2-3 0,-1 0 0,0 1 0,0-1 0,1 0 0,-1 0 0,0 0 0,1 0 0,-1 0 0,1 0 0,-1 0 0,2 0 0,-2 0 0,1 1 0,0-1 0,-1 0 0,1-1 0,0 1 0,0 0 0,-1-1 0,1 1 0,0 0 0,0-1 0,0 1 0,0-1 0,-1 0 0,3 1 0,30 9 0,-24-8 0,18 4 0,40 1 0,-41-5 0,39 8 0,-62-9-31,-1 1 0,0 0 0,0-1 0,2 0 0,-2 1 0,0 0 0,0 0 0,1 0 0,-1 0 0,0 0 0,0 0 0,1 1 0,-2-1 0,0 1 0,0 0 0,1-1 0,-1 1 0,0 0 0,2 0 0,-2 0 0,0 0 0,-1 1 0,1 0 0,0-1-1,-1 0 1,1 1 0,-1-1 0,0 1 0,0 0 0,0-1 0,0 0 0,0 1 0,-1-1 0,1 0 0,-1 0 0,0 2 0,1-2 0,-1 0 0,0 0 0,-2 0 0,2 0 0,0 0 0,-3 3 0,-4 5-6795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17.828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0 717 24575,'8'-2'0,"-1"0"0,1 0 0,-1-1 0,0 0 0,0-1 0,0-1 0,-1 1 0,1-1 0,7-6 0,10-6 0,291-171 0,-272 165 0,-8 5 0,1-3 0,52-41 0,-68 47 0,-1 2 0,22-12 0,14-8 0,-19 12 0,45-23 0,-54 29 0,44-33 0,-19 11 0,-52 38 0,1-1 0,0 1 0,0-1 0,-1 1 0,1-1 0,0 1 0,-1 0 0,1-1 0,-1 1 0,2 0 0,-2-1 0,1 1 0,-1 0 0,1 0 0,-1 0 0,1 0 0,-1 0 0,0 0 0,1 0 0,-1 0 0,0 0 0,0 0 0,0 0 0,1 0 0,-1 0 0,0 0 0,0 0 0,0 2 0,5 41 0,-4-39 0,3 21 0,-5-37 0,-6-44 0,-10 7 0,15 42 0,0-2 0,-1 3 0,1-1 0,1 0 0,-1 0 0,0-9 0,2 13 0,0 1 0,0 0 0,0 0 0,0-2 0,0 2 0,1 0 0,-1 0 0,0-1 0,1 1 0,-1 0 0,0 0 0,1 0 0,-1 0 0,1 0 0,0 0 0,-1 0 0,0 0 0,1 0 0,-1 0 0,1 1 0,0-1 0,1 0 0,-2 0 0,1 1 0,0-1 0,0 1 0,0-1 0,0 1 0,0-1 0,0 1 0,0 0 0,0 0 0,0 0 0,0-1 0,0 1 0,2 1 0,42-2 0,-36 2 0,5-1 0,-10 0 0,0 0 0,1 0 0,-1 0 0,0 1 0,0 0 0,0 0 0,0 0 0,7 3 0,-11-3 0,1-1 0,0 1 0,-1-1 0,1 1 0,-1-1 0,1 1 0,-1 0 0,1 0 0,-1-1 0,1 1 0,-1 0 0,0 0 0,1 0 0,-1-1 0,0 1 0,0 0 0,1 0 0,-1 0 0,0 1 0,0 0 0,0 1 0,0 0 0,0 0 0,0 0 0,-1 0 0,1 0 0,-1 0 0,0 0 0,1 0 0,-3 4 0,-5 14 0,-1-1 0,0-2 0,-1 1 0,0-1 0,-13 16 0,23-33 0,-1 0 0,1 0 0,-1 0 0,1-1 0,-1 1 0,1 0 0,-1 0 0,1-1 0,-1 1 0,-1-1 0,2 1 0,0-1 0,-1 1 0,0-1 0,1 1 0,-1-1 0,0 0 0,1 1 0,-1-1 0,0 0 0,0 0 0,0 0 0,1 0 0,-1 0 0,0 0 0,0 0 0,1 0 0,-1 0 0,-1 0 0,0-1 0,1 0 0,1 0 0,-1 0 0,0-1 0,0 1 0,1 0 0,-1-1 0,0 1 0,1 0 0,-1-1 0,1 1 0,-1-1 0,1 1 0,-1-1 0,1 0 0,0 1 0,0-4 0,-1 2 0,1-1 0,-2 1 0,2 0 0,0 0 0,0 0 0,0 0 0,2 0 0,-2 0 0,0 0 0,1 0 0,-1 0 0,1 0 0,0 0 0,0 1 0,0-1 0,0 0 0,0 1 0,0-2 0,1 2 0,-1-1 0,3-1 0,4 0 0,3-1 0,-16 5 0,-17 9 0,9-5 0,22-21 0,-8 17 0,0-1 0,0-1 0,0 1 0,0 0 0,0 0 0,0 0 0,0-1 0,0 1 0,1-1 0,-2 1 0,1-1 0,0 1 0,-1-1 0,1 0 0,-1 1 0,1-1 0,-1-2 0,1 3 0,-1-1 0,0 0 0,0 0 0,0 0 0,0 1 0,0-1 0,0 0 0,0 0 0,0 1 0,-1-1 0,0-3 0,0 3 0,-1 0 0,-1 0 0,2 1 0,-1-1 0,0 1 0,0-1 0,0 1 0,0 0 0,-1 0 0,2 0 0,-1 0 0,-1 0 0,1 1 0,0-1 0,-1 1 0,1 0 0,-5 0 0,6 0 0,3 0 0,13 1 0,-12 0 0,0-1 0,-2 1 0,3-1 0,-1 1 0,-1 0 0,1 1 0,1-1 0,-2 1 0,1-1 0,-1 1 0,3 3 0,-2-2-136,-1 0-1,1 0 1,0 0-1,0 0 1,1-1-1,-1 1 1,0-1-1,0 0 0,4 4 1,3-3-6690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1.75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84 23849,'2654'-84'0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38.91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89 24575,'0'0'0,"0"5"0,4 9 0,1 12 0,-1 6 0,-2 2 0,0-2 0,0 1 0,-1-4 0,-1 0 0,0-2 0,0-1 0,0-1 0,-1-3-8191</inkml:trace>
  <inkml:trace contextRef="#ctx0" brushRef="#br0" timeOffset="2236.39">31 207 24575,'5'-5'0,"1"-1"0,-2 1 0,2 1 0,0 0 0,0-1 0,1 2 0,-3-1 0,4 2 0,-2-2 0,1 2 0,-1-1 0,12 1 0,13-2 0,45 4 0,-37 0 0,1271-1 0,-605 4 0,-492 11 0,-18-1 0,71 6 0,-174-11 0,118-8 0,-83-3 0,227 3-1365,-337 0-5461</inkml:trace>
  <inkml:trace contextRef="#ctx0" brushRef="#br0" timeOffset="3263.27">3777 1 24575,'-10'57'0,"2"-10"0,5 150-1,4-119-1363,-1-63-5462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7:50.40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0 124 24194,'5648'0'0,"-5837"-123"0,378 246 0,-378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9.350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0 0 23915,'0'2782'0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4:22.459"/>
    </inkml:context>
    <inkml:brush xml:id="br0">
      <inkml:brushProperty name="width" value="0.15875" units="cm"/>
      <inkml:brushProperty name="height" value="0.15875" units="cm"/>
      <inkml:brushProperty name="color" value="#E71224"/>
    </inkml:brush>
  </inkml:definitions>
  <inkml:trace contextRef="#ctx0" brushRef="#br0">464 0 24434,'-464'1167'0,"634"-1327"0,-340 320 0,175-437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23:17.618"/>
    </inkml:context>
    <inkml:brush xml:id="br0">
      <inkml:brushProperty name="width" value="0.15875" units="cm"/>
      <inkml:brushProperty name="height" value="0.15875" units="cm"/>
    </inkml:brush>
  </inkml:definitions>
  <inkml:trace contextRef="#ctx0" brushRef="#br0">65 56 24575,'1'1'0,"-1"0"0,1-1 0,-1 1 0,0 0 0,1-1 0,-1 1 0,1 0 0,0-1 0,-1 1 0,1 0 0,0-1 0,-1 1 0,1-1 0,-1 0 0,0 1 0,1-1 0,0 1 0,0-1 0,-1 0 0,1 0 0,0 0 0,0 1 0,0-1 0,-1 0 0,1 0 0,0 0 0,0 0 0,0 0 0,0 0 0,-1-1 0,1 1 0,1 0 0,-1 0 0,0 0 0,1-2 0,38-7 0,-35 7 0,-4 2 0,5-1 0,1 0 0,0-1 0,-2-1 0,1 1 0,0 0 0,0-1 0,0 0 0,-1 0 0,1 0 0,-1-1 0,0-1 0,0 1 0,0 0 0,7-8 0,-14 11 0,0 1 0,0 0 0,0 0 0,0 0 0,1 0 0,-1 0 0,1 0 0,-1 0 0,0 1 0,0-1 0,1 1 0,-4 1 0,-33 13 0,1 3 0,0 2 0,-52 36 0,86-48 0,13-2 0,26 2 0,-9-2 0,-18 1 0,2-1 0,-2 1 0,-1 1 0,1 0 0,0 0 0,-2 0 0,0 1 0,12 15 0,0 2 0,3 3-1365,-13-19-5461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37.67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1 117 24575,'7'-1'0,"0"-1"0,0 0 0,0 1 0,0-2 0,0 0 0,0 0 0,0 0 0,6-4 0,7-4 0,-10 6 0,-1 0 0,0-1 0,-1 0 0,12-11 0,-12 10 0,-1 2 0,1-2 0,1 2 0,16-10 0,-22 15 0,0-1 0,-1 0 0,1 1 0,0 0 0,0-1 0,-1 1 0,1 0 0,0 0 0,0 1 0,-1-1 0,1 1 0,0-1 0,-1 1 0,1 0 0,4 2 0,43 20 0,-29-12 0,17 7-1365,-23-10-5461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12:19:42.57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24575,'3'1'0,"0"1"0,1-1 0,-1 1 0,0 0 0,-1 0 0,2-1 0,-1 1 0,-1 1 0,1-1 0,-1 1 0,3 3 0,4 2 0,17 15 0,-11-8 0,2-2 0,-1 0 0,1 0 0,25 14 0,-37-26 0,-2 1 0,1 0 0,-1 0 0,1-1 0,0 0 0,0 1 0,0-1 0,0 0 0,0-1 0,0 1 0,1-1 0,-1 0 0,0 0 0,0 0 0,0 0 0,0-1 0,0 0 0,0 1 0,0-2 0,0 1 0,1 0 0,-2-1 0,1 1 0,0-1 0,-1 0 0,1 0 0,-1 0 0,5-5 0,37-37 0,-42 42 0,0-1 0,-1 1 0,0-1 0,-1 1 0,1 0 0,-1-1 0,1 0 0,-1 0 0,0 0 0,0 0 0,0 0 0,0 1 0,0-1 0,-1 0 0,0-1 0,1-5 0,-1 9 0,-1 0 0,1 0 0,0-1 0,0 1 0,-1-1 0,1 1 0,0-1 0,-1 1 0,1 0 0,0-1 0,-1 1 0,1-1 0,-1 1 0,1 0 0,0-1 0,-1 1 0,1 0 0,-1 0 0,1-1 0,-1 1 0,1 0 0,-1 0 0,1 0 0,-1 0 0,0 0 0,1 0 0,-1 0 0,1 0 0,-1 0 0,1 0 0,-1 0 0,1 0 0,-1 0 0,1 0 0,-1 0 0,1 0 0,-1 1 0,1-1 0,-1 0 0,1 0 0,-2 1 0,2-1 0,-1 0 0,1 0 0,0 1 0,-1-1 0,0 1 0,-21 16 0,-27 48 111,38-50-603,1 0 0,-23 24 0,21-28-6334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25T20:48:04.228"/>
    </inkml:context>
    <inkml:brush xml:id="br0">
      <inkml:brushProperty name="width" value="0.035" units="cm"/>
      <inkml:brushProperty name="height" value="0.035" units="cm"/>
      <inkml:brushProperty name="color" value="#4624D6"/>
    </inkml:brush>
  </inkml:definitions>
  <inkml:trace contextRef="#ctx0" brushRef="#br0">267 7 24575,'-51'-3'0,"32"1"0,1 1 0,-1 1 0,-1 2 0,-29 7 0,44-8 0,2 2 0,-2-1 0,2 0 0,0 2 0,-1-2 0,1 2 0,-1 0 0,0-1 0,1 0 0,2 2 0,-6 3 0,6-7 0,1 0 0,-1 0 0,0 2 0,1-2 0,-2 0 0,2 0 0,-1 0 0,1 0 0,-1 1 0,1 0 0,0-1 0,-1 1 0,1-1 0,0 0 0,0 1 0,0 0 0,0-1 0,0 1 0,0-1 0,0 1 0,0 1 0,0-2 0,0 1 0,1-1 0,-1 0 0,0 1 0,1 0 0,-1-1 0,1 0 0,-1 0 0,2 1 0,-2-1 0,1 0 0,0 1 0,-1-1 0,1 0 0,0 0 0,0 0 0,0-1 0,-1 1 0,1 0 0,0 1 0,1-2 0,-1 1 0,0 0 0,8 4 0,1 0 0,-2-1 0,2 0 0,13 3 0,-15-4 0,1-1 0,-2 2 0,2-2 0,-1 2 0,-2 1 0,17 10 0,-21-13 0,0 0 0,-1 0 0,2 1 0,-2 0 0,1-1 0,-1 0 0,0 2 0,1-2 0,0 3 0,-1-3 0,-1 1 0,0 1 0,1-1 0,0-1 0,-1 2 0,0-1 0,1 0 0,-1 1 0,0-1 0,0 1 0,0-1 0,0 0 0,0 1 0,-1-1 0,1-1 0,-1 3 0,1-2 0,-1 1 0,0 2 0,-1 2 0,0 0 0,1 0 0,-1 0 0,0 0 0,-2 0 0,2-2 0,-1 2 0,0-1 0,0 0 0,0-1 0,-2 0 0,2 0 0,-2 1 0,2-2 0,-1 1 0,-2-2 0,2 2 0,-2-1 0,3-2 0,-3 2 0,0-2 0,1-1 0,0 2 0,-1-2 0,-10 4 0,10-3 0,1-1 0,0 0 0,1 1 0,-2 0 0,2 0 0,-1 1 0,1 0 0,-1 1 0,1-1 0,-1 1 0,2-1 0,-1 2 0,-3 7 0,6-10 0,-1-2 0,1 1 0,1 0 0,-1 1 0,0-2 0,1 1 0,-1 0 0,1 1 0,-1-1 0,1 0 0,0 0 0,-1 1 0,1-1 0,0 0 0,0 0 0,0 1 0,0-1 0,1 4 0,0-3 0,0-1 0,0 3 0,0-3 0,0 0 0,1 0 0,0 2 0,-1-2 0,0 0 0,1 1 0,-1-2 0,1 1 0,0 0 0,-1-1 0,1 2 0,0-2 0,1 0 0,2 2 0,15 10 0,-10-7 0,3 2 0,-3 0 0,1 1 0,10 10 0,-17-15 0,-2 0 0,0 0 0,2 1 0,-1 0 0,-1-1 0,0 1 0,1-1 0,-1 2 0,0-2 0,0 2 0,-2 0 0,3-1 0,-2 0 0,0 2 0,1 10 0,0 3 0,-1 1 0,1 0 0,-4 33 0,2-48 0,-1 2 0,0 0 0,0-1 0,0 2 0,-1-2 0,-1 1 0,2-2 0,-1 1 0,0 0 0,-2 0 0,2-2 0,-8 13 0,3-6 0,0 0 0,-1 1 0,-10 28 0,17-39 0,0 2 0,0-2 0,-1 0 0,2 2 0,-1-2 0,0 1 0,1 1 0,-1-1 0,1-1 0,0 2 0,-1-1 0,1-1 0,0 2 0,0-1 0,0-1 0,0 2 0,1-1 0,-1-1 0,1 2 0,-1-1 0,1 0 0,-1 0 0,1-1 0,-1 0 0,2 2 0,-1-1 0,0-1 0,3 5 0,5 3 0,-1-1 0,1 0 0,0-1 0,1 0 0,1 0 0,-2-1 0,21 7 0,-17-7 0,0 0 0,-1 1 0,0 1 0,16 13 0,-27-20 0,1-1 0,-1 0 0,0 0 0,1 1 0,0-1 0,-1 0 0,0 2 0,0-1 0,0-1 0,0 1 0,0 1 0,1-2 0,-1 1 0,-1 0 0,1 1 0,0-1 0,-1 1 0,1-1 0,-1 1 0,1-1 0,-1 1 0,0 0 0,1-1 0,-1 0 0,0 0 0,0 1 0,0 0 0,-1-1 0,1 0 0,0 1 0,-1-1 0,1 0 0,-1 1 0,1-1 0,-1 0 0,0 0 0,1 1 0,-1-1 0,-1 0 0,1 0 0,0 0 0,0 1 0,1-2 0,-5 3 0,1 3 0,-2-1 0,1-2 0,0 2 0,0-1 0,-1-1 0,1-1 0,-1 1 0,0-1 0,0 1 0,0-1 0,-11 3 0,3-4 0,0 0 0,-1 3 0,1-1 0,1 2 0,-22 12 0,32-16 0,0-1 0,0 1 0,1 1 0,-2 0 0,1 0 0,1 1 0,-2-2 0,2 1 0,1 1 0,-1-1 0,0 1 0,-1 0 0,1-1 0,0 1 0,1 0 0,-1 1 0,0-2 0,1 2 0,0-1 0,0 2 0,0-2 0,0 1 0,1-1 0,0 1 0,0-1 0,0 2 0,0-1 0,0-1 0,0 1 0,0 4 0,0-5 0,1-2 0,-1 2 0,1-2 0,0 0 0,-1 1 0,1 0 0,0-1 0,1 0 0,-1 1 0,0-1 0,0 0 0,0 1 0,1-1 0,-1-1 0,0 1 0,2-1 0,-2 2 0,1-2 0,1 3 0,40 16 0,-37-18 0,-1 0 0,2-1 0,-4 1 0,3 2 0,-1-2 0,1 1 0,-1 1 0,7 7 0,-4 1 0,1 3 0,-2-2 0,0 2 0,1 1 0,-1 0 0,-3-2 0,9 24 0,-13-37 0,1 1 0,-1 0 0,1 0 0,-1 1 0,0-1 0,0 0 0,0-1 0,0 2 0,0-1 0,0 0 0,0 0 0,0 1 0,-1-1 0,1 0 0,0-1 0,-1 2 0,1-1 0,-2 0 0,1-1 0,1 2 0,-1 0 0,0-2 0,0 1 0,0-1 0,0 2 0,0-2 0,0 0 0,-1 0 0,1 1 0,-2 0 0,-6 8 0,-1-4 0,2 2 0,-19 9 0,0 0 0,24-15 0,0 2 0,-2-1 0,2 2 0,-1-2 0,0 1 0,2 1 0,-1-1 0,0 1 0,0 1 0,0-2 0,0 2 0,1-1 0,-3 9 0,5-12 0,0-1 0,-1 2 0,1-1 0,0 0 0,0-1 0,-1 1 0,1 1 0,0-1 0,0 0 0,1-1 0,-1 3 0,0-2 0,0 0 0,1-1 0,-1 2 0,0-1 0,2 2 0,0 0 0,-1-2 0,0 1 0,1 0 0,0-1 0,0 0 0,0 0 0,0 1 0,0-2 0,0 1 0,0 0 0,0-1 0,0 1 0,0-1 0,3 1 0,53 16 0,3-2 0,-58-15 0,1 1 0,0-1 0,-1 2 0,0-1 0,0 0 0,0 1 0,0 0 0,1 0 0,-1 1 0,-1-2 0,2 2 0,3 7 0,-6-7 0,0-2 0,1 0 0,-1 1 0,0 0 0,0-1 0,0 2 0,1-2 0,-2 1 0,1 0 0,0 0 0,-1 0 0,1 0 0,-1 0 0,0 0 0,0 2 0,0-3 0,0 1 0,0 1 0,0-1 0,0-1 0,-1 2 0,1-1 0,-1 1 0,0-2 0,1 1 0,-4 4 0,3-4 0,-1 1 0,0-2 0,-1 2 0,1-2 0,1 2 0,-2-2 0,0 1 0,1-1 0,-1 0 0,1-1 0,-2 2 0,2-2 0,0 1 0,-2-1 0,2 0 0,-1-1 0,-1 1 0,1-1 0,-3 2 0,-25-4 0,-29 5 0,57-3 0,1 1 0,-1-1 0,1 1 0,-1 0 0,1 0 0,0 0 0,0 0 0,-1 1 0,1 0 0,0-1 0,0 1 0,-1 0 0,1 0 0,0 0 0,0 1 0,2 0 0,-3-1 0,2 0 0,-3 6 0,3-3 0,0 1 0,-1-1 0,1 0 0,0 1 0,1 0 0,-1-1 0,1 1 0,0-2 0,0 3 0,0-1 0,1-1 0,0 8 0,0-10 0,-1 2 0,2-2 0,-2 0 0,1 2 0,0-2 0,0 1 0,0-1 0,0 2 0,0-2 0,1 0 0,0 1 0,-1-1 0,0-1 0,1 2 0,0-2 0,1 0 0,-1 2 0,2 0 0,6 1 0,2-2 0,-3 1 0,2-2 0,-1 0 0,2-1 0,-2-1 0,1 0 0,0-1 0,15-3 0,44 0 0,-69 3 0,1 1 0,-1 0 0,0 0 0,1 1 0,-1-1 0,1 0 0,-1 1 0,0-1 0,1 1 0,0-1 0,0 2 0,-1-1 0,0 0 0,0 0 0,1 0 0,-1 0 0,1 0 0,-1 0 0,0 3 0,-1-3 0,1 0 0,0 1 0,0-1 0,0 2 0,-1-2 0,1 1 0,1 0 0,-2-1 0,1 2 0,-1-1 0,1 0 0,-1 0 0,0 0 0,1 0 0,-1 0 0,0 0 0,0 1 0,0-1 0,0 4 0,-1-3 0,0 0 0,1 1 0,-1 0 0,-1 1 0,1-2 0,0 0 0,0 0 0,0 0 0,0 0 0,0 1 0,-2-2 0,2 1 0,-1 0 0,0 0 0,0-1 0,-1 1 0,1-1 0,0 0 0,0-1 0,1 2 0,-3-2 0,-1 2 0,-27 10 0,2-3 0,-1-3 0,-1-1 0,0-1 0,0-4 0,-33-2 0,60 1 0,-2 0 0,1 1 0,1 0 0,-2 0 0,-5 4 0,11-5 0,-1 1 0,0-1 0,1 1 0,0-1 0,0 1 0,-1 0 0,1 0 0,0 0 0,-1 0 0,1 2 0,0-2 0,1 0 0,-1 0 0,0 0 0,0 1 0,0-1 0,1 1 0,-1 0 0,-1-1 0,2 1 0,-1 1 0,0-2 0,1 1 0,0-1 0,-1 1 0,1 1 0,-1 1 0,2-3 0,-1 0 0,0 2 0,0-2 0,1 0 0,-1 0 0,0 0 0,1 0 0,-1 0 0,1 1 0,-1-1 0,2 0 0,-2 0 0,1 0 0,0 0 0,-1 0 0,1-1 0,0 1 0,0 1 0,-1-2 0,0 1 0,1 0 0,0-1 0,1 2 0,-1-2 0,-1 0 0,3 1 0,31 10 0,-26-8 0,18 2 0,40 3 0,-40-6 0,39 10 0,-63-11-31,1 0 0,-1 1 0,0-1 0,2 1 0,-2 0 0,0 0 0,0 0 0,0 2 0,1-2 0,-2 0 0,1 0 0,0 2 0,-1-2 0,2 1 0,-2 1 0,1-2 0,-1 1 0,0 1 0,1-1 0,0 1 0,-1-1 0,-1 0 0,1 2 0,0-2-1,-1 2 1,0-1 0,0 0 0,0-1 0,0 2 0,0-2 0,0 0 0,0 2 0,0-2 0,0 1 0,-1-1 0,0 2 0,1-2 0,-1 0 0,-1 1 0,0 0 0,1-1 0,0 1 0,-3 3 0,-4 5-6795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4.xml"/><Relationship Id="rId3" Type="http://schemas.openxmlformats.org/officeDocument/2006/relationships/hyperlink" Target="https://www.fibraq.com/collections/material-para-vacio-e-infusion/products/pelicula-antiadherente-malla-de-sangrado" TargetMode="External"/><Relationship Id="rId7" Type="http://schemas.openxmlformats.org/officeDocument/2006/relationships/vmlDrawing" Target="../drawings/vmlDrawing5.vml"/><Relationship Id="rId2" Type="http://schemas.openxmlformats.org/officeDocument/2006/relationships/hyperlink" Target="https://www.fibraq.com/collections/material-para-vacio-e-infusion/products/tubo-de-absorcion-pebd-de-infusion-o-10-x-12-mm" TargetMode="External"/><Relationship Id="rId1" Type="http://schemas.openxmlformats.org/officeDocument/2006/relationships/hyperlink" Target="https://courses.hardhatengineer.com/courses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ibraq.com/collections/material-para-vacio-e-infusion/products/toma-de-infusion-para-vacio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92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92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92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92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92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92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92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92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92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93" t="s">
        <v>113</v>
      </c>
      <c r="D243" s="394"/>
      <c r="E243" s="394"/>
      <c r="F243" s="394"/>
      <c r="G243" s="395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93" t="s">
        <v>123</v>
      </c>
      <c r="D247" s="394"/>
      <c r="E247" s="394"/>
      <c r="F247" s="394"/>
      <c r="G247" s="395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96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97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92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92"/>
      <c r="B264" s="158" t="s">
        <v>136</v>
      </c>
      <c r="L264" s="149"/>
    </row>
    <row r="265" spans="1:12" ht="13" thickBot="1">
      <c r="A265" s="392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98" t="s">
        <v>182</v>
      </c>
      <c r="C2" s="399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402" t="s">
        <v>185</v>
      </c>
      <c r="D12" s="403"/>
      <c r="E12" s="403"/>
      <c r="F12" s="403"/>
      <c r="G12" s="404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402" t="s">
        <v>189</v>
      </c>
      <c r="P12" s="403"/>
      <c r="Q12" s="403"/>
      <c r="R12" s="403"/>
      <c r="S12" s="404"/>
      <c r="T12" s="1" t="s">
        <v>186</v>
      </c>
      <c r="U12" s="1" t="s">
        <v>187</v>
      </c>
      <c r="V12" s="1" t="s">
        <v>188</v>
      </c>
    </row>
    <row r="13" spans="2:22">
      <c r="B13" s="400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400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401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401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401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401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401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401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401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401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401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401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401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401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401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401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401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401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401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405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409" t="s">
        <v>191</v>
      </c>
      <c r="C23" s="65"/>
      <c r="D23" s="64" t="s">
        <v>186</v>
      </c>
      <c r="E23" s="64"/>
      <c r="F23" s="64"/>
      <c r="G23" s="64"/>
      <c r="K23" s="407"/>
      <c r="N23" s="408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409"/>
      <c r="C24" s="66" t="s">
        <v>193</v>
      </c>
      <c r="D24" s="1">
        <f>(F25/2)/(F26)</f>
        <v>0.13333333333333333</v>
      </c>
      <c r="K24" s="407"/>
      <c r="N24" s="409"/>
      <c r="O24" s="66" t="s">
        <v>193</v>
      </c>
      <c r="P24" s="1" t="s">
        <v>194</v>
      </c>
    </row>
    <row r="25" spans="2:22">
      <c r="B25" s="409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407"/>
      <c r="N25" s="409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409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407"/>
      <c r="N26" s="409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410" t="s">
        <v>200</v>
      </c>
      <c r="D27" s="410"/>
      <c r="E27" s="410"/>
      <c r="F27" s="410"/>
      <c r="G27" s="410"/>
      <c r="L27" s="63"/>
      <c r="M27" s="63"/>
      <c r="N27" s="2" t="s">
        <v>199</v>
      </c>
      <c r="O27" s="410" t="s">
        <v>200</v>
      </c>
      <c r="P27" s="410"/>
      <c r="Q27" s="410"/>
      <c r="R27" s="410"/>
      <c r="S27" s="410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400" t="s">
        <v>203</v>
      </c>
      <c r="C31" s="398"/>
      <c r="D31" s="411"/>
      <c r="E31" s="411"/>
      <c r="F31" s="411"/>
      <c r="G31" s="399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401"/>
      <c r="C32" s="412"/>
      <c r="D32" s="406"/>
      <c r="E32" s="406"/>
      <c r="F32" s="406"/>
      <c r="G32" s="413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401"/>
      <c r="C33" s="412"/>
      <c r="D33" s="406"/>
      <c r="E33" s="406"/>
      <c r="F33" s="406"/>
      <c r="G33" s="413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401"/>
      <c r="C34" s="412"/>
      <c r="D34" s="406"/>
      <c r="E34" s="406"/>
      <c r="F34" s="406"/>
      <c r="G34" s="413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401"/>
      <c r="C35" s="412"/>
      <c r="D35" s="406"/>
      <c r="E35" s="406"/>
      <c r="F35" s="406"/>
      <c r="G35" s="413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401"/>
      <c r="C36" s="412"/>
      <c r="D36" s="406"/>
      <c r="E36" s="406"/>
      <c r="F36" s="406"/>
      <c r="G36" s="413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401"/>
      <c r="C37" s="412"/>
      <c r="D37" s="406"/>
      <c r="E37" s="406"/>
      <c r="F37" s="406"/>
      <c r="G37" s="413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401"/>
      <c r="C38" s="412"/>
      <c r="D38" s="406"/>
      <c r="E38" s="406"/>
      <c r="F38" s="406"/>
      <c r="G38" s="413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401"/>
      <c r="C39" s="412"/>
      <c r="D39" s="406"/>
      <c r="E39" s="406"/>
      <c r="F39" s="406"/>
      <c r="G39" s="413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405"/>
      <c r="C40" s="414"/>
      <c r="D40" s="415"/>
      <c r="E40" s="415"/>
      <c r="F40" s="415"/>
      <c r="G40" s="416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410" t="s">
        <v>191</v>
      </c>
      <c r="C41" s="1" t="s">
        <v>204</v>
      </c>
      <c r="H41" s="12"/>
    </row>
    <row r="42" spans="2:24">
      <c r="B42" s="406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406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406" t="s">
        <v>206</v>
      </c>
      <c r="D44" s="406"/>
      <c r="E44" s="406"/>
      <c r="F44" s="406"/>
      <c r="G44" s="406"/>
    </row>
    <row r="45" spans="2:24">
      <c r="B45" s="406" t="s">
        <v>201</v>
      </c>
    </row>
    <row r="46" spans="2:24">
      <c r="B46" s="406"/>
    </row>
    <row r="47" spans="2:24" ht="15" thickBot="1">
      <c r="B47" s="406"/>
    </row>
    <row r="48" spans="2:24" ht="15" customHeight="1" thickBot="1">
      <c r="K48" s="417" t="s">
        <v>207</v>
      </c>
      <c r="L48" s="419"/>
      <c r="W48" s="407" t="s">
        <v>207</v>
      </c>
      <c r="X48" s="407"/>
    </row>
    <row r="49" spans="2:24" ht="15" thickBot="1">
      <c r="B49" s="8" t="s">
        <v>184</v>
      </c>
      <c r="C49" s="417" t="s">
        <v>208</v>
      </c>
      <c r="D49" s="418"/>
      <c r="E49" s="418"/>
      <c r="F49" s="418"/>
      <c r="G49" s="419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17" t="s">
        <v>212</v>
      </c>
      <c r="P49" s="418"/>
      <c r="Q49" s="418"/>
      <c r="R49" s="418"/>
      <c r="S49" s="419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400" t="s">
        <v>214</v>
      </c>
      <c r="C50" s="398"/>
      <c r="D50" s="411"/>
      <c r="E50" s="411"/>
      <c r="F50" s="411"/>
      <c r="G50" s="399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400" t="s">
        <v>214</v>
      </c>
      <c r="O50" s="398"/>
      <c r="P50" s="411"/>
      <c r="Q50" s="411"/>
      <c r="R50" s="411"/>
      <c r="S50" s="399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401"/>
      <c r="C51" s="412"/>
      <c r="D51" s="406"/>
      <c r="E51" s="406"/>
      <c r="F51" s="406"/>
      <c r="G51" s="413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401"/>
      <c r="O51" s="412"/>
      <c r="P51" s="406"/>
      <c r="Q51" s="406"/>
      <c r="R51" s="406"/>
      <c r="S51" s="413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401"/>
      <c r="C52" s="412"/>
      <c r="D52" s="406"/>
      <c r="E52" s="406"/>
      <c r="F52" s="406"/>
      <c r="G52" s="413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401"/>
      <c r="O52" s="412"/>
      <c r="P52" s="406"/>
      <c r="Q52" s="406"/>
      <c r="R52" s="406"/>
      <c r="S52" s="413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401"/>
      <c r="C53" s="412"/>
      <c r="D53" s="406"/>
      <c r="E53" s="406"/>
      <c r="F53" s="406"/>
      <c r="G53" s="413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401"/>
      <c r="O53" s="412"/>
      <c r="P53" s="406"/>
      <c r="Q53" s="406"/>
      <c r="R53" s="406"/>
      <c r="S53" s="413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401"/>
      <c r="C54" s="412"/>
      <c r="D54" s="406"/>
      <c r="E54" s="406"/>
      <c r="F54" s="406"/>
      <c r="G54" s="413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401"/>
      <c r="O54" s="412"/>
      <c r="P54" s="406"/>
      <c r="Q54" s="406"/>
      <c r="R54" s="406"/>
      <c r="S54" s="413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401"/>
      <c r="C55" s="412"/>
      <c r="D55" s="406"/>
      <c r="E55" s="406"/>
      <c r="F55" s="406"/>
      <c r="G55" s="413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401"/>
      <c r="O55" s="412"/>
      <c r="P55" s="406"/>
      <c r="Q55" s="406"/>
      <c r="R55" s="406"/>
      <c r="S55" s="413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401"/>
      <c r="C56" s="412"/>
      <c r="D56" s="406"/>
      <c r="E56" s="406"/>
      <c r="F56" s="406"/>
      <c r="G56" s="413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401"/>
      <c r="O56" s="412"/>
      <c r="P56" s="406"/>
      <c r="Q56" s="406"/>
      <c r="R56" s="406"/>
      <c r="S56" s="413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401"/>
      <c r="C57" s="412"/>
      <c r="D57" s="406"/>
      <c r="E57" s="406"/>
      <c r="F57" s="406"/>
      <c r="G57" s="413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401"/>
      <c r="O57" s="412"/>
      <c r="P57" s="406"/>
      <c r="Q57" s="406"/>
      <c r="R57" s="406"/>
      <c r="S57" s="413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401"/>
      <c r="C58" s="412"/>
      <c r="D58" s="406"/>
      <c r="E58" s="406"/>
      <c r="F58" s="406"/>
      <c r="G58" s="413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401"/>
      <c r="O58" s="412"/>
      <c r="P58" s="406"/>
      <c r="Q58" s="406"/>
      <c r="R58" s="406"/>
      <c r="S58" s="413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405"/>
      <c r="C59" s="420"/>
      <c r="D59" s="421"/>
      <c r="E59" s="421"/>
      <c r="F59" s="421"/>
      <c r="G59" s="422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405"/>
      <c r="O59" s="414"/>
      <c r="P59" s="415"/>
      <c r="Q59" s="415"/>
      <c r="R59" s="415"/>
      <c r="S59" s="416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23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428" t="s">
        <v>218</v>
      </c>
      <c r="I60" s="429"/>
      <c r="J60" s="430"/>
      <c r="K60" s="81" t="s">
        <v>219</v>
      </c>
      <c r="L60" s="57">
        <f>K67^2/K68</f>
        <v>1.1707317073170729</v>
      </c>
      <c r="N60" s="410" t="s">
        <v>191</v>
      </c>
      <c r="O60" s="1" t="s">
        <v>220</v>
      </c>
    </row>
    <row r="61" spans="2:24" ht="16.149999999999999" customHeight="1" thickBot="1">
      <c r="B61" s="424"/>
      <c r="C61" s="80" t="s">
        <v>221</v>
      </c>
      <c r="D61" s="82">
        <f>-I50+D60*H50</f>
        <v>23.499999999999979</v>
      </c>
      <c r="E61" s="77"/>
      <c r="F61" s="61"/>
      <c r="G61" s="62"/>
      <c r="H61" s="431"/>
      <c r="I61" s="432"/>
      <c r="J61" s="433"/>
      <c r="K61" s="80"/>
      <c r="L61" s="62"/>
      <c r="N61" s="410"/>
    </row>
    <row r="62" spans="2:24" ht="27.65" customHeight="1">
      <c r="B62" s="424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410"/>
    </row>
    <row r="63" spans="2:24" ht="27.65" customHeight="1">
      <c r="B63" s="424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410"/>
    </row>
    <row r="64" spans="2:24">
      <c r="B64" s="425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410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26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406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26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406"/>
    </row>
    <row r="67" spans="2:19">
      <c r="B67" s="426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406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427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406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410" t="s">
        <v>237</v>
      </c>
      <c r="D69" s="410"/>
      <c r="E69" s="410"/>
      <c r="F69" s="410"/>
      <c r="G69" s="410"/>
      <c r="N69" s="2" t="s">
        <v>199</v>
      </c>
      <c r="O69" s="406" t="s">
        <v>238</v>
      </c>
      <c r="P69" s="406"/>
      <c r="Q69" s="406"/>
      <c r="R69" s="406"/>
      <c r="S69" s="406"/>
    </row>
    <row r="70" spans="2:19">
      <c r="B70" s="406" t="s">
        <v>201</v>
      </c>
      <c r="C70" s="65"/>
      <c r="D70" s="64"/>
      <c r="E70" s="64"/>
      <c r="F70" s="64"/>
      <c r="G70" s="93"/>
      <c r="N70" s="406" t="s">
        <v>201</v>
      </c>
    </row>
    <row r="71" spans="2:19">
      <c r="B71" s="406"/>
      <c r="C71" s="66"/>
      <c r="G71" s="94"/>
      <c r="N71" s="406"/>
    </row>
    <row r="72" spans="2:19">
      <c r="B72" s="406"/>
      <c r="C72" s="67"/>
      <c r="D72" s="68"/>
      <c r="E72" s="68"/>
      <c r="F72" s="68"/>
      <c r="G72" s="95"/>
      <c r="N72" s="406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400" t="s">
        <v>246</v>
      </c>
      <c r="C88" s="398"/>
      <c r="D88" s="411"/>
      <c r="E88" s="411"/>
      <c r="F88" s="411"/>
      <c r="G88" s="399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401"/>
      <c r="C89" s="412"/>
      <c r="D89" s="406"/>
      <c r="E89" s="406"/>
      <c r="F89" s="406"/>
      <c r="G89" s="413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401"/>
      <c r="C90" s="412"/>
      <c r="D90" s="406"/>
      <c r="E90" s="406"/>
      <c r="F90" s="406"/>
      <c r="G90" s="413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401"/>
      <c r="C91" s="412"/>
      <c r="D91" s="406"/>
      <c r="E91" s="406"/>
      <c r="F91" s="406"/>
      <c r="G91" s="413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401"/>
      <c r="C92" s="412"/>
      <c r="D92" s="406"/>
      <c r="E92" s="406"/>
      <c r="F92" s="406"/>
      <c r="G92" s="413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401"/>
      <c r="C93" s="412"/>
      <c r="D93" s="406"/>
      <c r="E93" s="406"/>
      <c r="F93" s="406"/>
      <c r="G93" s="413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401"/>
      <c r="C94" s="412"/>
      <c r="D94" s="406"/>
      <c r="E94" s="406"/>
      <c r="F94" s="406"/>
      <c r="G94" s="413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401"/>
      <c r="C95" s="412"/>
      <c r="D95" s="406"/>
      <c r="E95" s="406"/>
      <c r="F95" s="406"/>
      <c r="G95" s="413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401"/>
      <c r="C96" s="412"/>
      <c r="D96" s="406"/>
      <c r="E96" s="406"/>
      <c r="F96" s="406"/>
      <c r="G96" s="413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405"/>
      <c r="C97" s="414"/>
      <c r="D97" s="415"/>
      <c r="E97" s="415"/>
      <c r="F97" s="415"/>
      <c r="G97" s="416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410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406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406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406" t="s">
        <v>249</v>
      </c>
      <c r="D101" s="406"/>
      <c r="E101" s="406"/>
      <c r="F101" s="406"/>
      <c r="G101" s="406"/>
    </row>
    <row r="102" spans="2:10">
      <c r="B102" s="406" t="s">
        <v>201</v>
      </c>
    </row>
    <row r="103" spans="2:10">
      <c r="B103" s="406"/>
    </row>
    <row r="104" spans="2:10">
      <c r="B104" s="406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H60" sqref="H60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37" t="s">
        <v>252</v>
      </c>
      <c r="U15" s="438"/>
      <c r="V15" s="439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40" t="s">
        <v>252</v>
      </c>
      <c r="U23" s="441"/>
      <c r="V23" s="442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43" t="s">
        <v>711</v>
      </c>
      <c r="L33" s="444"/>
      <c r="M33" s="444"/>
      <c r="N33" s="444"/>
      <c r="O33" s="444"/>
      <c r="P33" s="444"/>
      <c r="Q33" s="444"/>
      <c r="R33" s="444"/>
      <c r="S33" s="445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43" t="s">
        <v>712</v>
      </c>
      <c r="L44" s="444"/>
      <c r="M44" s="444"/>
      <c r="N44" s="444"/>
      <c r="O44" s="444"/>
      <c r="P44" s="444"/>
      <c r="Q44" s="444"/>
      <c r="R44" s="444"/>
      <c r="S44" s="445"/>
    </row>
    <row r="45" spans="2:19" ht="15" thickBot="1">
      <c r="B45" s="434" t="s">
        <v>311</v>
      </c>
      <c r="C45" s="435"/>
      <c r="D45" s="435"/>
      <c r="E45" s="435"/>
      <c r="F45" s="436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T314"/>
  <sheetViews>
    <sheetView tabSelected="1" view="pageLayout" topLeftCell="A324" zoomScaleNormal="100" zoomScaleSheetLayoutView="100" workbookViewId="0">
      <selection activeCell="E328" sqref="E328"/>
    </sheetView>
  </sheetViews>
  <sheetFormatPr defaultRowHeight="14.5" outlineLevelRow="2"/>
  <cols>
    <col min="1" max="1" width="2" customWidth="1"/>
    <col min="2" max="10" width="9.81640625" customWidth="1"/>
    <col min="11" max="11" width="10.90625" customWidth="1"/>
    <col min="12" max="20" width="8.36328125" customWidth="1"/>
    <col min="21" max="21" width="8.7265625" customWidth="1"/>
  </cols>
  <sheetData>
    <row r="1" spans="2:9" ht="20.5" customHeight="1">
      <c r="E1" s="354" t="s">
        <v>713</v>
      </c>
      <c r="F1" s="351"/>
    </row>
    <row r="2" spans="2:9" ht="14.5" customHeight="1">
      <c r="E2" s="450" t="s">
        <v>1023</v>
      </c>
      <c r="F2" s="450"/>
      <c r="G2" s="450"/>
      <c r="H2" s="450"/>
      <c r="I2" s="450"/>
    </row>
    <row r="3" spans="2:9">
      <c r="E3" s="450"/>
      <c r="F3" s="450"/>
      <c r="G3" s="450"/>
      <c r="H3" s="450"/>
      <c r="I3" s="450"/>
    </row>
    <row r="4" spans="2:9">
      <c r="E4" t="s">
        <v>1024</v>
      </c>
    </row>
    <row r="5" spans="2:9">
      <c r="B5" t="s">
        <v>705</v>
      </c>
      <c r="G5" t="s">
        <v>684</v>
      </c>
      <c r="I5" s="352">
        <v>45923</v>
      </c>
    </row>
    <row r="6" spans="2:9" hidden="1" outlineLevel="1">
      <c r="B6" t="s">
        <v>685</v>
      </c>
    </row>
    <row r="7" spans="2:9" hidden="1" outlineLevel="1">
      <c r="B7" s="352">
        <v>45902</v>
      </c>
      <c r="C7" t="s">
        <v>686</v>
      </c>
    </row>
    <row r="8" spans="2:9" hidden="1" outlineLevel="1"/>
    <row r="9" spans="2:9" hidden="1" outlineLevel="1">
      <c r="B9" t="s">
        <v>409</v>
      </c>
    </row>
    <row r="10" spans="2:9" hidden="1" outlineLevel="1">
      <c r="B10" t="s">
        <v>746</v>
      </c>
    </row>
    <row r="11" spans="2:9" hidden="1" outlineLevel="1">
      <c r="B11" t="s">
        <v>702</v>
      </c>
    </row>
    <row r="12" spans="2:9" hidden="1" outlineLevel="1">
      <c r="B12" s="364" t="s">
        <v>701</v>
      </c>
    </row>
    <row r="13" spans="2:9" hidden="1" outlineLevel="1"/>
    <row r="14" spans="2:9" hidden="1" outlineLevel="1">
      <c r="B14" t="s">
        <v>703</v>
      </c>
    </row>
    <row r="15" spans="2:9" collapsed="1">
      <c r="B15" s="356" t="s">
        <v>733</v>
      </c>
      <c r="C15" s="186"/>
      <c r="D15" s="186"/>
    </row>
    <row r="16" spans="2:9">
      <c r="B16" s="371" t="s">
        <v>839</v>
      </c>
      <c r="C16" t="s">
        <v>840</v>
      </c>
      <c r="F16" s="306" t="s">
        <v>908</v>
      </c>
      <c r="G16" t="s">
        <v>910</v>
      </c>
    </row>
    <row r="17" spans="2:13">
      <c r="B17" s="371" t="s">
        <v>841</v>
      </c>
      <c r="C17" t="s">
        <v>842</v>
      </c>
      <c r="F17" s="306" t="s">
        <v>909</v>
      </c>
    </row>
    <row r="18" spans="2:13">
      <c r="B18" t="s">
        <v>846</v>
      </c>
      <c r="D18">
        <v>191</v>
      </c>
      <c r="E18" t="s">
        <v>844</v>
      </c>
      <c r="F18" t="s">
        <v>846</v>
      </c>
      <c r="H18">
        <v>198</v>
      </c>
      <c r="I18" t="s">
        <v>844</v>
      </c>
    </row>
    <row r="19" spans="2:13">
      <c r="B19" t="s">
        <v>847</v>
      </c>
      <c r="D19">
        <v>0.2</v>
      </c>
      <c r="E19" t="s">
        <v>227</v>
      </c>
      <c r="F19" t="s">
        <v>847</v>
      </c>
      <c r="H19">
        <v>0.25</v>
      </c>
      <c r="I19" t="s">
        <v>227</v>
      </c>
      <c r="L19" t="s">
        <v>793</v>
      </c>
      <c r="M19" t="s">
        <v>797</v>
      </c>
    </row>
    <row r="20" spans="2:13">
      <c r="B20" t="s">
        <v>845</v>
      </c>
      <c r="D20">
        <f>D18/D19</f>
        <v>955</v>
      </c>
      <c r="E20" t="s">
        <v>294</v>
      </c>
      <c r="F20" t="s">
        <v>845</v>
      </c>
      <c r="H20">
        <f>H18/H19</f>
        <v>792</v>
      </c>
      <c r="I20" t="s">
        <v>294</v>
      </c>
      <c r="L20" t="s">
        <v>794</v>
      </c>
      <c r="M20" t="s">
        <v>796</v>
      </c>
    </row>
    <row r="21" spans="2:13">
      <c r="H21" t="s">
        <v>721</v>
      </c>
      <c r="J21" t="s">
        <v>722</v>
      </c>
      <c r="L21" t="s">
        <v>795</v>
      </c>
      <c r="M21" t="s">
        <v>798</v>
      </c>
    </row>
    <row r="22" spans="2:13">
      <c r="B22" s="374" t="s">
        <v>911</v>
      </c>
      <c r="G22" t="s">
        <v>802</v>
      </c>
      <c r="H22">
        <v>219</v>
      </c>
      <c r="I22" t="s">
        <v>719</v>
      </c>
      <c r="J22" s="375">
        <v>1.4999999999999999E-2</v>
      </c>
    </row>
    <row r="23" spans="2:13">
      <c r="B23" t="s">
        <v>714</v>
      </c>
      <c r="D23">
        <v>955</v>
      </c>
      <c r="E23" t="s">
        <v>314</v>
      </c>
      <c r="F23" s="357">
        <v>0.55000000000000004</v>
      </c>
      <c r="G23" t="s">
        <v>803</v>
      </c>
      <c r="H23" s="383">
        <f>H22*0.1</f>
        <v>21.900000000000002</v>
      </c>
      <c r="I23" t="s">
        <v>744</v>
      </c>
      <c r="J23" s="381">
        <v>1.4999999999999999E-2</v>
      </c>
    </row>
    <row r="24" spans="2:13">
      <c r="B24" t="s">
        <v>715</v>
      </c>
      <c r="D24">
        <v>1090</v>
      </c>
      <c r="E24" t="s">
        <v>314</v>
      </c>
      <c r="F24" s="380">
        <f>1-F23</f>
        <v>0.44999999999999996</v>
      </c>
      <c r="G24" s="186" t="s">
        <v>888</v>
      </c>
      <c r="H24" s="186"/>
      <c r="I24" t="s">
        <v>889</v>
      </c>
      <c r="J24" s="381">
        <v>1.4999999999999999E-2</v>
      </c>
    </row>
    <row r="25" spans="2:13">
      <c r="B25" t="s">
        <v>809</v>
      </c>
      <c r="D25" s="190">
        <f>(H22/J22)/1000</f>
        <v>14.6</v>
      </c>
      <c r="E25" t="s">
        <v>738</v>
      </c>
      <c r="G25" t="s">
        <v>804</v>
      </c>
      <c r="H25" s="383">
        <f>H26*0.8</f>
        <v>34.03921568627451</v>
      </c>
      <c r="I25" t="s">
        <v>720</v>
      </c>
      <c r="J25" s="376">
        <v>1.9E-2</v>
      </c>
    </row>
    <row r="26" spans="2:13">
      <c r="B26" s="186" t="s">
        <v>810</v>
      </c>
      <c r="C26" s="186"/>
      <c r="D26" s="277">
        <f>(H26/J26)/1000</f>
        <v>1.5196078431372551</v>
      </c>
      <c r="E26" s="186" t="s">
        <v>738</v>
      </c>
      <c r="G26" t="s">
        <v>805</v>
      </c>
      <c r="H26">
        <f>434*(0.1/1.02)</f>
        <v>42.549019607843135</v>
      </c>
      <c r="I26" t="s">
        <v>731</v>
      </c>
      <c r="J26" s="376">
        <f>2.8/100</f>
        <v>2.7999999999999997E-2</v>
      </c>
    </row>
    <row r="27" spans="2:13">
      <c r="B27" t="s">
        <v>811</v>
      </c>
      <c r="D27" s="372">
        <v>0</v>
      </c>
      <c r="E27" t="s">
        <v>738</v>
      </c>
      <c r="G27" t="s">
        <v>806</v>
      </c>
      <c r="H27">
        <f>1239*(0.1/1.02)</f>
        <v>121.47058823529412</v>
      </c>
      <c r="I27" t="s">
        <v>732</v>
      </c>
      <c r="J27" s="376">
        <f>J26</f>
        <v>2.7999999999999997E-2</v>
      </c>
    </row>
    <row r="28" spans="2:13">
      <c r="B28" t="s">
        <v>812</v>
      </c>
      <c r="D28" s="190">
        <f>(H27/J27)/1000</f>
        <v>4.3382352941176476</v>
      </c>
      <c r="E28" t="s">
        <v>738</v>
      </c>
      <c r="G28" t="s">
        <v>837</v>
      </c>
      <c r="H28" s="383">
        <f>H27*0.8</f>
        <v>97.176470588235304</v>
      </c>
      <c r="I28" t="s">
        <v>838</v>
      </c>
      <c r="J28" s="376">
        <f>J25</f>
        <v>1.9E-2</v>
      </c>
    </row>
    <row r="29" spans="2:13">
      <c r="D29" s="190"/>
      <c r="G29" t="s">
        <v>896</v>
      </c>
      <c r="H29" s="383">
        <f>819*(0.1/1.02)</f>
        <v>80.294117647058826</v>
      </c>
      <c r="J29" s="376"/>
    </row>
    <row r="31" spans="2:13">
      <c r="B31" s="186" t="s">
        <v>718</v>
      </c>
      <c r="C31" s="186"/>
      <c r="D31" s="186"/>
      <c r="G31" s="186" t="s">
        <v>723</v>
      </c>
      <c r="H31" s="186"/>
    </row>
    <row r="32" spans="2:13">
      <c r="B32" t="s">
        <v>716</v>
      </c>
      <c r="D32">
        <f>D23*(F23)+D24*(F24)</f>
        <v>1015.75</v>
      </c>
      <c r="E32" t="s">
        <v>314</v>
      </c>
      <c r="G32" t="s">
        <v>726</v>
      </c>
      <c r="H32" s="281">
        <f>H33/(H34+H33)</f>
        <v>0.8771929824561403</v>
      </c>
    </row>
    <row r="33" spans="2:10">
      <c r="B33" t="s">
        <v>813</v>
      </c>
      <c r="D33">
        <f>D25*F23+D26*F24</f>
        <v>8.7138235294117656</v>
      </c>
      <c r="E33" t="s">
        <v>738</v>
      </c>
      <c r="G33" t="s">
        <v>724</v>
      </c>
      <c r="H33" s="281">
        <v>100</v>
      </c>
      <c r="I33" t="s">
        <v>727</v>
      </c>
    </row>
    <row r="34" spans="2:10">
      <c r="B34" t="s">
        <v>799</v>
      </c>
      <c r="D34">
        <f>IF(J25=J22,C42,IF(J25&lt;J22,B42,D42))</f>
        <v>130.70735294117648</v>
      </c>
      <c r="E34" t="s">
        <v>721</v>
      </c>
      <c r="G34" t="s">
        <v>725</v>
      </c>
      <c r="H34" s="281">
        <v>14</v>
      </c>
      <c r="I34" t="s">
        <v>727</v>
      </c>
    </row>
    <row r="35" spans="2:10">
      <c r="B35" t="s">
        <v>800</v>
      </c>
      <c r="D35">
        <f>H22*F23+H26*F24</f>
        <v>139.59705882352941</v>
      </c>
      <c r="E35" t="s">
        <v>721</v>
      </c>
      <c r="G35" s="263" t="s">
        <v>728</v>
      </c>
      <c r="H35" s="358">
        <v>1000</v>
      </c>
      <c r="I35" s="263" t="s">
        <v>727</v>
      </c>
      <c r="J35" s="263"/>
    </row>
    <row r="36" spans="2:10">
      <c r="B36" t="s">
        <v>815</v>
      </c>
      <c r="D36">
        <f>D37*0.8</f>
        <v>53.365411764705883</v>
      </c>
      <c r="E36" t="s">
        <v>816</v>
      </c>
      <c r="H36" s="359">
        <f>H35*H32</f>
        <v>877.19298245614027</v>
      </c>
      <c r="I36" t="s">
        <v>729</v>
      </c>
    </row>
    <row r="37" spans="2:10">
      <c r="B37" t="s">
        <v>801</v>
      </c>
      <c r="D37">
        <f>IF(J25=J22,C43,IF(J25&lt;J22,B43,D43))</f>
        <v>66.70676470588235</v>
      </c>
      <c r="E37" t="s">
        <v>721</v>
      </c>
      <c r="H37" s="359">
        <f>H35-H36</f>
        <v>122.80701754385973</v>
      </c>
      <c r="I37" t="s">
        <v>730</v>
      </c>
    </row>
    <row r="38" spans="2:10">
      <c r="B38" t="s">
        <v>890</v>
      </c>
      <c r="D38">
        <f>H24*F23+H29*F24</f>
        <v>36.132352941176471</v>
      </c>
      <c r="E38" t="s">
        <v>721</v>
      </c>
      <c r="H38" s="359"/>
    </row>
    <row r="39" spans="2:10">
      <c r="H39" s="359"/>
    </row>
    <row r="41" spans="2:10">
      <c r="B41" t="s">
        <v>743</v>
      </c>
    </row>
    <row r="42" spans="2:10">
      <c r="B42">
        <f>(F23*(D25/D26)+(1-F23))*H25</f>
        <v>195.18964705882348</v>
      </c>
      <c r="C42">
        <f>F23*H22+F24*H25</f>
        <v>135.76764705882354</v>
      </c>
      <c r="D42">
        <f>(F23+F24*(D26/D25))*H22</f>
        <v>130.70735294117648</v>
      </c>
      <c r="E42" t="s">
        <v>807</v>
      </c>
    </row>
    <row r="43" spans="2:10">
      <c r="B43">
        <f>(F23*(D27/D28)+(1-F23))*H27</f>
        <v>54.661764705882348</v>
      </c>
      <c r="C43">
        <f>F23*H23+F24*H27</f>
        <v>66.70676470588235</v>
      </c>
      <c r="D43">
        <f>C43</f>
        <v>66.70676470588235</v>
      </c>
      <c r="E43" t="s">
        <v>808</v>
      </c>
    </row>
    <row r="44" spans="2:10">
      <c r="B44" s="361">
        <f>J25</f>
        <v>1.9E-2</v>
      </c>
      <c r="C44" s="363">
        <f>F23*J22+F24*J25</f>
        <v>1.6799999999999999E-2</v>
      </c>
      <c r="D44" s="361">
        <f>J22</f>
        <v>1.4999999999999999E-2</v>
      </c>
    </row>
    <row r="45" spans="2:10">
      <c r="B45" t="s">
        <v>739</v>
      </c>
      <c r="C45" t="s">
        <v>740</v>
      </c>
      <c r="D45" t="s">
        <v>741</v>
      </c>
    </row>
    <row r="46" spans="2:10">
      <c r="B46" t="s">
        <v>254</v>
      </c>
      <c r="C46" t="s">
        <v>836</v>
      </c>
      <c r="D46" t="s">
        <v>255</v>
      </c>
      <c r="E46" t="s">
        <v>835</v>
      </c>
    </row>
    <row r="47" spans="2:10">
      <c r="B47" s="362">
        <v>0</v>
      </c>
      <c r="C47" s="360">
        <v>0</v>
      </c>
      <c r="D47" s="281">
        <v>0</v>
      </c>
      <c r="E47" s="281">
        <v>0</v>
      </c>
      <c r="G47" t="s">
        <v>734</v>
      </c>
    </row>
    <row r="48" spans="2:10">
      <c r="B48" s="362">
        <f>J22</f>
        <v>1.4999999999999999E-2</v>
      </c>
      <c r="C48" s="360">
        <f>J23</f>
        <v>1.4999999999999999E-2</v>
      </c>
      <c r="D48" s="281">
        <f>H22</f>
        <v>219</v>
      </c>
      <c r="E48" s="281">
        <f>D48*0.1</f>
        <v>21.900000000000002</v>
      </c>
    </row>
    <row r="49" spans="2:15">
      <c r="B49" s="362">
        <v>0</v>
      </c>
      <c r="C49" s="360">
        <v>0</v>
      </c>
      <c r="D49" s="281">
        <v>0</v>
      </c>
      <c r="E49" s="281">
        <v>0</v>
      </c>
      <c r="G49" t="s">
        <v>735</v>
      </c>
    </row>
    <row r="50" spans="2:15">
      <c r="B50" s="362">
        <f>J25</f>
        <v>1.9E-2</v>
      </c>
      <c r="C50" s="360">
        <f>J28</f>
        <v>1.9E-2</v>
      </c>
      <c r="D50" s="281">
        <f>H25</f>
        <v>34.03921568627451</v>
      </c>
      <c r="E50" s="281">
        <f>E51*0.8</f>
        <v>97.176470588235304</v>
      </c>
      <c r="G50" t="s">
        <v>736</v>
      </c>
    </row>
    <row r="51" spans="2:15">
      <c r="B51" s="362">
        <f>J26</f>
        <v>2.7999999999999997E-2</v>
      </c>
      <c r="C51" s="360">
        <f>J27</f>
        <v>2.7999999999999997E-2</v>
      </c>
      <c r="D51" s="281">
        <f>H26</f>
        <v>42.549019607843135</v>
      </c>
      <c r="E51" s="281">
        <f>H27</f>
        <v>121.47058823529412</v>
      </c>
      <c r="G51" t="s">
        <v>737</v>
      </c>
      <c r="M51" t="s">
        <v>832</v>
      </c>
      <c r="N51" t="s">
        <v>830</v>
      </c>
      <c r="O51" t="s">
        <v>833</v>
      </c>
    </row>
    <row r="52" spans="2:15">
      <c r="B52" s="362">
        <v>0</v>
      </c>
      <c r="C52" s="360">
        <v>0</v>
      </c>
      <c r="D52" s="281">
        <v>0</v>
      </c>
      <c r="E52" s="281">
        <v>0</v>
      </c>
      <c r="G52" t="s">
        <v>742</v>
      </c>
      <c r="M52" t="s">
        <v>829</v>
      </c>
      <c r="N52" t="s">
        <v>830</v>
      </c>
      <c r="O52" t="s">
        <v>831</v>
      </c>
    </row>
    <row r="53" spans="2:15">
      <c r="B53" s="362">
        <f>IF(J25=J22,C44,IF(J25&lt;J22,B44,D44))</f>
        <v>1.4999999999999999E-2</v>
      </c>
      <c r="C53" s="360">
        <f>F23*J23+F24*J28</f>
        <v>1.6799999999999999E-2</v>
      </c>
      <c r="D53" s="281">
        <f>D34</f>
        <v>130.70735294117648</v>
      </c>
      <c r="E53" s="281">
        <f>D36</f>
        <v>53.365411764705883</v>
      </c>
    </row>
    <row r="54" spans="2:15">
      <c r="B54" s="186" t="s">
        <v>843</v>
      </c>
      <c r="C54" s="186"/>
      <c r="D54" s="186"/>
    </row>
    <row r="55" spans="2:15">
      <c r="B55">
        <f>D34</f>
        <v>130.70735294117648</v>
      </c>
      <c r="C55" t="s">
        <v>799</v>
      </c>
    </row>
    <row r="56" spans="2:15">
      <c r="B56">
        <f>D36</f>
        <v>53.365411764705883</v>
      </c>
      <c r="C56" t="s">
        <v>815</v>
      </c>
    </row>
    <row r="57" spans="2:15">
      <c r="B57">
        <f>D37</f>
        <v>66.70676470588235</v>
      </c>
      <c r="C57" t="s">
        <v>814</v>
      </c>
    </row>
    <row r="63" spans="2:15" ht="16">
      <c r="B63" s="388" t="s">
        <v>706</v>
      </c>
      <c r="C63" s="186"/>
      <c r="D63" s="186"/>
    </row>
    <row r="64" spans="2:15">
      <c r="B64" t="s">
        <v>779</v>
      </c>
    </row>
    <row r="65" spans="2:10">
      <c r="D65" s="366"/>
    </row>
    <row r="66" spans="2:10">
      <c r="D66" s="366"/>
    </row>
    <row r="67" spans="2:10">
      <c r="D67" s="366"/>
    </row>
    <row r="75" spans="2:10">
      <c r="B75" s="186" t="s">
        <v>854</v>
      </c>
      <c r="C75" s="186"/>
      <c r="D75" s="186"/>
      <c r="E75" s="186"/>
      <c r="G75" s="186" t="s">
        <v>933</v>
      </c>
      <c r="H75" s="186"/>
      <c r="I75" s="186"/>
      <c r="J75" s="186"/>
    </row>
    <row r="76" spans="2:10">
      <c r="B76" t="s">
        <v>763</v>
      </c>
      <c r="D76">
        <v>3.5</v>
      </c>
      <c r="E76" t="s">
        <v>747</v>
      </c>
      <c r="G76" t="s">
        <v>205</v>
      </c>
      <c r="I76">
        <v>1620</v>
      </c>
      <c r="J76" t="s">
        <v>227</v>
      </c>
    </row>
    <row r="77" spans="2:10">
      <c r="D77" s="281">
        <f>D76*25.4</f>
        <v>88.899999999999991</v>
      </c>
      <c r="E77" t="s">
        <v>227</v>
      </c>
      <c r="G77" t="s">
        <v>226</v>
      </c>
      <c r="I77" s="190">
        <v>1.4075101552646612</v>
      </c>
      <c r="J77" t="s">
        <v>227</v>
      </c>
    </row>
    <row r="78" spans="2:10">
      <c r="B78" t="s">
        <v>855</v>
      </c>
      <c r="D78" t="s">
        <v>751</v>
      </c>
      <c r="G78" t="s">
        <v>707</v>
      </c>
      <c r="I78" s="190">
        <f>I79+2*I77</f>
        <v>93.223020310529307</v>
      </c>
      <c r="J78" t="s">
        <v>227</v>
      </c>
    </row>
    <row r="79" spans="2:10">
      <c r="B79" t="s">
        <v>770</v>
      </c>
      <c r="D79">
        <v>20</v>
      </c>
      <c r="E79" t="s">
        <v>767</v>
      </c>
      <c r="G79" t="s">
        <v>708</v>
      </c>
      <c r="I79" s="190">
        <f>D83</f>
        <v>90.407999999999987</v>
      </c>
      <c r="J79" t="s">
        <v>227</v>
      </c>
    </row>
    <row r="80" spans="2:10">
      <c r="B80" t="s">
        <v>766</v>
      </c>
      <c r="D80">
        <v>85</v>
      </c>
      <c r="E80" t="s">
        <v>767</v>
      </c>
      <c r="G80" t="s">
        <v>709</v>
      </c>
      <c r="I80" s="190">
        <f>(I78+I79)*0.5</f>
        <v>91.815510155264647</v>
      </c>
      <c r="J80" t="s">
        <v>227</v>
      </c>
    </row>
    <row r="81" spans="2:12">
      <c r="D81">
        <f>CONVERT(D80,"C","F")</f>
        <v>185</v>
      </c>
      <c r="E81" t="s">
        <v>768</v>
      </c>
      <c r="G81" t="s">
        <v>323</v>
      </c>
      <c r="I81" s="190">
        <f>1620/2</f>
        <v>810</v>
      </c>
      <c r="J81" t="s">
        <v>227</v>
      </c>
      <c r="L81" t="s">
        <v>776</v>
      </c>
    </row>
    <row r="82" spans="2:12">
      <c r="B82" t="s">
        <v>764</v>
      </c>
      <c r="D82">
        <f>VLOOKUP(D78,B289:C295,2,)</f>
        <v>23.2</v>
      </c>
      <c r="E82" t="s">
        <v>769</v>
      </c>
      <c r="G82" t="s">
        <v>745</v>
      </c>
      <c r="I82" s="190">
        <f>((PI()*I78^2)/4)-((PI()*I79^2)/4)</f>
        <v>405.99198631148738</v>
      </c>
      <c r="J82" t="s">
        <v>866</v>
      </c>
      <c r="L82" t="s">
        <v>777</v>
      </c>
    </row>
    <row r="83" spans="2:12">
      <c r="B83" t="s">
        <v>765</v>
      </c>
      <c r="D83">
        <f>D77+((D80-D79)*(D82/1000))</f>
        <v>90.407999999999987</v>
      </c>
      <c r="E83" t="s">
        <v>227</v>
      </c>
      <c r="G83" t="s">
        <v>867</v>
      </c>
      <c r="I83" s="190">
        <f>(PI()/(32*I78))*((I78^4)-I79^4)</f>
        <v>9180.5447477597481</v>
      </c>
      <c r="J83" t="s">
        <v>865</v>
      </c>
      <c r="L83" t="s">
        <v>778</v>
      </c>
    </row>
    <row r="85" spans="2:12">
      <c r="B85" s="186" t="s">
        <v>934</v>
      </c>
      <c r="C85" s="186"/>
      <c r="D85" s="186"/>
      <c r="E85" s="186"/>
      <c r="F85" s="186"/>
      <c r="G85" s="186"/>
      <c r="H85" s="186"/>
      <c r="I85" s="186"/>
      <c r="J85" s="186"/>
    </row>
    <row r="86" spans="2:12">
      <c r="B86" t="s">
        <v>937</v>
      </c>
      <c r="D86" s="281">
        <f>I88</f>
        <v>87.302361846254399</v>
      </c>
      <c r="E86" t="s">
        <v>227</v>
      </c>
      <c r="G86" t="s">
        <v>226</v>
      </c>
      <c r="I86" s="281">
        <f>0.5*I79-(0.125*(I79^4)-0.0625*(I78^4))^(1/4)</f>
        <v>1.5528190768727939</v>
      </c>
      <c r="J86" t="s">
        <v>227</v>
      </c>
    </row>
    <row r="87" spans="2:12">
      <c r="B87" t="s">
        <v>938</v>
      </c>
      <c r="D87" s="281">
        <f>D86+((D79-D80)*D82/1000)</f>
        <v>85.794361846254404</v>
      </c>
      <c r="E87" t="s">
        <v>227</v>
      </c>
      <c r="G87" t="s">
        <v>936</v>
      </c>
      <c r="I87" s="190">
        <f>I79</f>
        <v>90.407999999999987</v>
      </c>
      <c r="J87" t="s">
        <v>227</v>
      </c>
    </row>
    <row r="88" spans="2:12">
      <c r="B88" t="s">
        <v>939</v>
      </c>
      <c r="D88" s="281">
        <f>(D86-D87)/2</f>
        <v>0.75399999999999778</v>
      </c>
      <c r="E88" t="s">
        <v>227</v>
      </c>
      <c r="G88" t="s">
        <v>935</v>
      </c>
      <c r="I88">
        <f>I87-2*I86</f>
        <v>87.302361846254399</v>
      </c>
      <c r="J88" t="s">
        <v>227</v>
      </c>
    </row>
    <row r="89" spans="2:12">
      <c r="C89" s="446" t="s">
        <v>942</v>
      </c>
      <c r="D89">
        <v>0.2</v>
      </c>
      <c r="E89" t="s">
        <v>784</v>
      </c>
      <c r="G89" t="s">
        <v>940</v>
      </c>
    </row>
    <row r="90" spans="2:12">
      <c r="C90" s="446"/>
      <c r="D90">
        <v>0</v>
      </c>
      <c r="E90" t="s">
        <v>194</v>
      </c>
      <c r="G90" t="s">
        <v>941</v>
      </c>
    </row>
    <row r="92" spans="2:12">
      <c r="B92" s="186" t="s">
        <v>1010</v>
      </c>
      <c r="C92" s="186"/>
      <c r="G92" s="186" t="s">
        <v>934</v>
      </c>
      <c r="H92" s="186"/>
      <c r="I92" s="186"/>
    </row>
    <row r="93" spans="2:12">
      <c r="B93" t="s">
        <v>1011</v>
      </c>
      <c r="C93">
        <f>D83</f>
        <v>90.407999999999987</v>
      </c>
      <c r="D93" t="s">
        <v>227</v>
      </c>
      <c r="E93" s="446" t="s">
        <v>1017</v>
      </c>
      <c r="G93" t="s">
        <v>708</v>
      </c>
      <c r="H93">
        <f>I88</f>
        <v>87.302361846254399</v>
      </c>
      <c r="I93" t="s">
        <v>227</v>
      </c>
      <c r="J93" s="446" t="s">
        <v>1017</v>
      </c>
    </row>
    <row r="94" spans="2:12">
      <c r="B94" t="s">
        <v>1012</v>
      </c>
      <c r="C94" s="190">
        <f>I78</f>
        <v>93.223020310529307</v>
      </c>
      <c r="D94" t="s">
        <v>227</v>
      </c>
      <c r="E94" s="446"/>
      <c r="G94" t="s">
        <v>1012</v>
      </c>
      <c r="H94">
        <f>C93</f>
        <v>90.407999999999987</v>
      </c>
      <c r="I94" t="s">
        <v>227</v>
      </c>
      <c r="J94" s="446"/>
    </row>
    <row r="95" spans="2:12">
      <c r="B95" t="s">
        <v>1014</v>
      </c>
      <c r="C95">
        <v>80</v>
      </c>
      <c r="D95" t="s">
        <v>227</v>
      </c>
      <c r="E95">
        <v>4</v>
      </c>
      <c r="G95" t="s">
        <v>1014</v>
      </c>
      <c r="H95" t="s">
        <v>1013</v>
      </c>
      <c r="I95" t="s">
        <v>227</v>
      </c>
      <c r="J95">
        <v>4</v>
      </c>
    </row>
    <row r="96" spans="2:12">
      <c r="B96" t="s">
        <v>1015</v>
      </c>
      <c r="C96">
        <v>22</v>
      </c>
      <c r="D96" t="s">
        <v>227</v>
      </c>
      <c r="E96">
        <v>4</v>
      </c>
      <c r="G96" t="s">
        <v>1015</v>
      </c>
      <c r="I96" t="s">
        <v>227</v>
      </c>
    </row>
    <row r="97" spans="2:10">
      <c r="B97" t="s">
        <v>1016</v>
      </c>
      <c r="C97">
        <v>46</v>
      </c>
      <c r="D97" t="s">
        <v>227</v>
      </c>
      <c r="E97">
        <v>4</v>
      </c>
      <c r="G97" t="s">
        <v>1016</v>
      </c>
      <c r="I97" t="s">
        <v>227</v>
      </c>
    </row>
    <row r="98" spans="2:10">
      <c r="B98" s="186" t="s">
        <v>856</v>
      </c>
      <c r="C98" s="186"/>
      <c r="D98" s="186"/>
      <c r="E98" s="186"/>
      <c r="F98" s="186"/>
      <c r="G98" s="186"/>
      <c r="H98" s="186"/>
      <c r="I98" s="186"/>
      <c r="J98" s="186"/>
    </row>
    <row r="99" spans="2:10">
      <c r="B99" t="s">
        <v>1018</v>
      </c>
    </row>
    <row r="100" spans="2:10">
      <c r="B100" t="s">
        <v>857</v>
      </c>
    </row>
    <row r="101" spans="2:10">
      <c r="B101" t="s">
        <v>84</v>
      </c>
      <c r="C101" t="s">
        <v>858</v>
      </c>
      <c r="D101" t="s">
        <v>859</v>
      </c>
      <c r="E101">
        <v>18</v>
      </c>
      <c r="F101" t="s">
        <v>860</v>
      </c>
      <c r="G101" t="s">
        <v>861</v>
      </c>
      <c r="H101">
        <v>0.5</v>
      </c>
    </row>
    <row r="103" spans="2:10" ht="29">
      <c r="B103" s="186" t="s">
        <v>848</v>
      </c>
      <c r="C103" s="186" t="s">
        <v>780</v>
      </c>
      <c r="D103" s="378" t="s">
        <v>1019</v>
      </c>
      <c r="E103" s="186" t="s">
        <v>409</v>
      </c>
      <c r="F103" s="186"/>
      <c r="G103" s="186"/>
      <c r="H103" s="186"/>
      <c r="I103" s="186"/>
      <c r="J103" s="186"/>
    </row>
    <row r="104" spans="2:10">
      <c r="B104" t="s">
        <v>771</v>
      </c>
      <c r="C104" t="s">
        <v>785</v>
      </c>
      <c r="D104" t="s">
        <v>773</v>
      </c>
      <c r="E104" t="s">
        <v>1020</v>
      </c>
    </row>
    <row r="105" spans="2:10">
      <c r="B105" s="190">
        <v>89</v>
      </c>
      <c r="C105" s="368" t="s">
        <v>784</v>
      </c>
      <c r="D105">
        <v>150</v>
      </c>
      <c r="E105" t="s">
        <v>775</v>
      </c>
    </row>
    <row r="106" spans="2:10">
      <c r="B106" s="190">
        <v>350</v>
      </c>
      <c r="C106" s="369" t="s">
        <v>784</v>
      </c>
      <c r="D106">
        <v>1500</v>
      </c>
      <c r="E106" t="s">
        <v>851</v>
      </c>
      <c r="I106" s="371"/>
      <c r="J106" s="281"/>
    </row>
    <row r="107" spans="2:10">
      <c r="B107" s="190">
        <f>(B105+B106-(B108*D108))/D107</f>
        <v>-7.0269360269360301E-2</v>
      </c>
      <c r="C107" s="370" t="s">
        <v>194</v>
      </c>
      <c r="D107">
        <f>I81-D105</f>
        <v>660</v>
      </c>
      <c r="E107" t="s">
        <v>853</v>
      </c>
      <c r="I107" s="306"/>
      <c r="J107" s="306"/>
    </row>
    <row r="108" spans="2:10">
      <c r="B108" s="190">
        <f>(B106*(2*D108+D107)-(B105*D107))/((D108^2)+D107*D108)</f>
        <v>0.70344605475040256</v>
      </c>
      <c r="C108" s="367" t="s">
        <v>194</v>
      </c>
      <c r="D108">
        <f>D106-I81</f>
        <v>690</v>
      </c>
      <c r="E108" t="s">
        <v>852</v>
      </c>
      <c r="H108" t="s">
        <v>871</v>
      </c>
      <c r="I108">
        <f>SUM(D107:D108)</f>
        <v>1350</v>
      </c>
      <c r="J108" s="306"/>
    </row>
    <row r="110" spans="2:10">
      <c r="B110" t="s">
        <v>862</v>
      </c>
      <c r="F110" t="s">
        <v>864</v>
      </c>
    </row>
    <row r="111" spans="2:10">
      <c r="B111" t="s">
        <v>872</v>
      </c>
      <c r="D111" s="281">
        <f>B105-B107*D107</f>
        <v>135.37777777777779</v>
      </c>
      <c r="E111" t="s">
        <v>717</v>
      </c>
    </row>
    <row r="112" spans="2:10">
      <c r="B112" t="s">
        <v>863</v>
      </c>
      <c r="D112" s="281">
        <f>(B105^2)/(2*B107)</f>
        <v>-56361.691423095326</v>
      </c>
      <c r="E112" t="s">
        <v>789</v>
      </c>
      <c r="F112">
        <f>B105/B107</f>
        <v>-1266.5548634403444</v>
      </c>
      <c r="G112" t="s">
        <v>227</v>
      </c>
    </row>
    <row r="113" spans="2:14">
      <c r="B113" t="s">
        <v>869</v>
      </c>
      <c r="D113" s="281">
        <f>((D111^2)/(2*B108))-D111*(I108-D107)+B108*(0.5*I108^2+0.5*D107^2-I108*D107)</f>
        <v>87071.353355919797</v>
      </c>
      <c r="E113" t="s">
        <v>789</v>
      </c>
      <c r="F113">
        <f>(D111/B108)+D107</f>
        <v>852.44940939474407</v>
      </c>
      <c r="G113" t="s">
        <v>227</v>
      </c>
      <c r="H113" s="379" t="s">
        <v>899</v>
      </c>
    </row>
    <row r="114" spans="2:14">
      <c r="B114" t="s">
        <v>792</v>
      </c>
      <c r="D114" s="281">
        <f>MAX(D112:D113)</f>
        <v>87071.353355919797</v>
      </c>
      <c r="E114" t="s">
        <v>789</v>
      </c>
      <c r="H114" s="379" t="s">
        <v>900</v>
      </c>
    </row>
    <row r="115" spans="2:14">
      <c r="B115" t="s">
        <v>868</v>
      </c>
      <c r="D115" s="281">
        <f>D114/tubeZ</f>
        <v>9.4843340725687426</v>
      </c>
      <c r="E115" t="s">
        <v>721</v>
      </c>
    </row>
    <row r="116" spans="2:14">
      <c r="B116" t="s">
        <v>895</v>
      </c>
      <c r="D116" s="281">
        <f>B106/(PI()*I80*I77)</f>
        <v>0.86208598149883475</v>
      </c>
      <c r="E116" t="s">
        <v>721</v>
      </c>
    </row>
    <row r="117" spans="2:14">
      <c r="B117" t="s">
        <v>891</v>
      </c>
      <c r="D117" s="281">
        <f>StyComp/D115</f>
        <v>13.781394870855243</v>
      </c>
    </row>
    <row r="118" spans="2:14">
      <c r="B118" t="s">
        <v>892</v>
      </c>
      <c r="D118" s="281">
        <f>ScyComp/D115</f>
        <v>5.6266904303859429</v>
      </c>
    </row>
    <row r="119" spans="2:14">
      <c r="B119" t="s">
        <v>894</v>
      </c>
      <c r="D119" s="281">
        <f>SsyComp/D116</f>
        <v>41.912702116274126</v>
      </c>
      <c r="F119" s="379" t="s">
        <v>897</v>
      </c>
    </row>
    <row r="120" spans="2:14">
      <c r="F120" s="379" t="s">
        <v>898</v>
      </c>
    </row>
    <row r="121" spans="2:14" outlineLevel="2">
      <c r="B121" t="s">
        <v>870</v>
      </c>
      <c r="C121">
        <v>15</v>
      </c>
      <c r="D121">
        <f>I108/C121</f>
        <v>90</v>
      </c>
      <c r="L121" t="s">
        <v>782</v>
      </c>
      <c r="M121" t="s">
        <v>788</v>
      </c>
    </row>
    <row r="122" spans="2:14" outlineLevel="2">
      <c r="B122" s="373" t="s">
        <v>790</v>
      </c>
      <c r="C122" s="373" t="s">
        <v>320</v>
      </c>
      <c r="D122" s="373" t="s">
        <v>791</v>
      </c>
      <c r="L122">
        <f>D105</f>
        <v>150</v>
      </c>
      <c r="M122">
        <v>0</v>
      </c>
    </row>
    <row r="123" spans="2:14" outlineLevel="2">
      <c r="B123">
        <v>0</v>
      </c>
      <c r="C123">
        <f t="shared" ref="C123:C139" si="0">IF(B123&lt;$D$107,$B$105-$B$107*B123,$D$111-$B$108*(B123-$D$107))</f>
        <v>89</v>
      </c>
      <c r="D123">
        <f>IF(B123&lt;$D$107,$B$105*B123-$B$107*(B123^2)*0.5,$D$111*B123+$B$108*($D$107*B123+0.5*$I$108^2-0.5*B123^2)-$I$108*($D$111+$B$108*$D$107))</f>
        <v>0</v>
      </c>
      <c r="L123">
        <f>L122</f>
        <v>150</v>
      </c>
      <c r="M123">
        <f>B105</f>
        <v>89</v>
      </c>
      <c r="N123" t="s">
        <v>783</v>
      </c>
    </row>
    <row r="124" spans="2:14" outlineLevel="2">
      <c r="B124">
        <f>D121</f>
        <v>90</v>
      </c>
      <c r="C124">
        <f t="shared" si="0"/>
        <v>95.324242424242428</v>
      </c>
      <c r="D124">
        <f t="shared" ref="D124:D140" si="1">IF(B124&lt;$D$107,$B$105*B124-$B$107*(B124^2)*0.5,$D$111*B124+$B$108*($D$107*B124+0.5*$I$108^2-0.5*B124^2)-$I$108*($D$111+$B$108*$D$107))</f>
        <v>8294.5909090909099</v>
      </c>
      <c r="L124" t="e">
        <f>#REF!</f>
        <v>#REF!</v>
      </c>
      <c r="M124">
        <f>M123</f>
        <v>89</v>
      </c>
    </row>
    <row r="125" spans="2:14" outlineLevel="2">
      <c r="B125">
        <f>B124+$D$121</f>
        <v>180</v>
      </c>
      <c r="C125">
        <f t="shared" si="0"/>
        <v>101.64848484848486</v>
      </c>
      <c r="D125">
        <f t="shared" si="1"/>
        <v>17158.363636363636</v>
      </c>
      <c r="L125" t="e">
        <f>L124</f>
        <v>#REF!</v>
      </c>
      <c r="M125" t="e">
        <f>M124-#REF!</f>
        <v>#REF!</v>
      </c>
    </row>
    <row r="126" spans="2:14" outlineLevel="2">
      <c r="B126">
        <f t="shared" ref="B126:B139" si="2">B125+$D$121</f>
        <v>270</v>
      </c>
      <c r="C126">
        <f t="shared" si="0"/>
        <v>107.97272727272728</v>
      </c>
      <c r="D126">
        <f t="shared" si="1"/>
        <v>26591.318181818184</v>
      </c>
      <c r="L126">
        <f>D106</f>
        <v>1500</v>
      </c>
      <c r="M126" t="e">
        <f>M125</f>
        <v>#REF!</v>
      </c>
    </row>
    <row r="127" spans="2:14" outlineLevel="2">
      <c r="B127">
        <f t="shared" si="2"/>
        <v>360</v>
      </c>
      <c r="C127">
        <f t="shared" si="0"/>
        <v>114.29696969696971</v>
      </c>
      <c r="D127">
        <f t="shared" si="1"/>
        <v>36593.454545454544</v>
      </c>
      <c r="L127">
        <f>L126</f>
        <v>1500</v>
      </c>
      <c r="M127" t="e">
        <f>M125+B106</f>
        <v>#REF!</v>
      </c>
    </row>
    <row r="128" spans="2:14" outlineLevel="2">
      <c r="B128">
        <f t="shared" si="2"/>
        <v>450</v>
      </c>
      <c r="C128">
        <f t="shared" si="0"/>
        <v>120.62121212121214</v>
      </c>
      <c r="D128">
        <f t="shared" si="1"/>
        <v>47164.772727272728</v>
      </c>
    </row>
    <row r="129" spans="2:13" outlineLevel="2">
      <c r="B129">
        <f t="shared" si="2"/>
        <v>540</v>
      </c>
      <c r="C129">
        <f t="shared" si="0"/>
        <v>126.94545454545457</v>
      </c>
      <c r="D129">
        <f t="shared" si="1"/>
        <v>58305.272727272735</v>
      </c>
    </row>
    <row r="130" spans="2:13" outlineLevel="2">
      <c r="B130">
        <f t="shared" si="2"/>
        <v>630</v>
      </c>
      <c r="C130">
        <f t="shared" si="0"/>
        <v>133.26969696969698</v>
      </c>
      <c r="D130">
        <f t="shared" si="1"/>
        <v>70014.954545454559</v>
      </c>
    </row>
    <row r="131" spans="2:13" outlineLevel="2">
      <c r="B131">
        <f>D107</f>
        <v>660</v>
      </c>
      <c r="C131">
        <f t="shared" si="0"/>
        <v>135.37777777777779</v>
      </c>
      <c r="D131">
        <f t="shared" si="1"/>
        <v>74044.666666666628</v>
      </c>
    </row>
    <row r="132" spans="2:13" outlineLevel="2">
      <c r="B132">
        <f>B130+$D$121</f>
        <v>720</v>
      </c>
      <c r="C132">
        <f t="shared" si="0"/>
        <v>93.171014492753642</v>
      </c>
      <c r="D132">
        <f t="shared" si="1"/>
        <v>80901.130434782477</v>
      </c>
    </row>
    <row r="133" spans="2:13" outlineLevel="2">
      <c r="B133">
        <f t="shared" si="2"/>
        <v>810</v>
      </c>
      <c r="C133">
        <f t="shared" si="0"/>
        <v>29.860869565217413</v>
      </c>
      <c r="D133">
        <f>IF(B133&lt;$D$107,$B$105*B133-$B$107*(B133^2)*0.5,$D$111*B133+$B$108*($D$107*B133+0.5*$I$108^2-0.5*B133^2)-$I$108*($D$111+$B$108*$D$107))</f>
        <v>86437.565217391239</v>
      </c>
      <c r="L133" t="s">
        <v>786</v>
      </c>
    </row>
    <row r="134" spans="2:13" outlineLevel="2">
      <c r="B134">
        <f t="shared" si="2"/>
        <v>900</v>
      </c>
      <c r="C134">
        <f t="shared" si="0"/>
        <v>-33.449275362318815</v>
      </c>
      <c r="D134">
        <f t="shared" si="1"/>
        <v>86276.086956521613</v>
      </c>
      <c r="L134" t="s">
        <v>782</v>
      </c>
      <c r="M134" t="s">
        <v>787</v>
      </c>
    </row>
    <row r="135" spans="2:13" outlineLevel="2">
      <c r="B135">
        <f t="shared" si="2"/>
        <v>990</v>
      </c>
      <c r="C135">
        <f t="shared" si="0"/>
        <v>-96.759420289855058</v>
      </c>
      <c r="D135">
        <f t="shared" si="1"/>
        <v>80416.695652173832</v>
      </c>
      <c r="L135">
        <f>L122</f>
        <v>150</v>
      </c>
      <c r="M135">
        <f>M122</f>
        <v>0</v>
      </c>
    </row>
    <row r="136" spans="2:13" outlineLevel="2">
      <c r="B136">
        <f t="shared" si="2"/>
        <v>1080</v>
      </c>
      <c r="C136">
        <f t="shared" si="0"/>
        <v>-160.0695652173913</v>
      </c>
      <c r="D136">
        <f t="shared" si="1"/>
        <v>68859.391304347781</v>
      </c>
      <c r="L136" t="e">
        <f>L124</f>
        <v>#REF!</v>
      </c>
      <c r="M136" t="e">
        <f>(L136-L135)*M124</f>
        <v>#REF!</v>
      </c>
    </row>
    <row r="137" spans="2:13" outlineLevel="2">
      <c r="B137">
        <f t="shared" si="2"/>
        <v>1170</v>
      </c>
      <c r="C137">
        <f t="shared" si="0"/>
        <v>-223.37971014492751</v>
      </c>
      <c r="D137">
        <f t="shared" si="1"/>
        <v>51604.173913043342</v>
      </c>
      <c r="L137">
        <f>L126</f>
        <v>1500</v>
      </c>
      <c r="M137" t="e">
        <f>M136-(L137-L136)*M125</f>
        <v>#REF!</v>
      </c>
    </row>
    <row r="138" spans="2:13" outlineLevel="2">
      <c r="B138">
        <f t="shared" si="2"/>
        <v>1260</v>
      </c>
      <c r="C138">
        <f t="shared" si="0"/>
        <v>-286.68985507246373</v>
      </c>
      <c r="D138">
        <f t="shared" si="1"/>
        <v>28651.043478260748</v>
      </c>
    </row>
    <row r="139" spans="2:13" outlineLevel="2">
      <c r="B139">
        <f t="shared" si="2"/>
        <v>1350</v>
      </c>
      <c r="C139">
        <f t="shared" si="0"/>
        <v>-350</v>
      </c>
      <c r="D139">
        <f t="shared" si="1"/>
        <v>-1.1641532182693481E-10</v>
      </c>
    </row>
    <row r="140" spans="2:13" outlineLevel="2">
      <c r="B140">
        <f>B139</f>
        <v>1350</v>
      </c>
      <c r="C140">
        <f>0</f>
        <v>0</v>
      </c>
      <c r="D140">
        <f t="shared" si="1"/>
        <v>-1.1641532182693481E-10</v>
      </c>
    </row>
    <row r="141" spans="2:13">
      <c r="B141" s="186" t="s">
        <v>781</v>
      </c>
      <c r="C141" s="186" t="s">
        <v>780</v>
      </c>
      <c r="D141" s="186" t="s">
        <v>772</v>
      </c>
      <c r="E141" s="186" t="s">
        <v>409</v>
      </c>
      <c r="F141" s="186"/>
      <c r="G141" s="186"/>
      <c r="H141" s="186"/>
      <c r="I141" s="186"/>
      <c r="J141" s="186"/>
    </row>
    <row r="142" spans="2:13">
      <c r="B142" t="s">
        <v>771</v>
      </c>
      <c r="C142" t="s">
        <v>785</v>
      </c>
      <c r="D142" t="s">
        <v>773</v>
      </c>
      <c r="E142" t="s">
        <v>774</v>
      </c>
    </row>
    <row r="143" spans="2:13">
      <c r="B143">
        <v>6</v>
      </c>
      <c r="C143" s="368" t="s">
        <v>194</v>
      </c>
      <c r="D143">
        <v>0</v>
      </c>
      <c r="E143" t="s">
        <v>849</v>
      </c>
      <c r="I143" t="s">
        <v>1021</v>
      </c>
      <c r="J143">
        <f>(B146/J144)/9.81</f>
        <v>19.450494358627243</v>
      </c>
    </row>
    <row r="144" spans="2:13">
      <c r="B144">
        <v>150</v>
      </c>
      <c r="C144" s="369" t="s">
        <v>194</v>
      </c>
      <c r="E144" t="s">
        <v>850</v>
      </c>
      <c r="I144" t="s">
        <v>874</v>
      </c>
      <c r="J144">
        <f>J146-J145</f>
        <v>6.2889999999999997</v>
      </c>
    </row>
    <row r="145" spans="2:10">
      <c r="B145" s="281">
        <f>(J144*9.81*(1+J143))</f>
        <v>1261.6950899999999</v>
      </c>
      <c r="C145" s="370" t="s">
        <v>194</v>
      </c>
      <c r="E145" t="s">
        <v>886</v>
      </c>
      <c r="I145" t="s">
        <v>875</v>
      </c>
      <c r="J145">
        <f>3.423-2.328</f>
        <v>1.0950000000000002</v>
      </c>
    </row>
    <row r="146" spans="2:10">
      <c r="B146">
        <v>1200</v>
      </c>
      <c r="C146" t="s">
        <v>784</v>
      </c>
      <c r="D146" t="s">
        <v>88</v>
      </c>
      <c r="E146" t="s">
        <v>1022</v>
      </c>
      <c r="I146" t="s">
        <v>873</v>
      </c>
      <c r="J146">
        <v>7.3840000000000003</v>
      </c>
    </row>
    <row r="148" spans="2:10">
      <c r="B148" t="s">
        <v>876</v>
      </c>
      <c r="D148" s="281">
        <f>B144/I82</f>
        <v>0.36946542064235766</v>
      </c>
      <c r="E148" t="s">
        <v>721</v>
      </c>
    </row>
    <row r="149" spans="2:10">
      <c r="B149" t="s">
        <v>877</v>
      </c>
      <c r="D149" s="281">
        <f>B145/I82</f>
        <v>3.1076847143283151</v>
      </c>
      <c r="E149" t="s">
        <v>721</v>
      </c>
      <c r="F149" s="379" t="s">
        <v>882</v>
      </c>
    </row>
    <row r="150" spans="2:10">
      <c r="B150" t="s">
        <v>878</v>
      </c>
      <c r="D150" s="281">
        <f>Sbending</f>
        <v>9.4843340725687426</v>
      </c>
      <c r="E150" t="s">
        <v>721</v>
      </c>
      <c r="F150" s="379" t="s">
        <v>883</v>
      </c>
    </row>
    <row r="151" spans="2:10">
      <c r="B151" t="s">
        <v>879</v>
      </c>
      <c r="D151" s="281">
        <f>SUM(D148:D150)</f>
        <v>12.961484207539415</v>
      </c>
      <c r="E151" t="s">
        <v>721</v>
      </c>
      <c r="F151" s="379" t="s">
        <v>884</v>
      </c>
    </row>
    <row r="152" spans="2:10">
      <c r="B152" t="s">
        <v>893</v>
      </c>
      <c r="D152" s="281">
        <f>D111</f>
        <v>135.37777777777779</v>
      </c>
      <c r="F152" s="391" t="s">
        <v>885</v>
      </c>
      <c r="G152" s="391">
        <f>(B144/J144)/9.81</f>
        <v>2.4313117948284053</v>
      </c>
    </row>
    <row r="153" spans="2:10">
      <c r="B153" s="273" t="s">
        <v>881</v>
      </c>
      <c r="C153" s="273"/>
      <c r="D153" s="382">
        <f>ScyComp/D151</f>
        <v>4.1172300108705429</v>
      </c>
    </row>
    <row r="154" spans="2:10">
      <c r="B154" s="273" t="s">
        <v>880</v>
      </c>
      <c r="C154" s="273"/>
      <c r="D154" s="382">
        <f>StyComp/Sbending</f>
        <v>13.781394870855243</v>
      </c>
    </row>
    <row r="155" spans="2:10">
      <c r="B155" s="273" t="s">
        <v>887</v>
      </c>
      <c r="C155" s="273"/>
      <c r="D155" s="382">
        <f>D119</f>
        <v>41.912702116274126</v>
      </c>
    </row>
    <row r="157" spans="2:10">
      <c r="B157" s="186" t="s">
        <v>919</v>
      </c>
      <c r="C157" s="186"/>
      <c r="D157" s="186"/>
      <c r="F157" t="s">
        <v>943</v>
      </c>
    </row>
    <row r="158" spans="2:10">
      <c r="B158" t="s">
        <v>912</v>
      </c>
      <c r="D158">
        <f>(I82*I76)/(1000^3)</f>
        <v>6.5770701782460951E-4</v>
      </c>
      <c r="E158" t="s">
        <v>680</v>
      </c>
      <c r="F158" t="s">
        <v>945</v>
      </c>
    </row>
    <row r="159" spans="2:10">
      <c r="B159" t="s">
        <v>913</v>
      </c>
      <c r="D159">
        <f>F24*D158</f>
        <v>2.9596815802107428E-4</v>
      </c>
      <c r="E159" t="s">
        <v>680</v>
      </c>
      <c r="F159" t="s">
        <v>944</v>
      </c>
      <c r="G159">
        <f>I173</f>
        <v>0.6861264568664136</v>
      </c>
      <c r="H159" t="s">
        <v>946</v>
      </c>
    </row>
    <row r="160" spans="2:10">
      <c r="D160">
        <f>D159*(1000)</f>
        <v>0.29596815802107429</v>
      </c>
      <c r="E160" t="s">
        <v>403</v>
      </c>
      <c r="F160" s="384" t="s">
        <v>950</v>
      </c>
    </row>
    <row r="161" spans="2:10">
      <c r="B161" t="s">
        <v>914</v>
      </c>
      <c r="D161">
        <f>F23*D158</f>
        <v>3.6173885980353524E-4</v>
      </c>
      <c r="E161" t="s">
        <v>680</v>
      </c>
      <c r="F161" s="384" t="s">
        <v>952</v>
      </c>
    </row>
    <row r="162" spans="2:10">
      <c r="B162" t="s">
        <v>915</v>
      </c>
      <c r="D162">
        <f>D23*D161</f>
        <v>0.34546061111237614</v>
      </c>
      <c r="E162" t="s">
        <v>310</v>
      </c>
      <c r="F162" t="s">
        <v>953</v>
      </c>
    </row>
    <row r="163" spans="2:10">
      <c r="B163" t="s">
        <v>916</v>
      </c>
      <c r="D163">
        <f>D162/(D18/1000)</f>
        <v>1.808694299017676</v>
      </c>
      <c r="E163" t="s">
        <v>223</v>
      </c>
      <c r="F163" s="385" t="s">
        <v>951</v>
      </c>
    </row>
    <row r="164" spans="2:10">
      <c r="B164" t="s">
        <v>917</v>
      </c>
      <c r="D164">
        <v>1.62</v>
      </c>
      <c r="E164" t="s">
        <v>197</v>
      </c>
    </row>
    <row r="165" spans="2:10">
      <c r="B165" t="s">
        <v>918</v>
      </c>
      <c r="D165">
        <f>D163/D164</f>
        <v>1.1164779623565901</v>
      </c>
      <c r="E165" t="s">
        <v>197</v>
      </c>
    </row>
    <row r="166" spans="2:10">
      <c r="H166" t="s">
        <v>948</v>
      </c>
      <c r="I166" t="s">
        <v>947</v>
      </c>
    </row>
    <row r="167" spans="2:10">
      <c r="B167" s="186" t="s">
        <v>920</v>
      </c>
      <c r="C167" s="186"/>
      <c r="D167" s="186"/>
      <c r="F167" t="s">
        <v>928</v>
      </c>
      <c r="I167" t="s">
        <v>679</v>
      </c>
    </row>
    <row r="168" spans="2:10">
      <c r="B168" t="s">
        <v>921</v>
      </c>
      <c r="D168" s="281">
        <v>0.2</v>
      </c>
      <c r="E168" t="s">
        <v>227</v>
      </c>
      <c r="F168">
        <v>0.3</v>
      </c>
      <c r="G168" t="s">
        <v>926</v>
      </c>
      <c r="I168">
        <f>($I$82/1000^2)*F168</f>
        <v>1.217975958934462E-4</v>
      </c>
    </row>
    <row r="169" spans="2:10">
      <c r="B169" t="s">
        <v>923</v>
      </c>
      <c r="D169" s="281">
        <f>PI()*I80</f>
        <v>288.44693218937846</v>
      </c>
      <c r="E169" t="s">
        <v>227</v>
      </c>
      <c r="F169">
        <v>0.22</v>
      </c>
      <c r="G169" t="s">
        <v>927</v>
      </c>
      <c r="I169">
        <f t="shared" ref="I169:I171" si="3">($I$82/1000^2)*F169</f>
        <v>8.9318236988527219E-5</v>
      </c>
    </row>
    <row r="170" spans="2:10">
      <c r="B170" t="s">
        <v>205</v>
      </c>
      <c r="D170" s="281">
        <v>1620</v>
      </c>
      <c r="E170" t="s">
        <v>227</v>
      </c>
      <c r="F170">
        <v>0.37</v>
      </c>
      <c r="G170" t="s">
        <v>929</v>
      </c>
      <c r="I170">
        <f t="shared" si="3"/>
        <v>1.5021703493525032E-4</v>
      </c>
    </row>
    <row r="171" spans="2:10">
      <c r="B171" t="s">
        <v>922</v>
      </c>
      <c r="D171" s="281">
        <f>ROUNDUP(I77/D168,0)</f>
        <v>8</v>
      </c>
      <c r="E171" t="s">
        <v>925</v>
      </c>
      <c r="F171">
        <v>0.8</v>
      </c>
      <c r="G171" t="s">
        <v>930</v>
      </c>
      <c r="I171">
        <f t="shared" si="3"/>
        <v>3.2479358904918994E-4</v>
      </c>
    </row>
    <row r="172" spans="2:10">
      <c r="B172" t="s">
        <v>924</v>
      </c>
      <c r="D172" s="281">
        <f>(D169/1000)*(D170/1000)*D171</f>
        <v>3.7382722411743448</v>
      </c>
      <c r="E172" t="s">
        <v>223</v>
      </c>
      <c r="F172">
        <f>SUM(F168:F171)</f>
        <v>1.69</v>
      </c>
      <c r="G172" s="386">
        <f>SUM(F170:F171)</f>
        <v>1.17</v>
      </c>
      <c r="H172" t="s">
        <v>931</v>
      </c>
      <c r="I172">
        <f>SUM(I168:I171)</f>
        <v>6.8612645686641363E-4</v>
      </c>
    </row>
    <row r="173" spans="2:10">
      <c r="B173" t="s">
        <v>917</v>
      </c>
      <c r="D173" s="281">
        <v>1.17</v>
      </c>
      <c r="I173">
        <f>I172*1000</f>
        <v>0.6861264568664136</v>
      </c>
      <c r="J173" t="s">
        <v>949</v>
      </c>
    </row>
    <row r="174" spans="2:10">
      <c r="B174" s="186" t="s">
        <v>918</v>
      </c>
      <c r="C174" s="186"/>
      <c r="D174" s="387">
        <f>D172/D173</f>
        <v>3.1951044796361923</v>
      </c>
    </row>
    <row r="175" spans="2:10">
      <c r="B175" t="s">
        <v>921</v>
      </c>
      <c r="D175" s="281">
        <v>0.2</v>
      </c>
      <c r="E175" t="s">
        <v>227</v>
      </c>
      <c r="F175" s="386">
        <v>1.17</v>
      </c>
      <c r="G175" t="s">
        <v>931</v>
      </c>
    </row>
    <row r="176" spans="2:10">
      <c r="B176" t="s">
        <v>923</v>
      </c>
      <c r="D176" s="281">
        <f>PI()*I80</f>
        <v>288.44693218937846</v>
      </c>
      <c r="E176" t="s">
        <v>227</v>
      </c>
    </row>
    <row r="177" spans="2:20">
      <c r="B177" t="s">
        <v>205</v>
      </c>
      <c r="D177" s="281">
        <v>1170</v>
      </c>
      <c r="E177" t="s">
        <v>227</v>
      </c>
    </row>
    <row r="178" spans="2:20">
      <c r="B178" t="s">
        <v>922</v>
      </c>
      <c r="D178" s="281">
        <v>9</v>
      </c>
      <c r="E178" t="s">
        <v>925</v>
      </c>
    </row>
    <row r="179" spans="2:20">
      <c r="B179" t="s">
        <v>924</v>
      </c>
      <c r="D179" s="281">
        <f>(D176/1000)*(D177/1000)*D178</f>
        <v>3.037346195954155</v>
      </c>
      <c r="E179" t="s">
        <v>223</v>
      </c>
    </row>
    <row r="180" spans="2:20">
      <c r="B180" t="s">
        <v>917</v>
      </c>
      <c r="D180" s="281">
        <v>1.17</v>
      </c>
    </row>
    <row r="181" spans="2:20">
      <c r="B181" s="186" t="s">
        <v>918</v>
      </c>
      <c r="C181" s="186"/>
      <c r="D181" s="387">
        <f>D179/D180</f>
        <v>2.5960223897044061</v>
      </c>
    </row>
    <row r="182" spans="2:20">
      <c r="B182" t="s">
        <v>921</v>
      </c>
      <c r="D182" s="281">
        <v>0.2</v>
      </c>
      <c r="E182" t="s">
        <v>227</v>
      </c>
      <c r="F182" s="301">
        <f>SUM(F168:F169)</f>
        <v>0.52</v>
      </c>
      <c r="G182" t="s">
        <v>932</v>
      </c>
    </row>
    <row r="183" spans="2:20">
      <c r="B183" t="s">
        <v>923</v>
      </c>
      <c r="D183" s="281">
        <f>PI()*I80</f>
        <v>288.44693218937846</v>
      </c>
      <c r="E183" t="s">
        <v>227</v>
      </c>
    </row>
    <row r="184" spans="2:20">
      <c r="B184" t="s">
        <v>205</v>
      </c>
      <c r="D184" s="281">
        <v>520</v>
      </c>
      <c r="E184" t="s">
        <v>227</v>
      </c>
    </row>
    <row r="185" spans="2:20">
      <c r="B185" t="s">
        <v>922</v>
      </c>
      <c r="D185" s="281">
        <v>9</v>
      </c>
      <c r="E185" t="s">
        <v>925</v>
      </c>
    </row>
    <row r="186" spans="2:20">
      <c r="B186" t="s">
        <v>924</v>
      </c>
      <c r="D186" s="281">
        <f>(D183/1000)*(D184/1000)*D185</f>
        <v>1.3499316426462913</v>
      </c>
      <c r="E186" t="s">
        <v>223</v>
      </c>
    </row>
    <row r="187" spans="2:20">
      <c r="B187" t="s">
        <v>917</v>
      </c>
      <c r="D187" s="281">
        <v>0.52</v>
      </c>
    </row>
    <row r="188" spans="2:20">
      <c r="B188" t="s">
        <v>918</v>
      </c>
      <c r="D188" s="281">
        <f>D186/D187</f>
        <v>2.5960223897044061</v>
      </c>
    </row>
    <row r="190" spans="2:20">
      <c r="L190" t="s">
        <v>954</v>
      </c>
      <c r="Q190" t="s">
        <v>962</v>
      </c>
    </row>
    <row r="191" spans="2:20" ht="16">
      <c r="B191" s="388" t="s">
        <v>710</v>
      </c>
      <c r="C191" s="186"/>
      <c r="D191" s="186"/>
      <c r="L191" t="s">
        <v>955</v>
      </c>
      <c r="N191">
        <v>15</v>
      </c>
      <c r="O191" t="s">
        <v>196</v>
      </c>
      <c r="Q191" t="s">
        <v>965</v>
      </c>
      <c r="S191">
        <v>2</v>
      </c>
      <c r="T191" t="s">
        <v>227</v>
      </c>
    </row>
    <row r="192" spans="2:20">
      <c r="L192" t="s">
        <v>956</v>
      </c>
      <c r="N192">
        <v>10</v>
      </c>
      <c r="O192" t="s">
        <v>196</v>
      </c>
      <c r="Q192" t="s">
        <v>963</v>
      </c>
      <c r="S192">
        <v>0.25</v>
      </c>
      <c r="T192" t="s">
        <v>227</v>
      </c>
    </row>
    <row r="193" spans="12:20">
      <c r="L193" t="s">
        <v>957</v>
      </c>
      <c r="N193">
        <v>10</v>
      </c>
      <c r="O193" t="s">
        <v>196</v>
      </c>
      <c r="Q193" t="s">
        <v>964</v>
      </c>
      <c r="S193" s="286">
        <f>ROUNDUP(S191/S192,0)</f>
        <v>8</v>
      </c>
      <c r="T193" t="s">
        <v>925</v>
      </c>
    </row>
    <row r="194" spans="12:20">
      <c r="L194" t="s">
        <v>958</v>
      </c>
      <c r="N194">
        <v>40</v>
      </c>
      <c r="O194" t="s">
        <v>217</v>
      </c>
    </row>
    <row r="195" spans="12:20">
      <c r="Q195" t="s">
        <v>967</v>
      </c>
      <c r="S195">
        <f>4*S193</f>
        <v>32</v>
      </c>
      <c r="T195" t="s">
        <v>968</v>
      </c>
    </row>
    <row r="196" spans="12:20">
      <c r="L196" t="s">
        <v>959</v>
      </c>
      <c r="N196">
        <f>TAN(RADIANS(N194))*N193</f>
        <v>8.390996311772799</v>
      </c>
      <c r="O196" t="s">
        <v>196</v>
      </c>
    </row>
    <row r="197" spans="12:20">
      <c r="L197" t="s">
        <v>917</v>
      </c>
      <c r="N197">
        <f>N196+N192</f>
        <v>18.390996311772799</v>
      </c>
    </row>
    <row r="198" spans="12:20">
      <c r="L198" t="s">
        <v>918</v>
      </c>
      <c r="N198">
        <f>N193</f>
        <v>10</v>
      </c>
    </row>
    <row r="199" spans="12:20">
      <c r="L199" t="s">
        <v>960</v>
      </c>
      <c r="Q199" t="s">
        <v>966</v>
      </c>
    </row>
    <row r="200" spans="12:20">
      <c r="L200" t="s">
        <v>917</v>
      </c>
      <c r="N200" s="286">
        <f>N197+2.54*2</f>
        <v>23.470996311772801</v>
      </c>
      <c r="O200" t="s">
        <v>196</v>
      </c>
      <c r="Q200" t="s">
        <v>917</v>
      </c>
      <c r="R200">
        <v>8</v>
      </c>
      <c r="S200">
        <f>R200*N201</f>
        <v>120.64</v>
      </c>
    </row>
    <row r="201" spans="12:20">
      <c r="L201" t="s">
        <v>918</v>
      </c>
      <c r="N201" s="286">
        <f>N198+2.54*2</f>
        <v>15.08</v>
      </c>
      <c r="O201" t="s">
        <v>196</v>
      </c>
      <c r="Q201" t="s">
        <v>918</v>
      </c>
      <c r="R201">
        <f>S195/R200</f>
        <v>4</v>
      </c>
      <c r="S201">
        <f>R201*N200</f>
        <v>93.883985247091204</v>
      </c>
    </row>
    <row r="203" spans="12:20">
      <c r="L203" t="s">
        <v>961</v>
      </c>
      <c r="P203">
        <f>23/100</f>
        <v>0.23</v>
      </c>
      <c r="Q203">
        <f>15/100</f>
        <v>0.15</v>
      </c>
    </row>
    <row r="204" spans="12:20">
      <c r="L204" t="s">
        <v>917</v>
      </c>
      <c r="N204">
        <v>1.27</v>
      </c>
      <c r="O204" t="s">
        <v>197</v>
      </c>
      <c r="P204" s="281">
        <f>$N$204/P203</f>
        <v>5.5217391304347823</v>
      </c>
      <c r="Q204" s="281">
        <f>$N$204/Q203</f>
        <v>8.4666666666666668</v>
      </c>
    </row>
    <row r="205" spans="12:20">
      <c r="P205" s="281"/>
      <c r="Q205" s="281"/>
    </row>
    <row r="206" spans="12:20">
      <c r="P206" s="281"/>
      <c r="Q206" s="281"/>
    </row>
    <row r="207" spans="12:20">
      <c r="L207" t="s">
        <v>918</v>
      </c>
    </row>
    <row r="208" spans="12:20">
      <c r="Q208">
        <f>0.47*N201</f>
        <v>7.0875999999999992</v>
      </c>
    </row>
    <row r="209" spans="2:12" ht="16">
      <c r="B209" s="388" t="s">
        <v>985</v>
      </c>
      <c r="C209" s="186"/>
      <c r="D209" s="186"/>
    </row>
    <row r="211" spans="2:12">
      <c r="B211" s="186" t="s">
        <v>987</v>
      </c>
      <c r="C211" s="186"/>
      <c r="D211" s="186"/>
    </row>
    <row r="212" spans="2:12">
      <c r="B212" t="s">
        <v>971</v>
      </c>
      <c r="D212">
        <f>88.9-0.005*25.4*2</f>
        <v>88.646000000000001</v>
      </c>
      <c r="E212" t="s">
        <v>227</v>
      </c>
    </row>
    <row r="213" spans="2:12">
      <c r="B213" t="s">
        <v>973</v>
      </c>
      <c r="D213">
        <f>D212/2</f>
        <v>44.323</v>
      </c>
    </row>
    <row r="214" spans="2:12">
      <c r="B214" t="s">
        <v>974</v>
      </c>
      <c r="D214">
        <v>5</v>
      </c>
      <c r="E214" t="s">
        <v>196</v>
      </c>
      <c r="L214" t="s">
        <v>969</v>
      </c>
    </row>
    <row r="215" spans="2:12">
      <c r="B215" t="s">
        <v>972</v>
      </c>
      <c r="D215">
        <v>56.1</v>
      </c>
      <c r="E215" t="s">
        <v>227</v>
      </c>
    </row>
    <row r="216" spans="2:12">
      <c r="B216" t="s">
        <v>975</v>
      </c>
      <c r="D216">
        <f>PI()*D212*D214*10</f>
        <v>13924.481118506039</v>
      </c>
      <c r="E216" t="s">
        <v>866</v>
      </c>
    </row>
    <row r="217" spans="2:12">
      <c r="B217" t="s">
        <v>976</v>
      </c>
      <c r="D217">
        <f>(PI()/4)*((D215^2)-D213^2)</f>
        <v>928.87601228722519</v>
      </c>
      <c r="E217" t="s">
        <v>977</v>
      </c>
    </row>
    <row r="218" spans="2:12">
      <c r="B218" t="s">
        <v>978</v>
      </c>
      <c r="D218">
        <v>1200</v>
      </c>
      <c r="E218" t="s">
        <v>717</v>
      </c>
    </row>
    <row r="219" spans="2:12">
      <c r="B219" t="s">
        <v>979</v>
      </c>
      <c r="D219">
        <f>D218/D216</f>
        <v>8.6179153807402223E-2</v>
      </c>
      <c r="E219" t="s">
        <v>721</v>
      </c>
    </row>
    <row r="220" spans="2:12">
      <c r="B220" t="s">
        <v>993</v>
      </c>
      <c r="E220" t="s">
        <v>721</v>
      </c>
    </row>
    <row r="221" spans="2:12">
      <c r="B221" t="s">
        <v>980</v>
      </c>
      <c r="D221">
        <f>D218/D217</f>
        <v>1.2918839372815436</v>
      </c>
      <c r="E221" t="s">
        <v>721</v>
      </c>
    </row>
    <row r="222" spans="2:12">
      <c r="B222" t="s">
        <v>981</v>
      </c>
      <c r="D222">
        <f>1750*(0.1/14.5)</f>
        <v>12.068965517241381</v>
      </c>
      <c r="E222" t="s">
        <v>721</v>
      </c>
    </row>
    <row r="223" spans="2:12">
      <c r="B223" t="s">
        <v>982</v>
      </c>
      <c r="E223" t="s">
        <v>721</v>
      </c>
    </row>
    <row r="225" spans="2:13">
      <c r="B225" t="s">
        <v>983</v>
      </c>
      <c r="D225">
        <f>D222/D219</f>
        <v>140.04506872060674</v>
      </c>
    </row>
    <row r="226" spans="2:13">
      <c r="B226" t="s">
        <v>984</v>
      </c>
      <c r="D226">
        <f>D223/D221</f>
        <v>0</v>
      </c>
    </row>
    <row r="237" spans="2:13">
      <c r="B237" s="186" t="s">
        <v>986</v>
      </c>
      <c r="C237" s="186"/>
      <c r="D237" s="186"/>
    </row>
    <row r="238" spans="2:13">
      <c r="B238" t="s">
        <v>972</v>
      </c>
      <c r="D238">
        <f>D215</f>
        <v>56.1</v>
      </c>
      <c r="E238" t="s">
        <v>227</v>
      </c>
    </row>
    <row r="239" spans="2:13">
      <c r="B239" t="s">
        <v>989</v>
      </c>
      <c r="D239">
        <f>D212</f>
        <v>88.646000000000001</v>
      </c>
      <c r="E239" t="s">
        <v>227</v>
      </c>
    </row>
    <row r="240" spans="2:13">
      <c r="B240" t="s">
        <v>990</v>
      </c>
      <c r="D240">
        <f>3.5*25.4+2*2</f>
        <v>92.899999999999991</v>
      </c>
      <c r="E240" t="s">
        <v>227</v>
      </c>
      <c r="L240" t="s">
        <v>832</v>
      </c>
      <c r="M240" t="s">
        <v>988</v>
      </c>
    </row>
    <row r="241" spans="2:15">
      <c r="B241" t="s">
        <v>991</v>
      </c>
      <c r="D241" s="390">
        <v>60</v>
      </c>
      <c r="E241" t="s">
        <v>227</v>
      </c>
      <c r="O241" t="s">
        <v>994</v>
      </c>
    </row>
    <row r="242" spans="2:15">
      <c r="B242" t="s">
        <v>1001</v>
      </c>
      <c r="D242" s="390">
        <v>5</v>
      </c>
      <c r="E242" t="s">
        <v>227</v>
      </c>
    </row>
    <row r="243" spans="2:15">
      <c r="B243" t="s">
        <v>998</v>
      </c>
      <c r="D243">
        <v>3</v>
      </c>
      <c r="E243" t="s">
        <v>227</v>
      </c>
      <c r="O243" t="s">
        <v>995</v>
      </c>
    </row>
    <row r="244" spans="2:15">
      <c r="B244" t="s">
        <v>992</v>
      </c>
      <c r="D244">
        <f>D243+D242</f>
        <v>8</v>
      </c>
      <c r="E244" t="s">
        <v>227</v>
      </c>
    </row>
    <row r="245" spans="2:15">
      <c r="B245" t="s">
        <v>999</v>
      </c>
      <c r="D245">
        <f>PI()*D239*D243</f>
        <v>835.46886711036245</v>
      </c>
      <c r="E245" t="s">
        <v>866</v>
      </c>
    </row>
    <row r="246" spans="2:15">
      <c r="B246" t="s">
        <v>1000</v>
      </c>
      <c r="D246">
        <f>PI()*D241*D244</f>
        <v>1507.9644737231006</v>
      </c>
      <c r="E246" t="s">
        <v>866</v>
      </c>
    </row>
    <row r="247" spans="2:15">
      <c r="B247" t="s">
        <v>1002</v>
      </c>
      <c r="D247">
        <v>1200</v>
      </c>
      <c r="E247" t="s">
        <v>717</v>
      </c>
    </row>
    <row r="248" spans="2:15">
      <c r="B248" t="s">
        <v>996</v>
      </c>
      <c r="D248">
        <f>D247/D245</f>
        <v>1.43631923012337</v>
      </c>
      <c r="E248" t="s">
        <v>721</v>
      </c>
    </row>
    <row r="249" spans="2:15">
      <c r="B249" t="s">
        <v>997</v>
      </c>
      <c r="D249">
        <f>D247/D246</f>
        <v>0.79577471545947676</v>
      </c>
      <c r="E249" t="s">
        <v>721</v>
      </c>
    </row>
    <row r="250" spans="2:15">
      <c r="B250" t="s">
        <v>1007</v>
      </c>
      <c r="E250" t="s">
        <v>721</v>
      </c>
    </row>
    <row r="251" spans="2:15">
      <c r="B251" t="s">
        <v>1008</v>
      </c>
      <c r="E251" t="s">
        <v>721</v>
      </c>
    </row>
    <row r="252" spans="2:15">
      <c r="B252" t="s">
        <v>1005</v>
      </c>
      <c r="D252">
        <v>12</v>
      </c>
      <c r="E252" t="s">
        <v>721</v>
      </c>
    </row>
    <row r="253" spans="2:15">
      <c r="B253" t="s">
        <v>1006</v>
      </c>
      <c r="D253">
        <v>3</v>
      </c>
      <c r="E253" t="s">
        <v>721</v>
      </c>
    </row>
    <row r="254" spans="2:15">
      <c r="B254" t="s">
        <v>1003</v>
      </c>
      <c r="D254">
        <f>D252/D248</f>
        <v>8.3546886711036255</v>
      </c>
    </row>
    <row r="255" spans="2:15">
      <c r="B255" t="s">
        <v>1004</v>
      </c>
      <c r="D255">
        <f>D253/D249</f>
        <v>3.7699111843077517</v>
      </c>
    </row>
    <row r="257" spans="2:5">
      <c r="B257" s="186" t="s">
        <v>1009</v>
      </c>
      <c r="C257" s="186"/>
      <c r="D257" s="186"/>
    </row>
    <row r="272" spans="2:5">
      <c r="B272" s="389" t="s">
        <v>687</v>
      </c>
      <c r="C272" s="186"/>
      <c r="D272" s="186"/>
      <c r="E272" s="186"/>
    </row>
    <row r="273" spans="2:9" ht="43.5">
      <c r="B273" t="s">
        <v>690</v>
      </c>
      <c r="C273" t="s">
        <v>688</v>
      </c>
      <c r="D273" t="s">
        <v>691</v>
      </c>
      <c r="E273" t="s">
        <v>692</v>
      </c>
      <c r="F273" s="353" t="s">
        <v>696</v>
      </c>
      <c r="G273" t="s">
        <v>689</v>
      </c>
      <c r="H273" t="s">
        <v>694</v>
      </c>
      <c r="I273" t="s">
        <v>695</v>
      </c>
    </row>
    <row r="274" spans="2:9">
      <c r="B274">
        <v>2</v>
      </c>
      <c r="C274">
        <v>2.375</v>
      </c>
      <c r="D274">
        <f>C274-2*E274</f>
        <v>2.0670000000000002</v>
      </c>
      <c r="E274">
        <v>0.154</v>
      </c>
      <c r="F274" t="s">
        <v>697</v>
      </c>
      <c r="G274">
        <f>C274*25.4</f>
        <v>60.324999999999996</v>
      </c>
      <c r="H274">
        <f t="shared" ref="H274:I274" si="4">D274*25.4</f>
        <v>52.501800000000003</v>
      </c>
      <c r="I274">
        <f t="shared" si="4"/>
        <v>3.9115999999999995</v>
      </c>
    </row>
    <row r="275" spans="2:9">
      <c r="B275">
        <v>2</v>
      </c>
      <c r="C275">
        <v>2.375</v>
      </c>
      <c r="D275">
        <f t="shared" ref="D275:D283" si="5">C275-2*E275</f>
        <v>1.9390000000000001</v>
      </c>
      <c r="E275">
        <v>0.218</v>
      </c>
      <c r="F275" t="s">
        <v>698</v>
      </c>
      <c r="G275">
        <f t="shared" ref="G275:G283" si="6">C275*25.4</f>
        <v>60.324999999999996</v>
      </c>
      <c r="H275">
        <f t="shared" ref="H275:H283" si="7">D275*25.4</f>
        <v>49.250599999999999</v>
      </c>
      <c r="I275">
        <f t="shared" ref="I275:I283" si="8">E275*25.4</f>
        <v>5.5371999999999995</v>
      </c>
    </row>
    <row r="276" spans="2:9">
      <c r="B276">
        <v>2.5</v>
      </c>
      <c r="C276">
        <v>2.875</v>
      </c>
      <c r="D276">
        <f t="shared" si="5"/>
        <v>2.4689999999999999</v>
      </c>
      <c r="E276">
        <v>0.20300000000000001</v>
      </c>
      <c r="F276" t="s">
        <v>697</v>
      </c>
      <c r="G276">
        <f t="shared" si="6"/>
        <v>73.024999999999991</v>
      </c>
      <c r="H276">
        <f t="shared" si="7"/>
        <v>62.712599999999995</v>
      </c>
      <c r="I276">
        <f t="shared" si="8"/>
        <v>5.1562000000000001</v>
      </c>
    </row>
    <row r="277" spans="2:9">
      <c r="B277">
        <v>2.5</v>
      </c>
      <c r="C277">
        <v>2.875</v>
      </c>
      <c r="D277">
        <f t="shared" si="5"/>
        <v>2.323</v>
      </c>
      <c r="E277">
        <v>0.27600000000000002</v>
      </c>
      <c r="F277" t="s">
        <v>698</v>
      </c>
      <c r="G277">
        <f t="shared" si="6"/>
        <v>73.024999999999991</v>
      </c>
      <c r="H277">
        <f t="shared" si="7"/>
        <v>59.004199999999997</v>
      </c>
      <c r="I277">
        <f t="shared" si="8"/>
        <v>7.0104000000000006</v>
      </c>
    </row>
    <row r="278" spans="2:9">
      <c r="B278">
        <v>3</v>
      </c>
      <c r="C278">
        <v>3.5</v>
      </c>
      <c r="D278">
        <f t="shared" si="5"/>
        <v>3.0680000000000001</v>
      </c>
      <c r="E278">
        <v>0.216</v>
      </c>
      <c r="F278" t="s">
        <v>697</v>
      </c>
      <c r="G278">
        <f t="shared" si="6"/>
        <v>88.899999999999991</v>
      </c>
      <c r="H278">
        <f t="shared" si="7"/>
        <v>77.927199999999999</v>
      </c>
      <c r="I278">
        <f t="shared" si="8"/>
        <v>5.4863999999999997</v>
      </c>
    </row>
    <row r="279" spans="2:9">
      <c r="B279">
        <v>3</v>
      </c>
      <c r="C279">
        <v>3.5</v>
      </c>
      <c r="D279">
        <f t="shared" si="5"/>
        <v>2.9</v>
      </c>
      <c r="E279">
        <v>0.3</v>
      </c>
      <c r="F279" t="s">
        <v>698</v>
      </c>
      <c r="G279">
        <f t="shared" si="6"/>
        <v>88.899999999999991</v>
      </c>
      <c r="H279">
        <f t="shared" si="7"/>
        <v>73.66</v>
      </c>
      <c r="I279">
        <f t="shared" si="8"/>
        <v>7.6199999999999992</v>
      </c>
    </row>
    <row r="280" spans="2:9">
      <c r="B280">
        <v>3.5</v>
      </c>
      <c r="C280">
        <v>4</v>
      </c>
      <c r="D280">
        <f t="shared" si="5"/>
        <v>3.548</v>
      </c>
      <c r="E280">
        <v>0.22600000000000001</v>
      </c>
      <c r="F280" t="s">
        <v>697</v>
      </c>
      <c r="G280">
        <f t="shared" si="6"/>
        <v>101.6</v>
      </c>
      <c r="H280">
        <f t="shared" si="7"/>
        <v>90.119199999999992</v>
      </c>
      <c r="I280">
        <f t="shared" si="8"/>
        <v>5.7404000000000002</v>
      </c>
    </row>
    <row r="281" spans="2:9">
      <c r="B281">
        <v>3.5</v>
      </c>
      <c r="C281">
        <v>4</v>
      </c>
      <c r="D281">
        <f t="shared" si="5"/>
        <v>3.3639999999999999</v>
      </c>
      <c r="E281">
        <v>0.318</v>
      </c>
      <c r="F281" t="s">
        <v>698</v>
      </c>
      <c r="G281">
        <f t="shared" si="6"/>
        <v>101.6</v>
      </c>
      <c r="H281">
        <f t="shared" si="7"/>
        <v>85.445599999999999</v>
      </c>
      <c r="I281">
        <f t="shared" si="8"/>
        <v>8.0771999999999995</v>
      </c>
    </row>
    <row r="282" spans="2:9">
      <c r="B282">
        <v>4</v>
      </c>
      <c r="C282">
        <v>4.5</v>
      </c>
      <c r="D282">
        <f t="shared" si="5"/>
        <v>4.0259999999999998</v>
      </c>
      <c r="E282">
        <v>0.23699999999999999</v>
      </c>
      <c r="F282" t="s">
        <v>697</v>
      </c>
      <c r="G282">
        <f t="shared" si="6"/>
        <v>114.3</v>
      </c>
      <c r="H282">
        <f t="shared" si="7"/>
        <v>102.26039999999999</v>
      </c>
      <c r="I282">
        <f t="shared" si="8"/>
        <v>6.0197999999999992</v>
      </c>
    </row>
    <row r="283" spans="2:9">
      <c r="B283">
        <v>4</v>
      </c>
      <c r="C283">
        <v>4.5</v>
      </c>
      <c r="D283">
        <f t="shared" si="5"/>
        <v>3.8260000000000001</v>
      </c>
      <c r="E283">
        <v>0.33700000000000002</v>
      </c>
      <c r="F283" t="s">
        <v>698</v>
      </c>
      <c r="G283">
        <f t="shared" si="6"/>
        <v>114.3</v>
      </c>
      <c r="H283">
        <f t="shared" si="7"/>
        <v>97.180399999999992</v>
      </c>
      <c r="I283">
        <f t="shared" si="8"/>
        <v>8.5597999999999992</v>
      </c>
    </row>
    <row r="285" spans="2:9">
      <c r="B285" t="s">
        <v>693</v>
      </c>
      <c r="C285" t="s">
        <v>699</v>
      </c>
    </row>
    <row r="286" spans="2:9">
      <c r="B286" t="s">
        <v>704</v>
      </c>
      <c r="C286" t="s">
        <v>700</v>
      </c>
    </row>
    <row r="288" spans="2:9" ht="72.5">
      <c r="B288" s="353" t="s">
        <v>748</v>
      </c>
      <c r="C288" s="353" t="s">
        <v>817</v>
      </c>
      <c r="D288" t="s">
        <v>409</v>
      </c>
    </row>
    <row r="289" spans="2:8" ht="29">
      <c r="B289" s="63" t="s">
        <v>749</v>
      </c>
      <c r="C289" s="63">
        <v>23.6</v>
      </c>
      <c r="D289" s="365" t="s">
        <v>750</v>
      </c>
    </row>
    <row r="290" spans="2:8">
      <c r="B290" s="63" t="s">
        <v>751</v>
      </c>
      <c r="C290" s="63">
        <v>23.2</v>
      </c>
      <c r="D290" s="365" t="s">
        <v>752</v>
      </c>
    </row>
    <row r="291" spans="2:8">
      <c r="B291" s="63" t="s">
        <v>753</v>
      </c>
      <c r="C291" s="63">
        <v>22</v>
      </c>
      <c r="D291" s="365" t="s">
        <v>754</v>
      </c>
    </row>
    <row r="292" spans="2:8">
      <c r="B292" s="63" t="s">
        <v>755</v>
      </c>
      <c r="C292" s="63">
        <v>23.6</v>
      </c>
      <c r="D292" s="365" t="s">
        <v>756</v>
      </c>
    </row>
    <row r="293" spans="2:8">
      <c r="B293" s="63" t="s">
        <v>757</v>
      </c>
      <c r="C293" s="63">
        <v>23.5</v>
      </c>
      <c r="D293" s="365" t="s">
        <v>758</v>
      </c>
    </row>
    <row r="294" spans="2:8" ht="29">
      <c r="B294" s="63" t="s">
        <v>759</v>
      </c>
      <c r="C294" s="63">
        <v>21.5</v>
      </c>
      <c r="D294" s="365" t="s">
        <v>760</v>
      </c>
    </row>
    <row r="295" spans="2:8" ht="29">
      <c r="B295" s="63" t="s">
        <v>761</v>
      </c>
      <c r="C295" s="63">
        <v>21.5</v>
      </c>
      <c r="D295" s="365" t="s">
        <v>762</v>
      </c>
    </row>
    <row r="299" spans="2:8">
      <c r="B299" t="s">
        <v>818</v>
      </c>
    </row>
    <row r="300" spans="2:8">
      <c r="B300" t="s">
        <v>819</v>
      </c>
      <c r="C300" t="s">
        <v>834</v>
      </c>
      <c r="D300" t="s">
        <v>820</v>
      </c>
      <c r="E300" t="s">
        <v>821</v>
      </c>
    </row>
    <row r="301" spans="2:8">
      <c r="B301">
        <v>310</v>
      </c>
      <c r="C301">
        <f>B301*D301</f>
        <v>310</v>
      </c>
      <c r="D301">
        <v>1</v>
      </c>
      <c r="E301" s="301" t="s">
        <v>822</v>
      </c>
    </row>
    <row r="302" spans="2:8">
      <c r="B302">
        <v>840</v>
      </c>
      <c r="C302">
        <f t="shared" ref="C302:C312" si="9">B302*D302</f>
        <v>840</v>
      </c>
      <c r="D302">
        <v>1</v>
      </c>
      <c r="E302" s="301" t="s">
        <v>823</v>
      </c>
    </row>
    <row r="303" spans="2:8">
      <c r="B303">
        <v>840</v>
      </c>
      <c r="C303">
        <f t="shared" si="9"/>
        <v>840</v>
      </c>
      <c r="D303">
        <v>1</v>
      </c>
      <c r="E303" s="301" t="s">
        <v>901</v>
      </c>
    </row>
    <row r="304" spans="2:8">
      <c r="B304">
        <v>595</v>
      </c>
      <c r="C304" s="300">
        <f t="shared" si="9"/>
        <v>595</v>
      </c>
      <c r="D304">
        <v>1</v>
      </c>
      <c r="E304" t="s">
        <v>824</v>
      </c>
      <c r="H304" s="364" t="s">
        <v>902</v>
      </c>
    </row>
    <row r="305" spans="2:8">
      <c r="B305">
        <v>590</v>
      </c>
      <c r="C305" s="300">
        <f t="shared" si="9"/>
        <v>590</v>
      </c>
      <c r="D305">
        <v>1</v>
      </c>
      <c r="E305" t="s">
        <v>825</v>
      </c>
      <c r="H305" s="364" t="s">
        <v>903</v>
      </c>
    </row>
    <row r="306" spans="2:8">
      <c r="B306" s="300">
        <v>360</v>
      </c>
      <c r="C306">
        <f t="shared" si="9"/>
        <v>1800</v>
      </c>
      <c r="D306">
        <v>5</v>
      </c>
      <c r="E306" t="s">
        <v>826</v>
      </c>
      <c r="H306" s="364" t="s">
        <v>904</v>
      </c>
    </row>
    <row r="307" spans="2:8">
      <c r="B307">
        <v>649</v>
      </c>
      <c r="C307">
        <f>B307*D307</f>
        <v>649</v>
      </c>
      <c r="D307">
        <v>1</v>
      </c>
      <c r="E307" s="301" t="s">
        <v>827</v>
      </c>
    </row>
    <row r="308" spans="2:8">
      <c r="B308">
        <v>800</v>
      </c>
      <c r="C308" s="300">
        <f t="shared" si="9"/>
        <v>1600</v>
      </c>
      <c r="D308">
        <v>2</v>
      </c>
      <c r="E308" t="s">
        <v>828</v>
      </c>
    </row>
    <row r="309" spans="2:8">
      <c r="B309">
        <v>85</v>
      </c>
      <c r="C309">
        <f t="shared" si="9"/>
        <v>85</v>
      </c>
      <c r="D309">
        <v>1</v>
      </c>
      <c r="E309" s="301" t="s">
        <v>905</v>
      </c>
    </row>
    <row r="310" spans="2:8">
      <c r="B310">
        <v>320</v>
      </c>
      <c r="C310" s="300">
        <f>B310*D310</f>
        <v>960</v>
      </c>
      <c r="D310">
        <v>3</v>
      </c>
      <c r="E310" t="s">
        <v>906</v>
      </c>
    </row>
    <row r="311" spans="2:8">
      <c r="B311">
        <v>320</v>
      </c>
      <c r="C311">
        <f t="shared" si="9"/>
        <v>0</v>
      </c>
      <c r="E311" t="s">
        <v>907</v>
      </c>
    </row>
    <row r="312" spans="2:8">
      <c r="B312">
        <v>420</v>
      </c>
      <c r="C312">
        <f t="shared" si="9"/>
        <v>1260</v>
      </c>
      <c r="D312">
        <v>3</v>
      </c>
      <c r="E312" t="s">
        <v>970</v>
      </c>
    </row>
    <row r="314" spans="2:8">
      <c r="C314">
        <f>C304+B306+C308+C310</f>
        <v>3515</v>
      </c>
      <c r="D314" t="s">
        <v>324</v>
      </c>
    </row>
  </sheetData>
  <dataConsolidate/>
  <mergeCells count="4">
    <mergeCell ref="C89:C90"/>
    <mergeCell ref="E93:E94"/>
    <mergeCell ref="J93:J94"/>
    <mergeCell ref="E2:I3"/>
  </mergeCells>
  <dataValidations disablePrompts="1" count="2">
    <dataValidation type="list" allowBlank="1" showInputMessage="1" showErrorMessage="1" sqref="D76" xr:uid="{00000000-0002-0000-0400-000000000000}">
      <formula1>$C$274:$C$283</formula1>
    </dataValidation>
    <dataValidation type="list" allowBlank="1" showInputMessage="1" showErrorMessage="1" sqref="D78" xr:uid="{00000000-0002-0000-0400-000001000000}">
      <formula1>$B$289:$B$295</formula1>
    </dataValidation>
  </dataValidations>
  <hyperlinks>
    <hyperlink ref="B12" r:id="rId1" xr:uid="{00000000-0004-0000-0400-000000000000}"/>
    <hyperlink ref="H305" r:id="rId2" xr:uid="{00000000-0004-0000-0400-000001000000}"/>
    <hyperlink ref="H304" r:id="rId3" xr:uid="{00000000-0004-0000-0400-000002000000}"/>
    <hyperlink ref="H306" r:id="rId4" xr:uid="{00000000-0004-0000-0400-000003000000}"/>
  </hyperlinks>
  <pageMargins left="0.25" right="0.25" top="0.75" bottom="0.75" header="0.3" footer="0.3"/>
  <pageSetup orientation="portrait" r:id="rId5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591"/>
  <sheetViews>
    <sheetView zoomScale="85" zoomScaleNormal="85" workbookViewId="0">
      <pane ySplit="14" topLeftCell="A268" activePane="bottomLeft" state="frozen"/>
      <selection pane="bottomLeft" activeCell="B8" sqref="B8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164.29146131391354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44.021764382392163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5.0265482457436689E-3</v>
      </c>
    </row>
    <row r="8" spans="1:13" ht="14.5" outlineLevel="1">
      <c r="A8" t="s">
        <v>612</v>
      </c>
      <c r="B8" s="190">
        <f>B33</f>
        <v>17706.008941658431</v>
      </c>
    </row>
    <row r="9" spans="1:13" ht="14.5" outlineLevel="1">
      <c r="A9" t="s">
        <v>613</v>
      </c>
      <c r="B9" s="190">
        <f>B545</f>
        <v>1.35</v>
      </c>
    </row>
    <row r="10" spans="1:13" s="283" customFormat="1" ht="14.5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s="30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377" t="s">
        <v>330</v>
      </c>
      <c r="B13" s="285">
        <v>15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0.26179938779914941</v>
      </c>
      <c r="C15" s="318">
        <f t="shared" si="6"/>
        <v>0.26179938779914941</v>
      </c>
      <c r="D15" s="190">
        <f t="shared" si="6"/>
        <v>0.26179938779914941</v>
      </c>
      <c r="F15" s="190">
        <f t="shared" si="6"/>
        <v>0.26179938779914941</v>
      </c>
      <c r="G15" s="190">
        <f t="shared" si="6"/>
        <v>0.26179938779914941</v>
      </c>
      <c r="H15" s="190">
        <f t="shared" si="6"/>
        <v>0.26179938779914941</v>
      </c>
      <c r="I15" s="190">
        <f t="shared" si="6"/>
        <v>0.26179938779914941</v>
      </c>
      <c r="J15" s="190">
        <f t="shared" si="6"/>
        <v>0.26179938779914941</v>
      </c>
      <c r="K15" s="190">
        <f t="shared" si="6"/>
        <v>0.26179938779914941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hidden="1" outlineLevel="1">
      <c r="A26" t="s">
        <v>347</v>
      </c>
    </row>
    <row r="27" spans="1:11" ht="14.5" hidden="1" outlineLevel="1">
      <c r="A27" t="s">
        <v>348</v>
      </c>
    </row>
    <row r="28" spans="1:11" ht="14.5" hidden="1" outlineLevel="1">
      <c r="A28" t="s">
        <v>349</v>
      </c>
    </row>
    <row r="29" spans="1:11" ht="14.5" hidden="1" outlineLevel="1">
      <c r="A29" t="s">
        <v>340</v>
      </c>
      <c r="B29" s="190">
        <f t="shared" ref="B29:K29" si="14">DEGREES(ATAN((B5+B25)/B3))</f>
        <v>17.886441140114158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hidden="1" outlineLevel="1">
      <c r="A30" t="s">
        <v>341</v>
      </c>
      <c r="B30" s="190">
        <f t="shared" ref="B30:K30" si="15">DEGREES(ATAN((B4+B25)/B3))</f>
        <v>3.1355684427654356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hidden="1" outlineLevel="1">
      <c r="A31" t="s">
        <v>342</v>
      </c>
      <c r="B31" s="190">
        <f t="shared" ref="B31:K32" si="16">RADIANS(B29)</f>
        <v>0.31217728935916045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hidden="1" outlineLevel="1">
      <c r="A32" t="s">
        <v>343</v>
      </c>
      <c r="B32" s="190">
        <f t="shared" si="16"/>
        <v>5.4725993247888224E-2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1643771.1991620688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109584746.61080459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166.19760893838935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6.7411948224931262</v>
      </c>
      <c r="C110" s="328">
        <f t="shared" ref="C110:K110" si="50">C122</f>
        <v>8.1455404172422738E-2</v>
      </c>
      <c r="D110" s="277">
        <f t="shared" si="50"/>
        <v>0.24436621251726823</v>
      </c>
      <c r="E110" s="277"/>
      <c r="F110" s="277">
        <f t="shared" si="50"/>
        <v>0.57018782920695921</v>
      </c>
      <c r="G110" s="277">
        <f t="shared" si="50"/>
        <v>0.81455404172422752</v>
      </c>
      <c r="H110" s="277">
        <f t="shared" si="50"/>
        <v>1.2218310625863409</v>
      </c>
      <c r="I110" s="277">
        <f t="shared" si="50"/>
        <v>1.629108083448455</v>
      </c>
      <c r="J110" s="277">
        <f t="shared" si="50"/>
        <v>2.4436621251726818</v>
      </c>
      <c r="K110" s="277">
        <f t="shared" si="50"/>
        <v>4.0727702086211375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328754.23983241373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657508.47966482746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986262.7194972412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1315016.9593296549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1643771.1991620688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7.9183351375473006</v>
      </c>
      <c r="C118" s="322">
        <f t="shared" ref="C118:K122" si="54">C$109*(SQRT(0.0576/(2*($B112^(1/5)))))</f>
        <v>9.5679060757818596E-2</v>
      </c>
      <c r="D118" s="185">
        <f t="shared" si="54"/>
        <v>0.28703718227345582</v>
      </c>
      <c r="E118" s="185"/>
      <c r="F118" s="185">
        <f t="shared" si="54"/>
        <v>0.66975342530473025</v>
      </c>
      <c r="G118" s="185">
        <f t="shared" si="54"/>
        <v>0.95679060757818601</v>
      </c>
      <c r="H118" s="185">
        <f t="shared" si="54"/>
        <v>1.4351859113672789</v>
      </c>
      <c r="I118" s="185">
        <f t="shared" si="54"/>
        <v>1.913581215156372</v>
      </c>
      <c r="J118" s="185">
        <f t="shared" si="54"/>
        <v>2.8703718227345578</v>
      </c>
      <c r="K118" s="185">
        <f t="shared" si="54"/>
        <v>4.7839530378909307</v>
      </c>
    </row>
    <row r="119" spans="1:13" ht="14.5" hidden="1" outlineLevel="2">
      <c r="A119">
        <v>2</v>
      </c>
      <c r="B119" s="185">
        <f t="shared" ref="B119:B122" si="55">B$109*(SQRT(0.0576/(2*($B113^(1/5)))))</f>
        <v>7.3880679213767753</v>
      </c>
      <c r="C119" s="322">
        <f t="shared" si="54"/>
        <v>8.9271720286299441E-2</v>
      </c>
      <c r="D119" s="185">
        <f t="shared" si="54"/>
        <v>0.26781516085889834</v>
      </c>
      <c r="E119" s="185"/>
      <c r="F119" s="185">
        <f t="shared" si="54"/>
        <v>0.62490204200409616</v>
      </c>
      <c r="G119" s="185">
        <f t="shared" si="54"/>
        <v>0.8927172028629945</v>
      </c>
      <c r="H119" s="185">
        <f t="shared" si="54"/>
        <v>1.3390758042944915</v>
      </c>
      <c r="I119" s="185">
        <f t="shared" si="54"/>
        <v>1.785434405725989</v>
      </c>
      <c r="J119" s="185">
        <f t="shared" si="54"/>
        <v>2.6781516085889829</v>
      </c>
      <c r="K119" s="185">
        <f t="shared" si="54"/>
        <v>4.4635860143149726</v>
      </c>
    </row>
    <row r="120" spans="1:13" ht="14.5" hidden="1" outlineLevel="2">
      <c r="A120">
        <v>3</v>
      </c>
      <c r="B120" s="185">
        <f t="shared" si="55"/>
        <v>7.0944993543398702</v>
      </c>
      <c r="C120" s="322">
        <f t="shared" si="54"/>
        <v>8.5724463915585872E-2</v>
      </c>
      <c r="D120" s="185">
        <f t="shared" si="54"/>
        <v>0.25717339174675763</v>
      </c>
      <c r="E120" s="185"/>
      <c r="F120" s="185">
        <f t="shared" si="54"/>
        <v>0.60007124740910123</v>
      </c>
      <c r="G120" s="185">
        <f t="shared" si="54"/>
        <v>0.8572446391558588</v>
      </c>
      <c r="H120" s="185">
        <f t="shared" si="54"/>
        <v>1.2858669587337881</v>
      </c>
      <c r="I120" s="185">
        <f t="shared" si="54"/>
        <v>1.7144892783117176</v>
      </c>
      <c r="J120" s="185">
        <f t="shared" si="54"/>
        <v>2.5717339174675762</v>
      </c>
      <c r="K120" s="185">
        <f t="shared" si="54"/>
        <v>4.2862231957792947</v>
      </c>
    </row>
    <row r="121" spans="1:13" ht="14.5" hidden="1" outlineLevel="2">
      <c r="A121">
        <v>4</v>
      </c>
      <c r="B121" s="185">
        <f t="shared" si="55"/>
        <v>6.8933111143592978</v>
      </c>
      <c r="C121" s="322">
        <f t="shared" si="54"/>
        <v>8.3293460238363093E-2</v>
      </c>
      <c r="D121" s="185">
        <f t="shared" si="54"/>
        <v>0.24988038071508928</v>
      </c>
      <c r="E121" s="185"/>
      <c r="F121" s="185">
        <f t="shared" si="54"/>
        <v>0.58305422166854171</v>
      </c>
      <c r="G121" s="185">
        <f t="shared" si="54"/>
        <v>0.83293460238363104</v>
      </c>
      <c r="H121" s="185">
        <f t="shared" si="54"/>
        <v>1.2494019035754462</v>
      </c>
      <c r="I121" s="185">
        <f t="shared" si="54"/>
        <v>1.6658692047672621</v>
      </c>
      <c r="J121" s="185">
        <f t="shared" si="54"/>
        <v>2.4988038071508925</v>
      </c>
      <c r="K121" s="185">
        <f t="shared" si="54"/>
        <v>4.164673011918155</v>
      </c>
    </row>
    <row r="122" spans="1:13" ht="14.5" hidden="1" outlineLevel="2">
      <c r="A122">
        <v>5</v>
      </c>
      <c r="B122" s="185">
        <f t="shared" si="55"/>
        <v>6.7411948224931262</v>
      </c>
      <c r="C122" s="322">
        <f t="shared" si="54"/>
        <v>8.1455404172422738E-2</v>
      </c>
      <c r="D122" s="185">
        <f t="shared" si="54"/>
        <v>0.24436621251726823</v>
      </c>
      <c r="E122" s="185"/>
      <c r="F122" s="185">
        <f t="shared" si="54"/>
        <v>0.57018782920695921</v>
      </c>
      <c r="G122" s="185">
        <f t="shared" si="54"/>
        <v>0.81455404172422752</v>
      </c>
      <c r="H122" s="185">
        <f t="shared" si="54"/>
        <v>1.2218310625863409</v>
      </c>
      <c r="I122" s="185">
        <f t="shared" si="54"/>
        <v>1.629108083448455</v>
      </c>
      <c r="J122" s="185">
        <f t="shared" si="54"/>
        <v>2.4436621251726818</v>
      </c>
      <c r="K122" s="185">
        <f t="shared" si="54"/>
        <v>4.0727702086211375</v>
      </c>
    </row>
    <row r="123" spans="1:13" s="186" customFormat="1" ht="14.5" hidden="1" outlineLevel="1" collapsed="1">
      <c r="A123" s="271" t="s">
        <v>492</v>
      </c>
      <c r="B123" s="277">
        <f>B129</f>
        <v>6.6648315483583875</v>
      </c>
      <c r="C123" s="328">
        <f t="shared" ref="C123:K123" si="56">C129</f>
        <v>8.1417411350857796E-2</v>
      </c>
      <c r="D123" s="277">
        <f t="shared" si="56"/>
        <v>0.24335039274824533</v>
      </c>
      <c r="E123" s="277"/>
      <c r="F123" s="277">
        <f t="shared" si="56"/>
        <v>0.55787550956958654</v>
      </c>
      <c r="G123" s="277">
        <f t="shared" si="56"/>
        <v>0.78060455649454119</v>
      </c>
      <c r="H123" s="277">
        <f t="shared" si="56"/>
        <v>1.1202932866525079</v>
      </c>
      <c r="I123" s="277">
        <f t="shared" si="56"/>
        <v>1.4201812307149726</v>
      </c>
      <c r="J123" s="277">
        <f t="shared" si="56"/>
        <v>1.9214529625666641</v>
      </c>
      <c r="K123" s="277">
        <f t="shared" si="56"/>
        <v>2.6803505086955641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7.8286373891924139</v>
      </c>
      <c r="C125" s="322">
        <f t="shared" ref="C125:K129" si="57">C118*SQRT((1+0.2*C$11^2)^(-0.467))</f>
        <v>9.5634433669907051E-2</v>
      </c>
      <c r="D125" s="185">
        <f t="shared" si="57"/>
        <v>0.28584398112999826</v>
      </c>
      <c r="E125" s="185"/>
      <c r="F125" s="185">
        <f t="shared" si="57"/>
        <v>0.65529114142531775</v>
      </c>
      <c r="G125" s="185">
        <f t="shared" si="57"/>
        <v>0.91691289911930951</v>
      </c>
      <c r="H125" s="185">
        <f t="shared" si="57"/>
        <v>1.315917716316372</v>
      </c>
      <c r="I125" s="185">
        <f t="shared" si="57"/>
        <v>1.6681717762158628</v>
      </c>
      <c r="J125" s="185">
        <f t="shared" si="57"/>
        <v>2.2569750480833979</v>
      </c>
      <c r="K125" s="185">
        <f t="shared" si="57"/>
        <v>3.1483904816294177</v>
      </c>
    </row>
    <row r="126" spans="1:13" ht="14.5" hidden="1" outlineLevel="2">
      <c r="A126">
        <v>2</v>
      </c>
      <c r="B126" s="185">
        <f t="shared" ref="B126:B128" si="58">B119*SQRT((1+0.2*B$11^2)^(-0.467))</f>
        <v>7.3043769628950992</v>
      </c>
      <c r="C126" s="322">
        <f t="shared" si="57"/>
        <v>8.9230081740961753E-2</v>
      </c>
      <c r="D126" s="185">
        <f t="shared" si="57"/>
        <v>0.26670186482651298</v>
      </c>
      <c r="E126" s="185"/>
      <c r="F126" s="185">
        <f t="shared" si="57"/>
        <v>0.61140825401163335</v>
      </c>
      <c r="G126" s="185">
        <f t="shared" si="57"/>
        <v>0.85550998524397626</v>
      </c>
      <c r="H126" s="185">
        <f t="shared" si="57"/>
        <v>1.2277946434709484</v>
      </c>
      <c r="I126" s="185">
        <f t="shared" si="57"/>
        <v>1.556459302759956</v>
      </c>
      <c r="J126" s="185">
        <f t="shared" si="57"/>
        <v>2.1058321809371825</v>
      </c>
      <c r="K126" s="185">
        <f t="shared" si="57"/>
        <v>2.9375521896007051</v>
      </c>
    </row>
    <row r="127" spans="1:13" ht="14.5" hidden="1" outlineLevel="2">
      <c r="A127">
        <v>3</v>
      </c>
      <c r="B127" s="185">
        <f t="shared" si="58"/>
        <v>7.0141338978726413</v>
      </c>
      <c r="C127" s="322">
        <f t="shared" si="57"/>
        <v>8.5684479898633467E-2</v>
      </c>
      <c r="D127" s="185">
        <f t="shared" si="57"/>
        <v>0.25610433308798514</v>
      </c>
      <c r="E127" s="185"/>
      <c r="F127" s="185">
        <f t="shared" si="57"/>
        <v>0.58711364181872283</v>
      </c>
      <c r="G127" s="185">
        <f t="shared" si="57"/>
        <v>0.82151586890306483</v>
      </c>
      <c r="H127" s="185">
        <f t="shared" si="57"/>
        <v>1.1790076103879898</v>
      </c>
      <c r="I127" s="185">
        <f t="shared" si="57"/>
        <v>1.4946126153681931</v>
      </c>
      <c r="J127" s="185">
        <f t="shared" si="57"/>
        <v>2.022155887979832</v>
      </c>
      <c r="K127" s="185">
        <f t="shared" si="57"/>
        <v>2.8208270868980092</v>
      </c>
    </row>
    <row r="128" spans="1:13" ht="14.5" hidden="1" outlineLevel="2">
      <c r="A128">
        <v>4</v>
      </c>
      <c r="B128" s="185">
        <f t="shared" si="58"/>
        <v>6.815224689002557</v>
      </c>
      <c r="C128" s="322">
        <f t="shared" si="57"/>
        <v>8.3254610101843429E-2</v>
      </c>
      <c r="D128" s="185">
        <f t="shared" si="57"/>
        <v>0.24884163878752671</v>
      </c>
      <c r="E128" s="185"/>
      <c r="F128" s="185">
        <f t="shared" si="57"/>
        <v>0.57046407229077067</v>
      </c>
      <c r="G128" s="185">
        <f t="shared" si="57"/>
        <v>0.79821904082179751</v>
      </c>
      <c r="H128" s="185">
        <f t="shared" si="57"/>
        <v>1.1455729091905671</v>
      </c>
      <c r="I128" s="185">
        <f t="shared" si="57"/>
        <v>1.4522278794594157</v>
      </c>
      <c r="J128" s="185">
        <f t="shared" si="57"/>
        <v>1.9648108994542994</v>
      </c>
      <c r="K128" s="185">
        <f t="shared" si="57"/>
        <v>2.7408331072586454</v>
      </c>
    </row>
    <row r="129" spans="1:13" ht="14.5" hidden="1" outlineLevel="2">
      <c r="A129">
        <v>5</v>
      </c>
      <c r="B129" s="185">
        <f>B122*SQRT((1+0.2*B$11^2)^(-0.467))</f>
        <v>6.6648315483583875</v>
      </c>
      <c r="C129" s="322">
        <f t="shared" si="57"/>
        <v>8.1417411350857796E-2</v>
      </c>
      <c r="D129" s="185">
        <f t="shared" si="57"/>
        <v>0.24335039274824533</v>
      </c>
      <c r="E129" s="185"/>
      <c r="F129" s="185">
        <f t="shared" si="57"/>
        <v>0.55787550956958654</v>
      </c>
      <c r="G129" s="185">
        <f t="shared" si="57"/>
        <v>0.78060455649454119</v>
      </c>
      <c r="H129" s="185">
        <f t="shared" si="57"/>
        <v>1.1202932866525079</v>
      </c>
      <c r="I129" s="185">
        <f t="shared" si="57"/>
        <v>1.4201812307149726</v>
      </c>
      <c r="J129" s="185">
        <f t="shared" si="57"/>
        <v>1.9214529625666641</v>
      </c>
      <c r="K129" s="185">
        <f t="shared" si="57"/>
        <v>2.6803505086955641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0.52687157036302812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18.503390550651357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17.925159595943509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17.34692864123565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16.768697686527798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16.190466731819939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15.612235777112085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15.034004822404231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14.455773867696376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13.87754291298852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13.299311958280665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0.25231896205433668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0.4888679889802775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0.70964708077782201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0.91465623744697078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1.103895458987723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1.2773647454000796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1.4350640966840402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1.5769935128396046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1.7031529938667729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1.8135425397655451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159.01351254466013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11.275503616803171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1.0537431407260562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7.0909090909090891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-7.3040923019922259E-5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-3.6520459951274836E-4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-5.84327318694562E-4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-7.3040910160763431E-4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-3.6520299213036842E-3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-7.3039624286038232E-3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-1.4607145638710567E-2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-3.6504238238711947E-2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-7.2911446814648145E-2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-4.1849366207814846E-3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-2.0924682210845962E-2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-3.3479489215394211E-2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-4.184935884005956E-2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-0.20924590114619526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-0.41848622088112192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-0.83692779583104271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-2.0915387854182685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-4.1775181806719086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-2.9396897471331285E-2</v>
      </c>
      <c r="C215" s="318">
        <f>C$190*VLOOKUP(C$214,$A$194:C$202,C$193,FALSE)</f>
        <v>-2.5586715020896655E-2</v>
      </c>
      <c r="D215" s="190">
        <f>D$190*VLOOKUP(D$214,$A$194:D$202,D$193,FALSE)</f>
        <v>-2.6687717587037387E-2</v>
      </c>
      <c r="F215" s="190">
        <f>F$190*VLOOKUP(F$214,$A$194:F$202,F$193,FALSE)</f>
        <v>-3.5648974511691647E-2</v>
      </c>
      <c r="G215" s="190">
        <f>G$190*VLOOKUP(G$214,$A$194:G$202,G$193,FALSE)</f>
        <v>-0.41212344545890167</v>
      </c>
      <c r="H215" s="190">
        <f>H$190*VLOOKUP(H$214,$A$194:H$202,H$193,FALSE)</f>
        <v>-5.2260112968634261E-2</v>
      </c>
      <c r="I215" s="190">
        <f>I$190*VLOOKUP(I$214,$A$194:I$202,I$193,FALSE)</f>
        <v>-3.3733757866406464E-2</v>
      </c>
      <c r="J215" s="190">
        <f>J$190*VLOOKUP(J$214,$A$194:J$202,J$193,FALSE)</f>
        <v>-2.0657623469823489E-2</v>
      </c>
      <c r="K215" s="190">
        <f>K$190*VLOOKUP(K$214,$A$194:K$202,K$193,FALSE)</f>
        <v>-1.1926684471120524E-2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-1.0324001245971723</v>
      </c>
      <c r="C217" s="318">
        <f t="shared" si="84"/>
        <v>-3.6068368127604104E-2</v>
      </c>
      <c r="D217" s="190">
        <f t="shared" si="84"/>
        <v>-0.33858358897021068</v>
      </c>
      <c r="F217" s="190">
        <f t="shared" si="84"/>
        <v>-2.4623800443100539</v>
      </c>
      <c r="G217" s="190">
        <f t="shared" si="84"/>
        <v>-58.095070557859067</v>
      </c>
      <c r="H217" s="190">
        <f t="shared" si="84"/>
        <v>-16.575430768106667</v>
      </c>
      <c r="I217" s="190">
        <f t="shared" si="84"/>
        <v>-19.021145872915898</v>
      </c>
      <c r="J217" s="190">
        <f t="shared" si="84"/>
        <v>-26.208057212825654</v>
      </c>
      <c r="K217" s="190">
        <f t="shared" si="84"/>
        <v>-42.031191352116693</v>
      </c>
    </row>
    <row r="218" spans="1:11" ht="15" hidden="1" customHeight="1" outlineLevel="2">
      <c r="A218">
        <v>2</v>
      </c>
      <c r="B218" s="190">
        <f t="shared" ref="B218:K218" si="85">B$33*(B88)*B$215</f>
        <v>-1.0001376207035111</v>
      </c>
      <c r="C218" s="318">
        <f t="shared" si="85"/>
        <v>-3.4941231623616481E-2</v>
      </c>
      <c r="D218" s="190">
        <f t="shared" si="85"/>
        <v>-0.32800285181489169</v>
      </c>
      <c r="F218" s="190">
        <f t="shared" si="85"/>
        <v>-2.3854306679253647</v>
      </c>
      <c r="G218" s="190">
        <f t="shared" si="85"/>
        <v>-56.279599602925977</v>
      </c>
      <c r="H218" s="190">
        <f t="shared" si="85"/>
        <v>-16.05744855660334</v>
      </c>
      <c r="I218" s="190">
        <f t="shared" si="85"/>
        <v>-18.426735064387277</v>
      </c>
      <c r="J218" s="190">
        <f t="shared" si="85"/>
        <v>-25.389055424924862</v>
      </c>
      <c r="K218" s="190">
        <f t="shared" si="85"/>
        <v>-40.717716622363056</v>
      </c>
    </row>
    <row r="219" spans="1:11" ht="15" hidden="1" customHeight="1" outlineLevel="2">
      <c r="A219">
        <v>3</v>
      </c>
      <c r="B219" s="190">
        <f t="shared" ref="B219:K219" si="86">B$33*(B89)*B$215</f>
        <v>-0.96787511680984917</v>
      </c>
      <c r="C219" s="318">
        <f t="shared" si="86"/>
        <v>-3.3814095119628844E-2</v>
      </c>
      <c r="D219" s="190">
        <f t="shared" si="86"/>
        <v>-0.31742211465957254</v>
      </c>
      <c r="F219" s="190">
        <f t="shared" si="86"/>
        <v>-2.3084812915406756</v>
      </c>
      <c r="G219" s="190">
        <f t="shared" si="86"/>
        <v>-54.464128647992879</v>
      </c>
      <c r="H219" s="190">
        <f t="shared" si="86"/>
        <v>-15.539466345100001</v>
      </c>
      <c r="I219" s="190">
        <f t="shared" si="86"/>
        <v>-17.832324255858655</v>
      </c>
      <c r="J219" s="190">
        <f t="shared" si="86"/>
        <v>-24.570053637024053</v>
      </c>
      <c r="K219" s="190">
        <f t="shared" si="86"/>
        <v>-39.404241892609406</v>
      </c>
    </row>
    <row r="220" spans="1:11" ht="15" hidden="1" customHeight="1" outlineLevel="2">
      <c r="A220">
        <v>4</v>
      </c>
      <c r="B220" s="190">
        <f t="shared" ref="B220:K220" si="87">B$33*(B90)*B$215</f>
        <v>-0.93561261291618769</v>
      </c>
      <c r="C220" s="318">
        <f t="shared" si="87"/>
        <v>-3.2686958615641228E-2</v>
      </c>
      <c r="D220" s="190">
        <f t="shared" si="87"/>
        <v>-0.3068413775042535</v>
      </c>
      <c r="F220" s="190">
        <f t="shared" si="87"/>
        <v>-2.2315319151559869</v>
      </c>
      <c r="G220" s="190">
        <f t="shared" si="87"/>
        <v>-52.648657693059789</v>
      </c>
      <c r="H220" s="190">
        <f t="shared" si="87"/>
        <v>-15.021484133596671</v>
      </c>
      <c r="I220" s="190">
        <f t="shared" si="87"/>
        <v>-17.237913447330037</v>
      </c>
      <c r="J220" s="190">
        <f t="shared" si="87"/>
        <v>-23.751051849123254</v>
      </c>
      <c r="K220" s="190">
        <f t="shared" si="87"/>
        <v>-38.090767162855762</v>
      </c>
    </row>
    <row r="221" spans="1:11" ht="15" hidden="1" customHeight="1" outlineLevel="2">
      <c r="A221">
        <v>5</v>
      </c>
      <c r="B221" s="190">
        <f t="shared" ref="B221:K221" si="88">B$33*(B91)*B$215</f>
        <v>-0.90335010902252588</v>
      </c>
      <c r="C221" s="318">
        <f t="shared" si="88"/>
        <v>-3.155982211165359E-2</v>
      </c>
      <c r="D221" s="190">
        <f t="shared" si="88"/>
        <v>-0.2962606403489344</v>
      </c>
      <c r="F221" s="190">
        <f t="shared" si="88"/>
        <v>-2.1545825387712969</v>
      </c>
      <c r="G221" s="190">
        <f t="shared" si="88"/>
        <v>-50.833186738126685</v>
      </c>
      <c r="H221" s="190">
        <f t="shared" si="88"/>
        <v>-14.503501922093333</v>
      </c>
      <c r="I221" s="190">
        <f t="shared" si="88"/>
        <v>-16.643502638801408</v>
      </c>
      <c r="J221" s="190">
        <f t="shared" si="88"/>
        <v>-22.932050061222448</v>
      </c>
      <c r="K221" s="190">
        <f t="shared" si="88"/>
        <v>-36.777292433102104</v>
      </c>
    </row>
    <row r="222" spans="1:11" ht="15" hidden="1" customHeight="1" outlineLevel="2">
      <c r="A222">
        <v>6</v>
      </c>
      <c r="B222" s="190">
        <f t="shared" ref="B222:K222" si="89">B$33*(B92)*B$215</f>
        <v>-0.87108760512886418</v>
      </c>
      <c r="C222" s="318">
        <f t="shared" si="89"/>
        <v>-3.0432685607665964E-2</v>
      </c>
      <c r="D222" s="190">
        <f t="shared" si="89"/>
        <v>-0.2856799031936153</v>
      </c>
      <c r="F222" s="190">
        <f t="shared" si="89"/>
        <v>-2.0776331623866078</v>
      </c>
      <c r="G222" s="190">
        <f t="shared" si="89"/>
        <v>-49.017715783193587</v>
      </c>
      <c r="H222" s="190">
        <f t="shared" si="89"/>
        <v>-13.985519710590001</v>
      </c>
      <c r="I222" s="190">
        <f t="shared" si="89"/>
        <v>-16.04909183027279</v>
      </c>
      <c r="J222" s="190">
        <f t="shared" si="89"/>
        <v>-22.113048273321649</v>
      </c>
      <c r="K222" s="190">
        <f t="shared" si="89"/>
        <v>-35.463817703348461</v>
      </c>
    </row>
    <row r="223" spans="1:11" ht="15" hidden="1" customHeight="1" outlineLevel="2">
      <c r="A223">
        <v>7</v>
      </c>
      <c r="B223" s="190">
        <f t="shared" ref="B223:K223" si="90">B$33*(B93)*B$215</f>
        <v>-0.83882510123520271</v>
      </c>
      <c r="C223" s="318">
        <f t="shared" si="90"/>
        <v>-2.9305549103678333E-2</v>
      </c>
      <c r="D223" s="190">
        <f t="shared" si="90"/>
        <v>-0.27509916603829621</v>
      </c>
      <c r="F223" s="190">
        <f t="shared" si="90"/>
        <v>-2.0006837860019191</v>
      </c>
      <c r="G223" s="190">
        <f t="shared" si="90"/>
        <v>-47.202244828260497</v>
      </c>
      <c r="H223" s="190">
        <f t="shared" si="90"/>
        <v>-13.467537499086667</v>
      </c>
      <c r="I223" s="190">
        <f t="shared" si="90"/>
        <v>-15.454681021744168</v>
      </c>
      <c r="J223" s="190">
        <f t="shared" si="90"/>
        <v>-21.294046485420846</v>
      </c>
      <c r="K223" s="190">
        <f t="shared" si="90"/>
        <v>-34.150342973594817</v>
      </c>
    </row>
    <row r="224" spans="1:11" ht="15" hidden="1" customHeight="1" outlineLevel="2">
      <c r="A224">
        <v>8</v>
      </c>
      <c r="B224" s="190">
        <f t="shared" ref="B224:K224" si="91">B$33*(B94)*B$215</f>
        <v>-0.80656259734154101</v>
      </c>
      <c r="C224" s="318">
        <f t="shared" si="91"/>
        <v>-2.8178412599690703E-2</v>
      </c>
      <c r="D224" s="190">
        <f t="shared" si="91"/>
        <v>-0.26451842888297711</v>
      </c>
      <c r="F224" s="190">
        <f t="shared" si="91"/>
        <v>-1.9237344096172295</v>
      </c>
      <c r="G224" s="190">
        <f t="shared" si="91"/>
        <v>-45.3867738733274</v>
      </c>
      <c r="H224" s="190">
        <f t="shared" si="91"/>
        <v>-12.949555287583335</v>
      </c>
      <c r="I224" s="190">
        <f t="shared" si="91"/>
        <v>-14.860270213215546</v>
      </c>
      <c r="J224" s="190">
        <f t="shared" si="91"/>
        <v>-20.475044697520044</v>
      </c>
      <c r="K224" s="190">
        <f t="shared" si="91"/>
        <v>-32.836868243841174</v>
      </c>
    </row>
    <row r="225" spans="1:11" ht="15" hidden="1" customHeight="1" outlineLevel="2">
      <c r="A225">
        <v>9</v>
      </c>
      <c r="B225" s="190">
        <f t="shared" ref="B225:K225" si="92">B$33*(B95)*B$215</f>
        <v>-0.77430009344787931</v>
      </c>
      <c r="C225" s="318">
        <f t="shared" si="92"/>
        <v>-2.705127609570308E-2</v>
      </c>
      <c r="D225" s="190">
        <f t="shared" si="92"/>
        <v>-0.25393769172765807</v>
      </c>
      <c r="F225" s="190">
        <f t="shared" si="92"/>
        <v>-1.8467850332325406</v>
      </c>
      <c r="G225" s="190">
        <f t="shared" si="92"/>
        <v>-43.571302918394302</v>
      </c>
      <c r="H225" s="190">
        <f t="shared" si="92"/>
        <v>-12.431573076080001</v>
      </c>
      <c r="I225" s="190">
        <f t="shared" si="92"/>
        <v>-14.265859404686923</v>
      </c>
      <c r="J225" s="190">
        <f t="shared" si="92"/>
        <v>-19.656042909619245</v>
      </c>
      <c r="K225" s="190">
        <f t="shared" si="92"/>
        <v>-31.523393514087527</v>
      </c>
    </row>
    <row r="226" spans="1:11" ht="15" hidden="1" customHeight="1" outlineLevel="2">
      <c r="A226">
        <v>10</v>
      </c>
      <c r="B226" s="190">
        <f t="shared" ref="B226:K226" si="93">B$33*(B96)*B$215</f>
        <v>-0.74203758955421772</v>
      </c>
      <c r="C226" s="318">
        <f t="shared" si="93"/>
        <v>-2.592413959171545E-2</v>
      </c>
      <c r="D226" s="190">
        <f t="shared" si="93"/>
        <v>-0.24335695457233891</v>
      </c>
      <c r="F226" s="190">
        <f t="shared" si="93"/>
        <v>-1.7698356568478513</v>
      </c>
      <c r="G226" s="190">
        <f t="shared" si="93"/>
        <v>-41.755831963461205</v>
      </c>
      <c r="H226" s="190">
        <f t="shared" si="93"/>
        <v>-11.913590864576667</v>
      </c>
      <c r="I226" s="190">
        <f t="shared" si="93"/>
        <v>-13.671448596158301</v>
      </c>
      <c r="J226" s="190">
        <f t="shared" si="93"/>
        <v>-18.837041121718439</v>
      </c>
      <c r="K226" s="190">
        <f t="shared" si="93"/>
        <v>-30.209918784333876</v>
      </c>
    </row>
    <row r="227" spans="1:11" ht="15" hidden="1" customHeight="1" outlineLevel="1" collapsed="1">
      <c r="A227" t="s">
        <v>514</v>
      </c>
      <c r="B227" s="190">
        <f>SUM(B217:B226)</f>
        <v>-8.8721885707569506</v>
      </c>
      <c r="C227" s="318">
        <f t="shared" ref="C227:K227" si="94">SUM(C217:C226)</f>
        <v>-0.30996253859659778</v>
      </c>
      <c r="D227" s="190">
        <f t="shared" si="94"/>
        <v>-2.9097027177127481</v>
      </c>
      <c r="F227" s="190">
        <f t="shared" si="94"/>
        <v>-21.161078505789526</v>
      </c>
      <c r="G227" s="190">
        <f t="shared" si="94"/>
        <v>-499.25451260660139</v>
      </c>
      <c r="H227" s="190">
        <f t="shared" si="94"/>
        <v>-142.44510816341668</v>
      </c>
      <c r="I227" s="190">
        <f t="shared" si="94"/>
        <v>-163.46297234537101</v>
      </c>
      <c r="J227" s="190">
        <f t="shared" si="94"/>
        <v>-225.22549167272049</v>
      </c>
      <c r="K227" s="190">
        <f t="shared" si="94"/>
        <v>-361.20555068225286</v>
      </c>
    </row>
    <row r="228" spans="1:11" ht="15" hidden="1" customHeight="1" outlineLevel="1">
      <c r="A228" t="s">
        <v>515</v>
      </c>
      <c r="B228" s="190">
        <f>B227*B192</f>
        <v>-1.064662628490834</v>
      </c>
      <c r="C228" s="318">
        <f t="shared" ref="C228:K228" si="95">C227*C192</f>
        <v>-3.7195504631591735E-2</v>
      </c>
      <c r="D228" s="190">
        <f t="shared" si="95"/>
        <v>-0.34916432612552978</v>
      </c>
      <c r="F228" s="190">
        <f t="shared" si="95"/>
        <v>-2.539329420694743</v>
      </c>
      <c r="G228" s="190">
        <f t="shared" si="95"/>
        <v>-59.910541512792165</v>
      </c>
      <c r="H228" s="190">
        <f t="shared" si="95"/>
        <v>-17.093412979610001</v>
      </c>
      <c r="I228" s="190">
        <f t="shared" si="95"/>
        <v>-19.61555668144452</v>
      </c>
      <c r="J228" s="190">
        <f t="shared" si="95"/>
        <v>-27.027059000726457</v>
      </c>
      <c r="K228" s="190">
        <f t="shared" si="95"/>
        <v>-43.344666081870344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-2.7849692341261216E-2</v>
      </c>
      <c r="C231" s="318">
        <f t="shared" si="97"/>
        <v>-2.4240045809270517E-2</v>
      </c>
      <c r="D231" s="190">
        <f t="shared" si="97"/>
        <v>-2.5283100871930159E-2</v>
      </c>
      <c r="F231" s="190">
        <f t="shared" si="97"/>
        <v>-3.3772712695286831E-2</v>
      </c>
      <c r="G231" s="190">
        <f t="shared" si="97"/>
        <v>-0.39043273780317</v>
      </c>
      <c r="H231" s="190">
        <f t="shared" si="97"/>
        <v>-4.9509580707127195E-2</v>
      </c>
      <c r="I231" s="190">
        <f t="shared" si="97"/>
        <v>-3.1958296926069281E-2</v>
      </c>
      <c r="J231" s="190">
        <f t="shared" si="97"/>
        <v>-1.9570380129306463E-2</v>
      </c>
      <c r="K231" s="190">
        <f t="shared" si="97"/>
        <v>-1.1298964235798393E-2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-2.2049241331819578E-4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1643771199.1620688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166.19760893838935</v>
      </c>
    </row>
    <row r="280" spans="1:2" ht="15" customHeight="1">
      <c r="A280" s="271" t="s">
        <v>493</v>
      </c>
      <c r="B280" s="277">
        <f>B292</f>
        <v>3.3786007844278205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328754239.83241379</v>
      </c>
    </row>
    <row r="283" spans="1:2" ht="15" hidden="1" customHeight="1" outlineLevel="1">
      <c r="A283">
        <v>2</v>
      </c>
      <c r="B283" s="185">
        <f>(B$20*B$3*($A283*B$281))/B$23</f>
        <v>657508479.66482759</v>
      </c>
    </row>
    <row r="284" spans="1:2" ht="15" hidden="1" customHeight="1" outlineLevel="1">
      <c r="A284">
        <v>3</v>
      </c>
      <c r="B284" s="185">
        <f>(B$20*B$3*($A284*B$281))/B$23</f>
        <v>986262719.49724126</v>
      </c>
    </row>
    <row r="285" spans="1:2" ht="15" hidden="1" customHeight="1" outlineLevel="1">
      <c r="A285">
        <v>4</v>
      </c>
      <c r="B285" s="185">
        <f>(B$20*B$3*($A285*B$281))/B$23</f>
        <v>1315016959.3296552</v>
      </c>
    </row>
    <row r="286" spans="1:2" ht="15" hidden="1" customHeight="1" outlineLevel="1">
      <c r="A286">
        <v>5</v>
      </c>
      <c r="B286" s="185">
        <f>(B$20*B$3*($A286*B$281))/B$23</f>
        <v>1643771199.1620688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3.9685684825209582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3.7028053233652196</v>
      </c>
    </row>
    <row r="290" spans="1:2" ht="15" hidden="1" customHeight="1" outlineLevel="1">
      <c r="A290">
        <v>3</v>
      </c>
      <c r="B290" s="185">
        <f t="shared" si="103"/>
        <v>3.555672505372069</v>
      </c>
    </row>
    <row r="291" spans="1:2" ht="15" hidden="1" customHeight="1" outlineLevel="1">
      <c r="A291">
        <v>4</v>
      </c>
      <c r="B291" s="185">
        <f t="shared" si="103"/>
        <v>3.4548395279378643</v>
      </c>
    </row>
    <row r="292" spans="1:2" ht="15" hidden="1" customHeight="1" outlineLevel="1">
      <c r="A292">
        <v>5</v>
      </c>
      <c r="B292" s="185">
        <f t="shared" si="103"/>
        <v>3.3786007844278205</v>
      </c>
    </row>
    <row r="293" spans="1:2" ht="15" customHeight="1" collapsed="1">
      <c r="A293" s="271" t="s">
        <v>492</v>
      </c>
      <c r="B293" s="277">
        <f>B299</f>
        <v>3.3403284863135099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3.9236131161603773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3.6608604834041736</v>
      </c>
    </row>
    <row r="297" spans="1:2" ht="15" hidden="1" customHeight="1" outlineLevel="1">
      <c r="A297">
        <v>3</v>
      </c>
      <c r="B297" s="185">
        <f t="shared" si="104"/>
        <v>3.5153943645660655</v>
      </c>
    </row>
    <row r="298" spans="1:2" ht="15" hidden="1" customHeight="1" outlineLevel="1">
      <c r="A298">
        <v>4</v>
      </c>
      <c r="B298" s="185">
        <f t="shared" si="104"/>
        <v>3.4157036084294767</v>
      </c>
    </row>
    <row r="299" spans="1:2" ht="15" hidden="1" customHeight="1" outlineLevel="1">
      <c r="A299">
        <v>5</v>
      </c>
      <c r="B299" s="185">
        <f t="shared" si="104"/>
        <v>3.3403284863135099</v>
      </c>
    </row>
    <row r="300" spans="1:2" ht="15" customHeight="1" collapsed="1"/>
    <row r="301" spans="1:2" ht="15" customHeight="1">
      <c r="A301" s="266" t="s">
        <v>672</v>
      </c>
      <c r="B301" s="190">
        <f>B8*B7*B302</f>
        <v>70.979990027230713</v>
      </c>
    </row>
    <row r="302" spans="1:2" ht="15" customHeight="1">
      <c r="A302" s="307" t="s">
        <v>578</v>
      </c>
      <c r="B302" s="310">
        <f>B304*B303+(4/PI())*(B265/B260)*B306*B310</f>
        <v>0.79752700839234758</v>
      </c>
    </row>
    <row r="303" spans="1:2" ht="15" customHeight="1">
      <c r="A303" t="s">
        <v>586</v>
      </c>
      <c r="B303" s="190">
        <f>SIN(RADIANS(B13))*COS(RADIANS(B13))</f>
        <v>0.24999999999999997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1.780235837034216E-2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0.32313072226548201</v>
      </c>
    </row>
    <row r="513" spans="1:2" ht="15" hidden="1" customHeight="1" outlineLevel="1">
      <c r="A513">
        <v>10</v>
      </c>
      <c r="B513" s="190">
        <f t="shared" ref="B513:B517" si="106">B$289*RADIANS(A513)</f>
        <v>0.64626144453096401</v>
      </c>
    </row>
    <row r="514" spans="1:2" ht="15" hidden="1" customHeight="1" outlineLevel="1">
      <c r="A514">
        <v>15</v>
      </c>
      <c r="B514" s="190">
        <f t="shared" si="106"/>
        <v>0.96939216679644591</v>
      </c>
    </row>
    <row r="515" spans="1:2" ht="15" hidden="1" customHeight="1" outlineLevel="1">
      <c r="A515">
        <v>20</v>
      </c>
      <c r="B515" s="190">
        <f t="shared" si="106"/>
        <v>1.292522889061928</v>
      </c>
    </row>
    <row r="516" spans="1:2" ht="15" hidden="1" customHeight="1" outlineLevel="1">
      <c r="A516">
        <v>25</v>
      </c>
      <c r="B516" s="190">
        <f t="shared" si="106"/>
        <v>1.61565361132741</v>
      </c>
    </row>
    <row r="517" spans="1:2" ht="15" hidden="1" customHeight="1" outlineLevel="1">
      <c r="A517">
        <v>30</v>
      </c>
      <c r="B517" s="190">
        <f t="shared" si="106"/>
        <v>1.9387843335928918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0.31029096170689185</v>
      </c>
    </row>
    <row r="521" spans="1:2" ht="15" hidden="1" customHeight="1" outlineLevel="1">
      <c r="A521">
        <v>10</v>
      </c>
      <c r="B521" s="190">
        <f t="shared" si="107"/>
        <v>0.62058192341378371</v>
      </c>
    </row>
    <row r="522" spans="1:2" ht="15" hidden="1" customHeight="1" outlineLevel="1">
      <c r="A522">
        <v>15</v>
      </c>
      <c r="B522" s="190">
        <f t="shared" si="107"/>
        <v>0.93087288512067545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0.90447487335843524</v>
      </c>
    </row>
    <row r="525" spans="1:2" ht="15" hidden="1" customHeight="1" outlineLevel="1">
      <c r="A525" s="312">
        <v>20</v>
      </c>
      <c r="B525" s="313">
        <f t="shared" ref="B525:B527" si="108">B$291*RADIANS(A525)</f>
        <v>1.205966497811247</v>
      </c>
    </row>
    <row r="526" spans="1:2" ht="15" hidden="1" customHeight="1" outlineLevel="1">
      <c r="A526" s="312">
        <v>25</v>
      </c>
      <c r="B526" s="313">
        <f t="shared" si="108"/>
        <v>1.5074581222640588</v>
      </c>
    </row>
    <row r="527" spans="1:2" ht="15" hidden="1" customHeight="1" outlineLevel="1">
      <c r="A527" s="312">
        <v>30</v>
      </c>
      <c r="B527" s="313">
        <f t="shared" si="108"/>
        <v>1.8089497467168705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45312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47" t="s">
        <v>539</v>
      </c>
      <c r="B1" s="447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47" t="s">
        <v>540</v>
      </c>
      <c r="B6" s="447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48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48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48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2:R123"/>
  <sheetViews>
    <sheetView zoomScale="70" zoomScaleNormal="70" workbookViewId="0">
      <selection activeCell="U16" sqref="U16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49"/>
      <c r="C5" s="449"/>
      <c r="D5" s="449"/>
      <c r="E5" s="449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17</vt:i4>
      </vt:variant>
    </vt:vector>
  </HeadingPairs>
  <TitlesOfParts>
    <vt:vector size="32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Sbending</vt:lpstr>
      <vt:lpstr>ScuComp</vt:lpstr>
      <vt:lpstr>ScyComp</vt:lpstr>
      <vt:lpstr>SsyComp</vt:lpstr>
      <vt:lpstr>StyComp</vt:lpstr>
      <vt:lpstr>tubeZ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2025-09-26T05:50:33Z</cp:lastPrinted>
  <dcterms:created xsi:type="dcterms:W3CDTF">2024-07-02T19:27:32Z</dcterms:created>
  <dcterms:modified xsi:type="dcterms:W3CDTF">2025-09-26T06:27:21Z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