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00 Repos\aeroestructures-and-stability\"/>
    </mc:Choice>
  </mc:AlternateContent>
  <bookViews>
    <workbookView xWindow="-105" yWindow="-105" windowWidth="19425" windowHeight="11505" tabRatio="864" firstSheet="1" activeTab="4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2" i="25" l="1"/>
  <c r="F211" i="25"/>
  <c r="F210" i="25"/>
  <c r="I81" i="25" l="1"/>
  <c r="D100" i="25" l="1"/>
  <c r="B107" i="25" s="1"/>
  <c r="J101" i="25"/>
  <c r="B100" i="25" s="1"/>
  <c r="M127" i="25" l="1"/>
  <c r="L119" i="25"/>
  <c r="M116" i="25"/>
  <c r="M117" i="25" s="1"/>
  <c r="L115" i="25"/>
  <c r="L127" i="25" s="1"/>
  <c r="L117" i="25"/>
  <c r="B33" i="25"/>
  <c r="B37" i="25"/>
  <c r="B39" i="25"/>
  <c r="B92" i="25"/>
  <c r="D82" i="25"/>
  <c r="D83" i="25" s="1"/>
  <c r="D81" i="25"/>
  <c r="D77" i="25"/>
  <c r="I79" i="25"/>
  <c r="I78" i="25" s="1"/>
  <c r="D33" i="25"/>
  <c r="B42" i="25" s="1"/>
  <c r="F19" i="25"/>
  <c r="C33" i="25" s="1"/>
  <c r="J21" i="25"/>
  <c r="B40" i="25" s="1"/>
  <c r="J22" i="25"/>
  <c r="D20" i="25"/>
  <c r="D29" i="25"/>
  <c r="C40" i="25"/>
  <c r="C39" i="25"/>
  <c r="C37" i="25"/>
  <c r="M118" i="25" l="1"/>
  <c r="M119" i="25" s="1"/>
  <c r="O129" i="25" s="1"/>
  <c r="O128" i="25"/>
  <c r="L129" i="25"/>
  <c r="L128" i="25"/>
  <c r="L118" i="25"/>
  <c r="N129" i="25" s="1"/>
  <c r="L116" i="25"/>
  <c r="N128" i="25" s="1"/>
  <c r="M128" i="25" s="1"/>
  <c r="L120" i="25"/>
  <c r="M120" i="25"/>
  <c r="I80" i="25"/>
  <c r="I82" i="25"/>
  <c r="D28" i="25"/>
  <c r="C32" i="25"/>
  <c r="D21" i="25"/>
  <c r="B32" i="25" s="1"/>
  <c r="H25" i="25"/>
  <c r="H29" i="25" s="1"/>
  <c r="H30" i="25" s="1"/>
  <c r="D25" i="25"/>
  <c r="M129" i="25" l="1"/>
  <c r="D32" i="25"/>
  <c r="D27" i="25" s="1"/>
  <c r="C42" i="25" s="1"/>
  <c r="D26" i="25"/>
  <c r="N37" i="16"/>
  <c r="C28" i="16" l="1"/>
  <c r="C24" i="16"/>
  <c r="N41" i="16"/>
  <c r="L41" i="16" s="1"/>
  <c r="L36" i="16"/>
  <c r="N36" i="16" s="1"/>
  <c r="G222" i="25"/>
  <c r="I222" i="25"/>
  <c r="G223" i="25"/>
  <c r="I223" i="25"/>
  <c r="G224" i="25"/>
  <c r="I224" i="25"/>
  <c r="G225" i="25"/>
  <c r="I225" i="25"/>
  <c r="G226" i="25"/>
  <c r="I226" i="25"/>
  <c r="G227" i="25"/>
  <c r="I227" i="25"/>
  <c r="G228" i="25"/>
  <c r="I228" i="25"/>
  <c r="G229" i="25"/>
  <c r="I229" i="25"/>
  <c r="G230" i="25"/>
  <c r="I230" i="25"/>
  <c r="I221" i="25"/>
  <c r="G221" i="25"/>
  <c r="D224" i="25"/>
  <c r="H224" i="25" s="1"/>
  <c r="D225" i="25"/>
  <c r="H225" i="25" s="1"/>
  <c r="D226" i="25"/>
  <c r="H226" i="25" s="1"/>
  <c r="D227" i="25"/>
  <c r="H227" i="25" s="1"/>
  <c r="D228" i="25"/>
  <c r="H228" i="25" s="1"/>
  <c r="D229" i="25"/>
  <c r="H229" i="25" s="1"/>
  <c r="D230" i="25"/>
  <c r="H230" i="25" s="1"/>
  <c r="D222" i="25"/>
  <c r="H222" i="25" s="1"/>
  <c r="D223" i="25"/>
  <c r="H223" i="25" s="1"/>
  <c r="D221" i="25"/>
  <c r="H221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L35" i="16" l="1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23" i="24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K23" i="24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I22" i="24" l="1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29" i="24" s="1"/>
  <c r="C31" i="24" s="1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30" i="24" l="1"/>
  <c r="C32" i="24" s="1"/>
  <c r="C55" i="24"/>
  <c r="C57" i="24" s="1"/>
  <c r="J24" i="24"/>
  <c r="C103" i="24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202" i="24" l="1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J96" i="24" l="1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G106" i="17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I25" i="17" l="1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H96" i="24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4" i="14" l="1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E63" i="22" l="1"/>
  <c r="E62" i="22"/>
  <c r="F62" i="22"/>
  <c r="D63" i="22"/>
  <c r="C63" i="22"/>
  <c r="D62" i="22"/>
  <c r="I96" i="17"/>
  <c r="B62" i="22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>
  <authors>
    <author>Archimedean2345</author>
  </authors>
  <commentList>
    <comment ref="F227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>
  <authors>
    <author>Juan Leonardo Valadez Ortiz</author>
  </authors>
  <commentList>
    <comment ref="A12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>
  <authors>
    <author>Archimedean2345</author>
    <author>Juan Leonardo Valadez Ortiz</author>
  </authors>
  <commentList>
    <comment ref="T22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>
  <authors>
    <author>Leonardo Valadez Ortiz</author>
    <author>Juan Leonardo Valadez Ortiz</author>
  </authors>
  <commentList>
    <comment ref="B3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1" authorId="1" shapeId="0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19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>
  <authors>
    <author>Leonardo Valadez Ortiz</author>
  </authors>
  <commentList>
    <comment ref="A17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>
  <authors>
    <author>Leonardo Valadez Ortiz</author>
  </authors>
  <commentList>
    <comment ref="A176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<sst xmlns="http://schemas.openxmlformats.org/spreadsheetml/2006/main" count="1333" uniqueCount="853">
  <si>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</si>
  <si>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</si>
  <si>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</si>
  <si>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</si>
  <si>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</si>
  <si>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</si>
  <si>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</si>
  <si>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</si>
  <si>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</si>
  <si>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</si>
  <si>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</si>
  <si>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</si>
  <si>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</si>
  <si>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</si>
  <si>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</si>
  <si>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</si>
  <si>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</si>
  <si>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</si>
  <si>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</si>
  <si>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</si>
  <si>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</si>
  <si>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</si>
  <si>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</si>
  <si>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</si>
  <si>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</si>
  <si>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</si>
  <si>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</si>
  <si>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</si>
  <si>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</si>
  <si>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</si>
  <si>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</si>
  <si>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</si>
  <si>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</si>
  <si>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</si>
  <si>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</si>
  <si>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</si>
  <si>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</si>
  <si>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</si>
  <si>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</si>
  <si>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</si>
  <si>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</si>
  <si>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</si>
  <si>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</si>
  <si>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</si>
  <si>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</si>
  <si>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</si>
  <si>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</si>
  <si>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</si>
  <si>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</si>
  <si>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</si>
  <si>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</si>
  <si>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</si>
  <si>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</si>
  <si>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</si>
  <si>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</si>
  <si>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</si>
  <si>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</si>
  <si>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</si>
  <si>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</si>
  <si>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</si>
  <si>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</si>
  <si>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</si>
  <si>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</si>
  <si>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</si>
  <si>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</si>
  <si>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</si>
  <si>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</si>
  <si>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</si>
  <si>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</si>
  <si>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</si>
  <si>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</si>
  <si>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</si>
  <si>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</si>
  <si>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</si>
  <si>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</si>
  <si>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</si>
  <si>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</si>
  <si>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</si>
  <si>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</si>
  <si>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</si>
  <si>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</si>
  <si>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</si>
  <si>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</si>
  <si>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</si>
  <si>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</si>
  <si>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</si>
  <si>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</si>
  <si>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</si>
  <si>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</si>
  <si>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</si>
  <si>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</si>
  <si>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</si>
  <si>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</si>
  <si>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</si>
  <si>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</si>
  <si>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</si>
  <si>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</si>
  <si>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</si>
  <si>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</si>
  <si>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</si>
  <si>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</si>
  <si>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</si>
  <si>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</si>
  <si>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</si>
  <si>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</si>
  <si>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</si>
  <si>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</si>
  <si>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</si>
  <si>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</si>
  <si>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</si>
  <si>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</si>
  <si>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</si>
  <si>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</si>
  <si>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</si>
  <si>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</si>
  <si>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</si>
  <si>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</si>
  <si>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</si>
  <si>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</si>
  <si>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</si>
  <si>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</si>
  <si>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</si>
  <si>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</si>
  <si>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</si>
  <si>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</si>
  <si>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</si>
  <si>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</si>
  <si>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</si>
  <si>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</si>
  <si>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</si>
  <si>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</si>
  <si>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</si>
  <si>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</si>
  <si>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</si>
  <si>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</si>
  <si>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</si>
  <si>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</si>
  <si>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</si>
  <si>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</si>
  <si>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</si>
  <si>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</si>
  <si>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</si>
  <si>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</si>
  <si>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</si>
  <si>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</si>
  <si>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</si>
  <si>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</si>
  <si>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</si>
  <si>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</si>
  <si>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</si>
  <si>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</si>
  <si>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</si>
  <si>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</si>
  <si>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</si>
  <si>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</si>
  <si>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</si>
  <si>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</si>
  <si>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</si>
  <si>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</si>
  <si>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</si>
  <si>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</si>
  <si>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</si>
  <si>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</si>
  <si>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</si>
  <si>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</si>
  <si>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</si>
  <si>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</si>
  <si>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</si>
  <si>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</si>
  <si>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</si>
  <si>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</si>
  <si>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</si>
  <si>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</si>
  <si>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</si>
  <si>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</si>
  <si>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</si>
  <si>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</si>
  <si>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</si>
  <si>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</si>
  <si>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</si>
  <si>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</si>
  <si>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</si>
  <si>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</si>
  <si>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</si>
  <si>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</si>
  <si>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</si>
  <si>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</si>
  <si>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</si>
  <si>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</si>
  <si>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</si>
  <si>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</si>
  <si>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</si>
  <si>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</si>
  <si>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</si>
  <si>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</si>
  <si>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</si>
  <si>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</si>
  <si>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</si>
  <si>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</si>
  <si>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</si>
  <si>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</si>
  <si>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</si>
  <si>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</si>
  <si>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</si>
  <si>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</si>
  <si>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</si>
  <si>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</si>
  <si>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</si>
  <si>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</si>
  <si>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</si>
  <si>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</si>
  <si>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</si>
  <si>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</si>
  <si>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</si>
  <si>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</si>
  <si>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</si>
  <si>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</si>
  <si>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</si>
  <si>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</si>
  <si>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</si>
  <si>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</si>
  <si>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</si>
  <si>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</si>
  <si>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</si>
  <si>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</si>
  <si>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</si>
  <si>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</si>
  <si>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</si>
  <si>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</si>
  <si>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</si>
  <si>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</si>
  <si>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</si>
  <si>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</si>
  <si>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</si>
  <si>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</si>
  <si>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</si>
  <si>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</si>
  <si>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</si>
  <si>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</si>
  <si>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</si>
  <si>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</si>
  <si>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</si>
  <si>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</si>
  <si>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</si>
  <si>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</si>
  <si>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</si>
  <si>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</si>
  <si>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</si>
  <si>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</si>
  <si>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</si>
  <si>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</si>
  <si>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</si>
  <si>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</si>
  <si>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</si>
  <si>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</si>
  <si>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</si>
  <si>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</si>
  <si>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</si>
  <si>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</si>
  <si>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</si>
  <si>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</si>
  <si>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</si>
  <si>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</si>
  <si>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</si>
  <si>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</si>
  <si>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</si>
  <si>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</si>
  <si>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</si>
  <si>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</si>
  <si>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</si>
  <si>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</si>
  <si>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</si>
  <si>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</si>
  <si>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</si>
  <si>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</si>
  <si>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</si>
  <si>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</si>
  <si>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</si>
  <si>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</si>
  <si>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</si>
  <si>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</si>
  <si>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</si>
  <si>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</si>
  <si>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</si>
  <si>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</si>
  <si>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</si>
  <si>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</si>
  <si>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</si>
  <si>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</si>
  <si>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</si>
  <si>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</si>
  <si>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</si>
  <si>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</si>
  <si>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</si>
  <si>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</si>
  <si>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</si>
  <si>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</si>
  <si>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</si>
  <si>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</si>
  <si>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</si>
  <si>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</si>
  <si>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</si>
  <si>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</si>
  <si>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</si>
  <si>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</si>
  <si>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</si>
  <si>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</si>
  <si>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</si>
  <si>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</si>
  <si>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</si>
  <si>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</si>
  <si>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</si>
  <si>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</si>
  <si>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</si>
  <si>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</si>
  <si>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</si>
  <si>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</si>
  <si>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</si>
  <si>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</si>
  <si>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</si>
  <si>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</si>
  <si>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</si>
  <si>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</si>
  <si>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</si>
  <si>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</si>
  <si>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</si>
  <si>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</si>
  <si>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</si>
  <si>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</si>
  <si>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</si>
  <si>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</si>
  <si>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</si>
  <si>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</si>
  <si>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</si>
  <si>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</si>
  <si>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</si>
  <si>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</si>
  <si>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</si>
  <si>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</si>
  <si>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</si>
  <si>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</si>
  <si>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</si>
  <si>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</si>
  <si>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</si>
  <si>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</si>
  <si>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</si>
  <si>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</si>
  <si>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</si>
  <si>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</si>
  <si>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</si>
  <si>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</si>
  <si>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</si>
  <si>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</si>
  <si>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</si>
  <si>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</si>
  <si>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</si>
  <si>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</si>
  <si>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</si>
  <si>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</si>
  <si>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</si>
  <si>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</si>
  <si>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</si>
  <si>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</si>
  <si>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</si>
  <si>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</si>
  <si>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</si>
  <si>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</si>
  <si>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</si>
  <si>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</si>
  <si>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</si>
  <si>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</si>
  <si>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</si>
  <si>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</si>
  <si>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</si>
  <si>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</si>
  <si>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</si>
  <si>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</si>
  <si>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</si>
  <si>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</si>
  <si>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</si>
  <si>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</si>
  <si>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</si>
  <si>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</si>
  <si>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</si>
  <si>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</si>
  <si>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</si>
  <si>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</si>
  <si>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</si>
  <si>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</si>
  <si>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</si>
  <si>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</si>
  <si>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</si>
  <si>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</si>
  <si>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</si>
  <si>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</si>
  <si>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</si>
  <si>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</si>
  <si>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</si>
  <si>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</si>
  <si>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</si>
  <si>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</si>
  <si>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</si>
  <si>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</si>
  <si>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</si>
  <si>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</si>
  <si>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</si>
  <si>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</si>
  <si>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</si>
  <si>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</si>
  <si>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</si>
  <si>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</si>
  <si>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</si>
  <si>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</si>
  <si>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</si>
  <si>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</si>
  <si>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</si>
  <si>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</si>
  <si>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</si>
  <si>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</si>
  <si>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</si>
  <si>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</si>
  <si>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</si>
  <si>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</si>
  <si>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</si>
  <si>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</si>
  <si>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</si>
  <si>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</si>
  <si>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</si>
  <si>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</si>
  <si>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</si>
  <si>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</si>
  <si>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</si>
  <si>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</si>
  <si>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</si>
  <si>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</si>
  <si>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</si>
  <si>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</si>
  <si>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</si>
  <si>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</si>
  <si>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</si>
  <si>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</si>
  <si>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</si>
  <si>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</si>
  <si>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</si>
  <si>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</si>
  <si>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</si>
  <si>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</si>
  <si>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</si>
  <si>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</si>
  <si>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</si>
  <si>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</si>
  <si>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</si>
  <si>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</si>
  <si>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</si>
  <si>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</si>
  <si>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</si>
  <si>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</si>
  <si>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</si>
  <si>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</si>
  <si>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</si>
  <si>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</si>
  <si>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</si>
  <si>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</si>
  <si>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</si>
  <si>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</si>
  <si>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</si>
  <si>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</si>
  <si>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</si>
  <si>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</si>
  <si>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</si>
  <si>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</si>
  <si>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</si>
  <si>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</si>
  <si>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</si>
  <si>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</si>
  <si>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</si>
  <si>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</si>
  <si>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</si>
  <si>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</si>
  <si>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</si>
  <si>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</si>
  <si>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</si>
  <si>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</si>
  <si>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</si>
  <si>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</si>
  <si>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</si>
  <si>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</si>
  <si>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</si>
  <si>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</si>
  <si>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</si>
  <si>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</si>
  <si>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</si>
  <si>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</si>
  <si>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</si>
  <si>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</si>
  <si>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</si>
  <si>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</si>
  <si>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</si>
  <si>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</si>
  <si>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</si>
  <si>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</si>
  <si>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</si>
  <si>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</si>
  <si>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</si>
  <si>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</si>
  <si>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</si>
  <si>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</si>
  <si>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</si>
  <si>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</si>
  <si>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</si>
  <si>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</si>
  <si>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</si>
  <si>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</si>
  <si>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</si>
  <si>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</si>
  <si>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</si>
  <si>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</si>
  <si>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</si>
  <si>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</si>
  <si>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</si>
  <si>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</si>
  <si>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</si>
  <si>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</si>
  <si>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</si>
  <si>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</si>
  <si>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</si>
  <si>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</si>
  <si>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</si>
  <si>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</si>
  <si>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</si>
  <si>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</si>
  <si>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</si>
  <si>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</si>
  <si>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</si>
  <si>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</si>
  <si>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</si>
  <si>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</si>
  <si>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</si>
  <si>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</si>
  <si>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</si>
  <si>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</si>
  <si>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</si>
  <si>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</si>
  <si>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</si>
  <si>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</si>
  <si>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</si>
  <si>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</si>
  <si>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</si>
  <si>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</si>
  <si>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</si>
  <si>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</si>
  <si>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</si>
  <si>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</si>
  <si>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</si>
  <si>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</si>
  <si>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</si>
  <si>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</si>
  <si>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</si>
  <si>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</si>
  <si>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</si>
  <si>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</si>
  <si>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</si>
  <si>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</si>
  <si>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</si>
  <si>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</si>
  <si>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</si>
  <si>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</si>
  <si>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</si>
  <si>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</si>
  <si>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</si>
  <si>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</si>
  <si>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</si>
  <si>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</si>
  <si>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</si>
  <si>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</si>
  <si>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</si>
  <si>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</si>
  <si>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</si>
  <si>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</si>
  <si>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</si>
  <si>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</si>
  <si>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</si>
  <si>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</si>
  <si>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</si>
  <si>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</si>
  <si>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</si>
  <si>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</si>
  <si>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</si>
  <si>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</si>
  <si>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</si>
  <si>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</si>
  <si>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</si>
  <si>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</si>
  <si>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</si>
  <si>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</si>
  <si>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</si>
  <si>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</si>
  <si>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</si>
  <si>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</si>
  <si>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</si>
  <si>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</si>
  <si>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</si>
  <si>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</si>
  <si>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</si>
  <si>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</si>
  <si>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</si>
  <si>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</si>
  <si>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</si>
  <si>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</si>
  <si>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</si>
  <si>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</si>
  <si>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</si>
  <si>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</si>
  <si>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</si>
  <si>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</si>
  <si>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</si>
  <si>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</si>
  <si>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</si>
  <si>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</si>
  <si>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</si>
  <si>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</si>
  <si>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</si>
  <si>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</si>
  <si>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</si>
  <si>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</si>
  <si>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</si>
  <si>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</si>
  <si>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</si>
  <si>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</si>
  <si>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</si>
  <si>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</si>
  <si>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</si>
  <si>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</si>
  <si>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</si>
  <si>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</si>
  <si>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</si>
  <si>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</si>
  <si>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</si>
  <si>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</si>
  <si>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</si>
  <si>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</si>
  <si>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</si>
  <si>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</si>
  <si>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</si>
  <si>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</si>
  <si>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</si>
  <si>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</si>
  <si>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</si>
  <si>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</si>
  <si>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</si>
  <si>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</si>
  <si>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</si>
  <si>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</si>
  <si>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</si>
  <si>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</si>
  <si>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</si>
  <si>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</si>
  <si>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</si>
  <si>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</si>
  <si>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</si>
  <si>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</si>
  <si>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</si>
  <si>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</si>
  <si>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</si>
  <si>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</si>
  <si>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</si>
  <si>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</si>
  <si>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</si>
  <si>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</si>
  <si>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</si>
  <si>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</si>
  <si>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</si>
  <si>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</si>
  <si>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</si>
  <si>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</si>
  <si>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</si>
  <si>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</si>
  <si>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</si>
  <si>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</si>
  <si>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</si>
  <si>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</si>
  <si>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</si>
  <si>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</si>
  <si>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</si>
  <si>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</si>
  <si>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</si>
  <si>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</si>
  <si>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</si>
  <si>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</si>
  <si>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</si>
  <si>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</si>
  <si>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</si>
  <si>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</si>
  <si>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</si>
  <si>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</si>
  <si>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</si>
  <si>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</si>
  <si>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</si>
  <si>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</si>
  <si>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</si>
  <si>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</si>
  <si>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</si>
  <si>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</si>
  <si>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</si>
  <si>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</si>
  <si>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</si>
  <si>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</si>
  <si>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</si>
  <si>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</si>
  <si>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</si>
  <si>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</si>
  <si>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Composite tube weight estimation</t>
  </si>
  <si>
    <t>Composite fin weight estimation</t>
  </si>
  <si>
    <t>Simple Composites v1.0</t>
  </si>
  <si>
    <t>Simple lamina at perpendicular and axial loads</t>
  </si>
  <si>
    <t>Fiber density</t>
  </si>
  <si>
    <t xml:space="preserve">Resine density </t>
  </si>
  <si>
    <t>Composite density</t>
  </si>
  <si>
    <t>A length</t>
  </si>
  <si>
    <t>B length</t>
  </si>
  <si>
    <t>Height</t>
  </si>
  <si>
    <t>Cross Area</t>
  </si>
  <si>
    <t>Load</t>
  </si>
  <si>
    <t>N</t>
  </si>
  <si>
    <t>Transv</t>
  </si>
  <si>
    <t>Continuous</t>
  </si>
  <si>
    <t>Composite mechanical properties</t>
  </si>
  <si>
    <t>Spreadsheet to determine composite prop., joints and dimensions for geometries with composites</t>
  </si>
  <si>
    <t>Fiber Ftu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</si>
  <si>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</si>
  <si>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t>Matrix Ftu</t>
  </si>
  <si>
    <t>Matrix Fty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</si>
  <si>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</si>
  <si>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</si>
  <si>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</si>
  <si>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</si>
  <si>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</si>
  <si>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</si>
  <si>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Matrix Fcu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</si>
  <si>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</si>
  <si>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</si>
  <si>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</si>
  <si>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</si>
  <si>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</si>
  <si>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</si>
  <si>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</si>
  <si>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</si>
  <si>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Youngs Module  fiber</t>
  </si>
  <si>
    <t>Youngs Module resin</t>
  </si>
  <si>
    <t>Fty composite</t>
  </si>
  <si>
    <t xml:space="preserve">Ftu composite </t>
  </si>
  <si>
    <t xml:space="preserve">Fcu composite </t>
  </si>
  <si>
    <t>Fiber prop</t>
  </si>
  <si>
    <t>Matrix prop</t>
  </si>
  <si>
    <t>yield</t>
  </si>
  <si>
    <t>uts</t>
  </si>
  <si>
    <t>1 kg/cm2 = 0.01 kg/mm2</t>
  </si>
  <si>
    <t>Gpa</t>
  </si>
  <si>
    <t>less</t>
  </si>
  <si>
    <t>equal</t>
  </si>
  <si>
    <t>higher</t>
  </si>
  <si>
    <t>Composite</t>
  </si>
  <si>
    <t>Note:</t>
  </si>
  <si>
    <t>Fiber Fcu</t>
  </si>
  <si>
    <t>Fiber εcu</t>
  </si>
  <si>
    <t>Composite Youngs Module</t>
  </si>
  <si>
    <t>Declare variables of interest: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</si>
  <si>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</si>
  <si>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</si>
  <si>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</si>
  <si>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</si>
  <si>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</si>
  <si>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</si>
  <si>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</si>
  <si>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</si>
  <si>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</si>
  <si>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</si>
  <si>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</si>
  <si>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</si>
  <si>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</si>
  <si>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</si>
  <si>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</si>
  <si>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</si>
  <si>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</si>
  <si>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</si>
  <si>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Coefficient of thermal exp.
 (X10^-3 m/m°C)</t>
  </si>
  <si>
    <t>IPS tube selected</t>
  </si>
  <si>
    <t>Material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</si>
  <si>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</si>
  <si>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</si>
  <si>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</si>
  <si>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</si>
  <si>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</si>
  <si>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</si>
  <si>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</si>
  <si>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Manufacture considerations</t>
  </si>
  <si>
    <t>Tube geometry</t>
  </si>
  <si>
    <t>Loads</t>
  </si>
  <si>
    <t>(N)</t>
  </si>
  <si>
    <t xml:space="preserve">Location </t>
  </si>
  <si>
    <t>(mm)</t>
  </si>
  <si>
    <t>(cause/how is the load generated and where is applied)</t>
  </si>
  <si>
    <t>Due to body drag in CG</t>
  </si>
  <si>
    <t>Inertial load due to avionics</t>
  </si>
  <si>
    <t>Inertial load due to payload</t>
  </si>
  <si>
    <t>Inertial load due to rocket motor</t>
  </si>
  <si>
    <t>Rocket motor thrust in bulkhead and rocket base</t>
  </si>
  <si>
    <t>Forebody lift in Cpforebody</t>
  </si>
  <si>
    <t>Fin lift in Cpfin</t>
  </si>
  <si>
    <t>Inertial load due to lateral accelerations in CG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</si>
  <si>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</si>
  <si>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</si>
  <si>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</si>
  <si>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overlapping area between tubes</t>
  </si>
  <si>
    <t>Figure for load representation in rocket fuselage</t>
  </si>
  <si>
    <t>Color rep.</t>
  </si>
  <si>
    <t xml:space="preserve">Axial </t>
  </si>
  <si>
    <t>Longitud</t>
  </si>
  <si>
    <t>x mm</t>
  </si>
  <si>
    <t>Fin</t>
  </si>
  <si>
    <t>+</t>
  </si>
  <si>
    <t>(+/-)</t>
  </si>
  <si>
    <t>Shear Graph</t>
  </si>
  <si>
    <t>Moment graph</t>
  </si>
  <si>
    <t>Rotational inertia load due avionics</t>
  </si>
  <si>
    <t>Rotational inertia load due payload</t>
  </si>
  <si>
    <t>Rotational inertia load due rocket motor</t>
  </si>
  <si>
    <t>Shear force equation</t>
  </si>
  <si>
    <t>Mass in kg:</t>
  </si>
  <si>
    <t>For B: and sharp-edged gust of 9 m/s</t>
  </si>
  <si>
    <t>Lateral ay:</t>
  </si>
  <si>
    <t>Mass total kg:</t>
  </si>
  <si>
    <t>y Nmm</t>
  </si>
  <si>
    <t>y N</t>
  </si>
  <si>
    <t>Total moment:</t>
  </si>
  <si>
    <t>Nmm</t>
  </si>
  <si>
    <t>A fast aproximation is using thin-wall structure</t>
  </si>
  <si>
    <t>Moment arm</t>
  </si>
  <si>
    <t>Engine block</t>
  </si>
  <si>
    <t>Axial loads</t>
  </si>
  <si>
    <t>Loads up</t>
  </si>
  <si>
    <t>Loads down</t>
  </si>
  <si>
    <t>Shear stress</t>
  </si>
  <si>
    <t>Thrust</t>
  </si>
  <si>
    <t>Adhesive &amp; mechanical joints</t>
  </si>
  <si>
    <t>Inertial load</t>
  </si>
  <si>
    <t>Drag</t>
  </si>
  <si>
    <t>Mass down</t>
  </si>
  <si>
    <t>Mass up</t>
  </si>
  <si>
    <t>Shearing A.</t>
  </si>
  <si>
    <t>mm^2</t>
  </si>
  <si>
    <t>Stress</t>
  </si>
  <si>
    <t>kg/mm^2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</si>
</sst>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27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4"/>
      <color theme="1"/>
      <name val="Aptos Narrow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3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9" fontId="0" fillId="0" borderId="0" xfId="2" applyFont="1"/>
    <xf numFmtId="9" fontId="0" fillId="0" borderId="0" xfId="0" applyNumberFormat="1"/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8" borderId="0" xfId="0" applyFill="1"/>
    <xf numFmtId="0" fontId="21" fillId="0" borderId="0" xfId="0" applyFont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6" fillId="0" borderId="34" xfId="0" applyFont="1" applyBorder="1"/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6625304"/>
        <c:axId val="446628440"/>
      </c:scatterChart>
      <c:valAx>
        <c:axId val="446625304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628440"/>
        <c:crosses val="autoZero"/>
        <c:crossBetween val="midCat"/>
        <c:majorUnit val="0.30000000000000004"/>
        <c:minorUnit val="0.30000000000000004"/>
      </c:valAx>
      <c:valAx>
        <c:axId val="44662844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6625304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343888"/>
        <c:axId val="208456440"/>
      </c:scatterChart>
      <c:valAx>
        <c:axId val="20834388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8456440"/>
        <c:crossesAt val="0"/>
        <c:crossBetween val="midCat"/>
      </c:valAx>
      <c:valAx>
        <c:axId val="208456440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8343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060376"/>
        <c:axId val="542056064"/>
      </c:scatterChart>
      <c:valAx>
        <c:axId val="542060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2056064"/>
        <c:crosses val="autoZero"/>
        <c:crossBetween val="midCat"/>
      </c:valAx>
      <c:valAx>
        <c:axId val="54205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2060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056456"/>
        <c:axId val="542055672"/>
      </c:scatterChart>
      <c:valAx>
        <c:axId val="542056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2055672"/>
        <c:crosses val="autoZero"/>
        <c:crossBetween val="midCat"/>
      </c:valAx>
      <c:valAx>
        <c:axId val="542055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2056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057240"/>
        <c:axId val="542062336"/>
      </c:scatterChart>
      <c:valAx>
        <c:axId val="542057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2062336"/>
        <c:crosses val="autoZero"/>
        <c:crossBetween val="midCat"/>
      </c:valAx>
      <c:valAx>
        <c:axId val="542062336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2057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058024"/>
        <c:axId val="542054888"/>
      </c:scatterChart>
      <c:valAx>
        <c:axId val="542058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2054888"/>
        <c:crosses val="autoZero"/>
        <c:crossBetween val="midCat"/>
      </c:valAx>
      <c:valAx>
        <c:axId val="542054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2058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058416"/>
        <c:axId val="542061552"/>
        <c:extLst xmlns:c16r2="http://schemas.microsoft.com/office/drawing/2015/06/chart"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542058416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2061552"/>
        <c:crosses val="autoZero"/>
        <c:crossBetween val="midCat"/>
      </c:valAx>
      <c:valAx>
        <c:axId val="54206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2058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059200"/>
        <c:axId val="542061160"/>
      </c:scatterChart>
      <c:valAx>
        <c:axId val="542059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2061160"/>
        <c:crosses val="autoZero"/>
        <c:crossBetween val="midCat"/>
      </c:valAx>
      <c:valAx>
        <c:axId val="542061160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20592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506432"/>
        <c:axId val="542504864"/>
      </c:scatterChart>
      <c:valAx>
        <c:axId val="542506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2504864"/>
        <c:crosses val="autoZero"/>
        <c:crossBetween val="midCat"/>
      </c:valAx>
      <c:valAx>
        <c:axId val="542504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25064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504472"/>
        <c:axId val="542510352"/>
      </c:scatterChart>
      <c:valAx>
        <c:axId val="542504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2510352"/>
        <c:crosses val="autoZero"/>
        <c:crossBetween val="midCat"/>
      </c:valAx>
      <c:valAx>
        <c:axId val="54251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2504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510744"/>
        <c:axId val="542508392"/>
      </c:scatterChart>
      <c:valAx>
        <c:axId val="542510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2508392"/>
        <c:crosses val="autoZero"/>
        <c:crossBetween val="midCat"/>
      </c:valAx>
      <c:valAx>
        <c:axId val="542508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2510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507608"/>
        <c:axId val="542511920"/>
      </c:scatterChart>
      <c:valAx>
        <c:axId val="542507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2511920"/>
        <c:crosses val="autoZero"/>
        <c:crossBetween val="midCat"/>
      </c:valAx>
      <c:valAx>
        <c:axId val="54251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25076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Longitudinal (tension)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ser>
          <c:idx val="9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988-4C82-AAB9-81698529BB97}"/>
            </c:ext>
          </c:extLst>
        </c:ser>
        <c:ser>
          <c:idx val="10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988-4C82-AAB9-81698529BB97}"/>
            </c:ext>
          </c:extLst>
        </c:ser>
        <c:ser>
          <c:idx val="11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988-4C82-AAB9-81698529BB97}"/>
            </c:ext>
          </c:extLst>
        </c:ser>
        <c:ser>
          <c:idx val="3"/>
          <c:order val="6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988-4C82-AAB9-81698529BB97}"/>
            </c:ext>
          </c:extLst>
        </c:ser>
        <c:ser>
          <c:idx val="4"/>
          <c:order val="7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988-4C82-AAB9-81698529BB97}"/>
            </c:ext>
          </c:extLst>
        </c:ser>
        <c:ser>
          <c:idx val="5"/>
          <c:order val="8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988-4C82-AAB9-81698529BB97}"/>
            </c:ext>
          </c:extLst>
        </c:ser>
        <c:ser>
          <c:idx val="0"/>
          <c:order val="9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988-4C82-AAB9-81698529BB97}"/>
            </c:ext>
          </c:extLst>
        </c:ser>
        <c:ser>
          <c:idx val="1"/>
          <c:order val="10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F988-4C82-AAB9-81698529BB97}"/>
            </c:ext>
          </c:extLst>
        </c:ser>
        <c:ser>
          <c:idx val="2"/>
          <c:order val="11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B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507216"/>
        <c:axId val="542509568"/>
      </c:scatterChart>
      <c:valAx>
        <c:axId val="542507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2509568"/>
        <c:crosses val="autoZero"/>
        <c:crossBetween val="midCat"/>
      </c:valAx>
      <c:valAx>
        <c:axId val="54250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2507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Mechanical</a:t>
            </a:r>
            <a:r>
              <a:rPr lang="en-US" baseline="0"/>
              <a:t> compatibility transversal</a:t>
            </a:r>
          </a:p>
          <a:p>
            <a:pPr>
              <a:defRPr/>
            </a:pPr>
            <a:r>
              <a:rPr lang="en-US" baseline="0"/>
              <a:t>(compression)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5"/>
          <c:order val="2"/>
          <c:tx>
            <c:v>Composite prop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660B-4985-9958-F91B0900BF0B}"/>
            </c:ext>
          </c:extLst>
        </c:ser>
        <c:ser>
          <c:idx val="0"/>
          <c:order val="3"/>
          <c:tx>
            <c:v>Fiber prop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SimpleComposites!$B$36:$B$37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SimpleComposites!$C$36:$C$37</c:f>
              <c:numCache>
                <c:formatCode>General</c:formatCode>
                <c:ptCount val="2"/>
                <c:pt idx="0">
                  <c:v>0</c:v>
                </c:pt>
                <c:pt idx="1">
                  <c:v>4400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660B-4985-9958-F91B0900BF0B}"/>
            </c:ext>
          </c:extLst>
        </c:ser>
        <c:ser>
          <c:idx val="1"/>
          <c:order val="4"/>
          <c:tx>
            <c:v>Matrix prop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SimpleComposites!$B$38:$B$40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SimpleComposites!$C$38:$C$40</c:f>
              <c:numCache>
                <c:formatCode>General</c:formatCode>
                <c:ptCount val="3"/>
                <c:pt idx="0">
                  <c:v>0</c:v>
                </c:pt>
                <c:pt idx="1">
                  <c:v>1.34</c:v>
                </c:pt>
                <c:pt idx="2">
                  <c:v>4.34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660B-4985-9958-F91B0900BF0B}"/>
            </c:ext>
          </c:extLst>
        </c:ser>
        <c:ser>
          <c:idx val="2"/>
          <c:order val="5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SimpleComposites!$B$41:$B$42</c:f>
              <c:numCache>
                <c:formatCode>0.00%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SimpleComposites!$C$41:$C$42</c:f>
              <c:numCache>
                <c:formatCode>General</c:formatCode>
                <c:ptCount val="2"/>
                <c:pt idx="0">
                  <c:v>0</c:v>
                </c:pt>
                <c:pt idx="1">
                  <c:v>2641.116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508784"/>
        <c:axId val="542511528"/>
      </c:scatterChart>
      <c:valAx>
        <c:axId val="542508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2511528"/>
        <c:crosses val="autoZero"/>
        <c:crossBetween val="midCat"/>
      </c:valAx>
      <c:valAx>
        <c:axId val="542511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25087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Shear stress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SimpleComposites!$L$115:$L$120</c:f>
              <c:numCache>
                <c:formatCode>General</c:formatCode>
                <c:ptCount val="6"/>
                <c:pt idx="0">
                  <c:v>100</c:v>
                </c:pt>
                <c:pt idx="1">
                  <c:v>100</c:v>
                </c:pt>
                <c:pt idx="2">
                  <c:v>900</c:v>
                </c:pt>
                <c:pt idx="3">
                  <c:v>900</c:v>
                </c:pt>
                <c:pt idx="4">
                  <c:v>1700</c:v>
                </c:pt>
                <c:pt idx="5">
                  <c:v>1700</c:v>
                </c:pt>
              </c:numCache>
            </c:numRef>
          </c:xVal>
          <c:yVal>
            <c:numRef>
              <c:f>SimpleComposites!$M$115:$M$120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-32</c:v>
                </c:pt>
                <c:pt idx="4">
                  <c:v>-32</c:v>
                </c:pt>
                <c:pt idx="5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FB6-4A8D-82BF-790AC9BBEB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2509176"/>
        <c:axId val="543430104"/>
      </c:scatterChart>
      <c:valAx>
        <c:axId val="542509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430104"/>
        <c:crosses val="autoZero"/>
        <c:crossBetween val="midCat"/>
      </c:valAx>
      <c:valAx>
        <c:axId val="543430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25091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SimpleComposites!$L$127:$L$129</c:f>
              <c:numCache>
                <c:formatCode>General</c:formatCode>
                <c:ptCount val="3"/>
                <c:pt idx="0">
                  <c:v>100</c:v>
                </c:pt>
                <c:pt idx="1">
                  <c:v>900</c:v>
                </c:pt>
                <c:pt idx="2">
                  <c:v>1700</c:v>
                </c:pt>
              </c:numCache>
            </c:numRef>
          </c:xVal>
          <c:yVal>
            <c:numRef>
              <c:f>SimpleComposites!$M$127:$M$129</c:f>
              <c:numCache>
                <c:formatCode>General</c:formatCode>
                <c:ptCount val="3"/>
                <c:pt idx="0">
                  <c:v>0</c:v>
                </c:pt>
                <c:pt idx="1">
                  <c:v>1600</c:v>
                </c:pt>
                <c:pt idx="2">
                  <c:v>-24000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3424616"/>
        <c:axId val="543432064"/>
      </c:scatterChart>
      <c:valAx>
        <c:axId val="543424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432064"/>
        <c:crosses val="autoZero"/>
        <c:crossBetween val="midCat"/>
      </c:valAx>
      <c:valAx>
        <c:axId val="54343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424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3429320"/>
        <c:axId val="543428928"/>
      </c:scatterChart>
      <c:valAx>
        <c:axId val="543429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3428928"/>
        <c:crosses val="autoZero"/>
        <c:crossBetween val="midCat"/>
      </c:valAx>
      <c:valAx>
        <c:axId val="543428928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3429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3430888"/>
        <c:axId val="543430496"/>
      </c:scatterChart>
      <c:valAx>
        <c:axId val="543430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3430496"/>
        <c:crosses val="autoZero"/>
        <c:crossBetween val="midCat"/>
      </c:valAx>
      <c:valAx>
        <c:axId val="54343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3430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3429712"/>
        <c:axId val="543425400"/>
      </c:scatterChart>
      <c:valAx>
        <c:axId val="543429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3425400"/>
        <c:crosses val="autoZero"/>
        <c:crossBetween val="midCat"/>
      </c:valAx>
      <c:valAx>
        <c:axId val="54342540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3429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3428536"/>
        <c:axId val="543426576"/>
      </c:scatterChart>
      <c:valAx>
        <c:axId val="543428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3426576"/>
        <c:crosses val="autoZero"/>
        <c:crossBetween val="midCat"/>
      </c:valAx>
      <c:valAx>
        <c:axId val="543426576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3428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3427360"/>
        <c:axId val="543426968"/>
      </c:scatterChart>
      <c:valAx>
        <c:axId val="54342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3426968"/>
        <c:crosses val="autoZero"/>
        <c:crossBetween val="midCat"/>
      </c:valAx>
      <c:valAx>
        <c:axId val="543426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342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5251400"/>
        <c:axId val="545251008"/>
      </c:scatterChart>
      <c:valAx>
        <c:axId val="545251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5251008"/>
        <c:crosses val="autoZero"/>
        <c:crossBetween val="midCat"/>
      </c:valAx>
      <c:valAx>
        <c:axId val="54525100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45251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5243952"/>
        <c:axId val="545248656"/>
      </c:scatterChart>
      <c:valAx>
        <c:axId val="545243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248656"/>
        <c:crosses val="autoZero"/>
        <c:crossBetween val="midCat"/>
      </c:valAx>
      <c:valAx>
        <c:axId val="54524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2439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5246696"/>
        <c:axId val="545245128"/>
      </c:scatterChart>
      <c:valAx>
        <c:axId val="545246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245128"/>
        <c:crosses val="autoZero"/>
        <c:crossBetween val="midCat"/>
      </c:valAx>
      <c:valAx>
        <c:axId val="5452451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246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5250616"/>
        <c:axId val="545245520"/>
      </c:scatterChart>
      <c:valAx>
        <c:axId val="545250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245520"/>
        <c:crosses val="autoZero"/>
        <c:crossBetween val="midCat"/>
      </c:valAx>
      <c:valAx>
        <c:axId val="54524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25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5246304"/>
        <c:axId val="545249440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5250224"/>
        <c:axId val="545247480"/>
      </c:lineChart>
      <c:catAx>
        <c:axId val="545246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249440"/>
        <c:crosses val="autoZero"/>
        <c:auto val="1"/>
        <c:lblAlgn val="ctr"/>
        <c:lblOffset val="100"/>
        <c:noMultiLvlLbl val="0"/>
      </c:catAx>
      <c:valAx>
        <c:axId val="54524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246304"/>
        <c:crosses val="autoZero"/>
        <c:crossBetween val="between"/>
      </c:valAx>
      <c:valAx>
        <c:axId val="545247480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5250224"/>
        <c:crosses val="max"/>
        <c:crossBetween val="between"/>
      </c:valAx>
      <c:catAx>
        <c:axId val="5452502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452474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6255368"/>
        <c:axId val="546255760"/>
      </c:scatterChart>
      <c:valAx>
        <c:axId val="546255368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255760"/>
        <c:crosses val="autoZero"/>
        <c:crossBetween val="midCat"/>
      </c:valAx>
      <c:valAx>
        <c:axId val="54625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6255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image" Target="../media/image7.png"/><Relationship Id="rId7" Type="http://schemas.openxmlformats.org/officeDocument/2006/relationships/image" Target="../media/image9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8.png"/><Relationship Id="rId11" Type="http://schemas.openxmlformats.org/officeDocument/2006/relationships/image" Target="../media/image11.png"/><Relationship Id="rId5" Type="http://schemas.openxmlformats.org/officeDocument/2006/relationships/chart" Target="../charts/chart14.xml"/><Relationship Id="rId10" Type="http://schemas.openxmlformats.org/officeDocument/2006/relationships/image" Target="../media/image10.png"/><Relationship Id="rId4" Type="http://schemas.openxmlformats.org/officeDocument/2006/relationships/chart" Target="../charts/chart13.xml"/><Relationship Id="rId9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png"/><Relationship Id="rId3" Type="http://schemas.openxmlformats.org/officeDocument/2006/relationships/chart" Target="../charts/chart22.xml"/><Relationship Id="rId7" Type="http://schemas.openxmlformats.org/officeDocument/2006/relationships/image" Target="../media/image15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14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image" Target="../media/image1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image" Target="../media/image18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png"/><Relationship Id="rId3" Type="http://schemas.openxmlformats.org/officeDocument/2006/relationships/chart" Target="../charts/chart26.xml"/><Relationship Id="rId7" Type="http://schemas.openxmlformats.org/officeDocument/2006/relationships/image" Target="../media/image23.png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image" Target="../media/image22.png"/><Relationship Id="rId5" Type="http://schemas.openxmlformats.org/officeDocument/2006/relationships/image" Target="../media/image21.png"/><Relationship Id="rId4" Type="http://schemas.openxmlformats.org/officeDocument/2006/relationships/chart" Target="../charts/chart27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xmlns="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xmlns="" id="{8696CF88-4D17-58E0-4547-0F4FEA49BBCA}"/>
            </a:ext>
            <a:ext uri="{147F2762-F138-4A5C-976F-8EAC2B608ADB}">
              <a16:predDERef xmlns:a16="http://schemas.microsoft.com/office/drawing/2014/main" xmlns="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xmlns="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10EB7F2F-3037-0F02-65F4-9470FC24037D}"/>
            </a:ext>
            <a:ext uri="{147F2762-F138-4A5C-976F-8EAC2B608ADB}">
              <a16:predDERef xmlns:a16="http://schemas.microsoft.com/office/drawing/2014/main" xmlns="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1E1B4768-DDEF-37F2-E2F6-DF6922649F41}"/>
            </a:ext>
            <a:ext uri="{147F2762-F138-4A5C-976F-8EAC2B608ADB}">
              <a16:predDERef xmlns:a16="http://schemas.microsoft.com/office/drawing/2014/main" xmlns="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E128D49A-3629-4BBF-9581-DB9D69B8A541}"/>
            </a:ext>
            <a:ext uri="{147F2762-F138-4A5C-976F-8EAC2B608ADB}">
              <a16:predDERef xmlns:a16="http://schemas.microsoft.com/office/drawing/2014/main" xmlns="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4705D049-9711-4AD6-8388-EAF961A55C4C}"/>
            </a:ext>
            <a:ext uri="{147F2762-F138-4A5C-976F-8EAC2B608ADB}">
              <a16:predDERef xmlns:a16="http://schemas.microsoft.com/office/drawing/2014/main" xmlns="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64CC32F9-70E7-407E-A2B4-7366728088AD}"/>
            </a:ext>
            <a:ext uri="{147F2762-F138-4A5C-976F-8EAC2B608ADB}">
              <a16:predDERef xmlns:a16="http://schemas.microsoft.com/office/drawing/2014/main" xmlns="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250CC376-444D-4A69-B396-08361C76F808}"/>
            </a:ext>
            <a:ext uri="{147F2762-F138-4A5C-976F-8EAC2B608ADB}">
              <a16:predDERef xmlns:a16="http://schemas.microsoft.com/office/drawing/2014/main" xmlns="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C15CA873-26E1-4AC6-B585-4EB97F3C73DC}"/>
            </a:ext>
            <a:ext uri="{147F2762-F138-4A5C-976F-8EAC2B608ADB}">
              <a16:predDERef xmlns:a16="http://schemas.microsoft.com/office/drawing/2014/main" xmlns="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A60D0BB-D2DB-4D29-AC4E-706AD0B20703}"/>
            </a:ext>
            <a:ext uri="{147F2762-F138-4A5C-976F-8EAC2B608ADB}">
              <a16:predDERef xmlns:a16="http://schemas.microsoft.com/office/drawing/2014/main" xmlns="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E18AE237-AB9B-443B-9AC6-0A486D849990}"/>
            </a:ext>
            <a:ext uri="{147F2762-F138-4A5C-976F-8EAC2B608ADB}">
              <a16:predDERef xmlns:a16="http://schemas.microsoft.com/office/drawing/2014/main" xmlns="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xmlns="" id="{D877167B-41EB-4438-B309-3687EC1249E9}"/>
            </a:ext>
            <a:ext uri="{6ECC49D1-AA05-4338-93AA-15A1B29DFB0A}">
              <asl:scriptLink xmlns:asl="http://schemas.microsoft.com/office/drawing/2021/scriptlink" xmlns="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77695</xdr:colOff>
      <xdr:row>1</xdr:row>
      <xdr:rowOff>28015</xdr:rowOff>
    </xdr:from>
    <xdr:to>
      <xdr:col>3</xdr:col>
      <xdr:colOff>607395</xdr:colOff>
      <xdr:row>4</xdr:row>
      <xdr:rowOff>124759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577" y="207309"/>
          <a:ext cx="1986465" cy="713068"/>
        </a:xfrm>
        <a:prstGeom prst="rect">
          <a:avLst/>
        </a:prstGeom>
      </xdr:spPr>
    </xdr:pic>
    <xdr:clientData/>
  </xdr:twoCellAnchor>
  <xdr:twoCellAnchor editAs="oneCell">
    <xdr:from>
      <xdr:col>11</xdr:col>
      <xdr:colOff>504265</xdr:colOff>
      <xdr:row>31</xdr:row>
      <xdr:rowOff>56029</xdr:rowOff>
    </xdr:from>
    <xdr:to>
      <xdr:col>20</xdr:col>
      <xdr:colOff>67078</xdr:colOff>
      <xdr:row>50</xdr:row>
      <xdr:rowOff>12235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xmlns="" id="{00000000-0008-0000-04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85530" y="3933264"/>
          <a:ext cx="5572903" cy="3362794"/>
        </a:xfrm>
        <a:prstGeom prst="rect">
          <a:avLst/>
        </a:prstGeom>
      </xdr:spPr>
    </xdr:pic>
    <xdr:clientData/>
  </xdr:twoCellAnchor>
  <xdr:twoCellAnchor editAs="oneCell">
    <xdr:from>
      <xdr:col>11</xdr:col>
      <xdr:colOff>582705</xdr:colOff>
      <xdr:row>4</xdr:row>
      <xdr:rowOff>78441</xdr:rowOff>
    </xdr:from>
    <xdr:to>
      <xdr:col>15</xdr:col>
      <xdr:colOff>289265</xdr:colOff>
      <xdr:row>6</xdr:row>
      <xdr:rowOff>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xmlns="" id="{00000000-0008-0000-04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563970" y="874059"/>
          <a:ext cx="2448267" cy="285790"/>
        </a:xfrm>
        <a:prstGeom prst="rect">
          <a:avLst/>
        </a:prstGeom>
      </xdr:spPr>
    </xdr:pic>
    <xdr:clientData/>
  </xdr:twoCellAnchor>
  <xdr:twoCellAnchor>
    <xdr:from>
      <xdr:col>0</xdr:col>
      <xdr:colOff>123262</xdr:colOff>
      <xdr:row>31</xdr:row>
      <xdr:rowOff>12325</xdr:rowOff>
    </xdr:from>
    <xdr:to>
      <xdr:col>5</xdr:col>
      <xdr:colOff>291353</xdr:colOff>
      <xdr:row>46</xdr:row>
      <xdr:rowOff>88525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xmlns="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459440</xdr:colOff>
      <xdr:row>31</xdr:row>
      <xdr:rowOff>11206</xdr:rowOff>
    </xdr:from>
    <xdr:to>
      <xdr:col>9</xdr:col>
      <xdr:colOff>762000</xdr:colOff>
      <xdr:row>46</xdr:row>
      <xdr:rowOff>123264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xmlns="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29884</xdr:colOff>
      <xdr:row>67</xdr:row>
      <xdr:rowOff>167340</xdr:rowOff>
    </xdr:from>
    <xdr:to>
      <xdr:col>8</xdr:col>
      <xdr:colOff>657411</xdr:colOff>
      <xdr:row>70</xdr:row>
      <xdr:rowOff>29882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xmlns="" id="{71D255C3-B7C8-885E-5A39-030847CD4A9D}"/>
            </a:ext>
          </a:extLst>
        </xdr:cNvPr>
        <xdr:cNvGrpSpPr/>
      </xdr:nvGrpSpPr>
      <xdr:grpSpPr>
        <a:xfrm>
          <a:off x="125134" y="10892490"/>
          <a:ext cx="5818652" cy="405467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xmlns="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xmlns="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xmlns="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:a16="http://schemas.microsoft.com/office/drawing/2014/main" xmlns="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xmlns="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 editAs="oneCell">
    <xdr:from>
      <xdr:col>10</xdr:col>
      <xdr:colOff>164353</xdr:colOff>
      <xdr:row>61</xdr:row>
      <xdr:rowOff>0</xdr:rowOff>
    </xdr:from>
    <xdr:to>
      <xdr:col>15</xdr:col>
      <xdr:colOff>480376</xdr:colOff>
      <xdr:row>73</xdr:row>
      <xdr:rowOff>95645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DA3A80B9-5670-2468-9D34-AFD2B04BF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29294" y="9029388"/>
          <a:ext cx="3520907" cy="2381646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152962</xdr:colOff>
      <xdr:row>67</xdr:row>
      <xdr:rowOff>97116</xdr:rowOff>
    </xdr:from>
    <xdr:to>
      <xdr:col>18</xdr:col>
      <xdr:colOff>602027</xdr:colOff>
      <xdr:row>79</xdr:row>
      <xdr:rowOff>148989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4A13EE50-B4E5-FDAD-4CB1-540CDDEB3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duotone>
            <a:schemeClr val="bg2">
              <a:shade val="45000"/>
              <a:satMod val="135000"/>
            </a:schemeClr>
            <a:prstClr val="white"/>
          </a:duotone>
        </a:blip>
        <a:stretch>
          <a:fillRect/>
        </a:stretch>
      </xdr:blipFill>
      <xdr:spPr>
        <a:xfrm>
          <a:off x="6517903" y="11400116"/>
          <a:ext cx="5402066" cy="2293049"/>
        </a:xfrm>
        <a:prstGeom prst="rect">
          <a:avLst/>
        </a:prstGeom>
      </xdr:spPr>
    </xdr:pic>
    <xdr:clientData/>
  </xdr:twoCellAnchor>
  <xdr:twoCellAnchor>
    <xdr:from>
      <xdr:col>1</xdr:col>
      <xdr:colOff>11206</xdr:colOff>
      <xdr:row>112</xdr:row>
      <xdr:rowOff>17930</xdr:rowOff>
    </xdr:from>
    <xdr:to>
      <xdr:col>7</xdr:col>
      <xdr:colOff>549088</xdr:colOff>
      <xdr:row>126</xdr:row>
      <xdr:rowOff>146424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xmlns="" id="{8F28B114-4F46-6AE9-2D00-B87DF6B18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429559</xdr:colOff>
      <xdr:row>71</xdr:row>
      <xdr:rowOff>144904</xdr:rowOff>
    </xdr:from>
    <xdr:to>
      <xdr:col>5</xdr:col>
      <xdr:colOff>30011</xdr:colOff>
      <xdr:row>73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xmlns="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70</xdr:row>
      <xdr:rowOff>77929</xdr:rowOff>
    </xdr:from>
    <xdr:to>
      <xdr:col>5</xdr:col>
      <xdr:colOff>323417</xdr:colOff>
      <xdr:row>75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:a16="http://schemas.microsoft.com/office/drawing/2014/main" xmlns="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71</xdr:row>
      <xdr:rowOff>167317</xdr:rowOff>
    </xdr:from>
    <xdr:to>
      <xdr:col>4</xdr:col>
      <xdr:colOff>728382</xdr:colOff>
      <xdr:row>73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:a16="http://schemas.microsoft.com/office/drawing/2014/main" xmlns="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291353</xdr:colOff>
      <xdr:row>69</xdr:row>
      <xdr:rowOff>5846</xdr:rowOff>
    </xdr:from>
    <xdr:to>
      <xdr:col>1</xdr:col>
      <xdr:colOff>537882</xdr:colOff>
      <xdr:row>72</xdr:row>
      <xdr:rowOff>112058</xdr:rowOff>
    </xdr:to>
    <xdr:sp macro="" textlink="">
      <xdr:nvSpPr>
        <xdr:cNvPr id="33" name="Arrow: Up 32">
          <a:extLst>
            <a:ext uri="{FF2B5EF4-FFF2-40B4-BE49-F238E27FC236}">
              <a16:creationId xmlns:a16="http://schemas.microsoft.com/office/drawing/2014/main" xmlns="" id="{A1663DC9-DD9F-0D43-D4CB-150A91081E0C}"/>
            </a:ext>
          </a:extLst>
        </xdr:cNvPr>
        <xdr:cNvSpPr/>
      </xdr:nvSpPr>
      <xdr:spPr>
        <a:xfrm rot="10800000">
          <a:off x="440440" y="11104542"/>
          <a:ext cx="246529" cy="65286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126740</xdr:colOff>
      <xdr:row>68</xdr:row>
      <xdr:rowOff>177248</xdr:rowOff>
    </xdr:from>
    <xdr:to>
      <xdr:col>8</xdr:col>
      <xdr:colOff>373269</xdr:colOff>
      <xdr:row>72</xdr:row>
      <xdr:rowOff>104977</xdr:rowOff>
    </xdr:to>
    <xdr:sp macro="" textlink="">
      <xdr:nvSpPr>
        <xdr:cNvPr id="34" name="Arrow: Up 33">
          <a:extLst>
            <a:ext uri="{FF2B5EF4-FFF2-40B4-BE49-F238E27FC236}">
              <a16:creationId xmlns:a16="http://schemas.microsoft.com/office/drawing/2014/main" xmlns="" id="{E5378644-7622-4C10-9C7F-B7881026715E}"/>
            </a:ext>
          </a:extLst>
        </xdr:cNvPr>
        <xdr:cNvSpPr/>
      </xdr:nvSpPr>
      <xdr:spPr>
        <a:xfrm rot="10800000">
          <a:off x="5435892" y="11093726"/>
          <a:ext cx="246529" cy="656599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682064</xdr:colOff>
      <xdr:row>65</xdr:row>
      <xdr:rowOff>156882</xdr:rowOff>
    </xdr:from>
    <xdr:to>
      <xdr:col>5</xdr:col>
      <xdr:colOff>224116</xdr:colOff>
      <xdr:row>69</xdr:row>
      <xdr:rowOff>2242</xdr:rowOff>
    </xdr:to>
    <xdr:sp macro="" textlink="">
      <xdr:nvSpPr>
        <xdr:cNvPr id="35" name="Arrow: Up 34">
          <a:extLst>
            <a:ext uri="{FF2B5EF4-FFF2-40B4-BE49-F238E27FC236}">
              <a16:creationId xmlns:a16="http://schemas.microsoft.com/office/drawing/2014/main" xmlns="" id="{15866B02-04DB-4027-946B-23EDCEADF098}"/>
            </a:ext>
          </a:extLst>
        </xdr:cNvPr>
        <xdr:cNvSpPr/>
      </xdr:nvSpPr>
      <xdr:spPr>
        <a:xfrm rot="10800000" flipV="1">
          <a:off x="3024093" y="10376647"/>
          <a:ext cx="270435" cy="584948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0</xdr:colOff>
      <xdr:row>127</xdr:row>
      <xdr:rowOff>67236</xdr:rowOff>
    </xdr:from>
    <xdr:to>
      <xdr:col>7</xdr:col>
      <xdr:colOff>537882</xdr:colOff>
      <xdr:row>142</xdr:row>
      <xdr:rowOff>8965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xmlns="" id="{99D37E3A-4F98-454B-A0B0-786AFFF9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oneCellAnchor>
    <xdr:from>
      <xdr:col>11</xdr:col>
      <xdr:colOff>84418</xdr:colOff>
      <xdr:row>90</xdr:row>
      <xdr:rowOff>88153</xdr:rowOff>
    </xdr:from>
    <xdr:ext cx="4504118" cy="4794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xmlns="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𝜏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@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𝑓𝑢𝑠𝑒𝑙𝑎𝑔𝑒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𝑓𝑜𝑟𝑒𝑏𝑜𝑑𝑦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𝑓𝑖𝑛𝑠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𝑦</m:t>
                        </m:r>
                      </m:sub>
                    </m:sSub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𝑡𝑜𝑡𝑎𝑙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𝑅</m:t>
                    </m:r>
                    <m:nary>
                      <m:naryPr>
                        <m:chr m:val="∑"/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naryPr>
                      <m:sub>
                        <m:r>
                          <m:rPr>
                            <m:brk m:alnAt="23"/>
                          </m:r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𝑎𝑡𝑢𝑚</m:t>
                        </m:r>
                      </m:sub>
                      <m:sup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𝐹𝑢𝑠𝑒𝑙𝑎𝑔𝑒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𝑝𝑜𝑠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.</m:t>
                        </m:r>
                      </m:sup>
                      <m:e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𝐶𝐺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sub>
                        </m:sSub>
                        <m: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e>
                    </m:nary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0F935EAF-C3BE-C942-BB42-4DB966097BC9}"/>
                </a:ext>
              </a:extLst>
            </xdr:cNvPr>
            <xdr:cNvSpPr txBox="1"/>
          </xdr:nvSpPr>
          <xdr:spPr>
            <a:xfrm>
              <a:off x="7211359" y="13983447"/>
              <a:ext cx="4504118" cy="4794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𝜏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</a:t>
              </a:r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@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𝑓𝑢𝑠𝑒𝑙𝑎𝑔𝑒)=𝐿_𝑓𝑜𝑟𝑒𝑏𝑜𝑑𝑦+𝐿_𝑓𝑖𝑛𝑠−𝑎_𝑦 𝑚_𝑡𝑜𝑡𝑎𝑙−𝑅∑24_𝑑𝑎𝑡𝑢𝑚^(𝐹𝑢𝑠𝑒𝑙𝑎𝑔𝑒 𝑝𝑜𝑠.)▒〖(𝑋_𝐶𝐺−𝑋_𝑀)〗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11</xdr:col>
      <xdr:colOff>166595</xdr:colOff>
      <xdr:row>94</xdr:row>
      <xdr:rowOff>73212</xdr:rowOff>
    </xdr:from>
    <xdr:ext cx="3184270" cy="8009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xmlns="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419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9</m:t>
                            </m:r>
                          </m:num>
                          <m:den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2∗</m:t>
                            </m:r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𝐼𝑛𝑒𝑟𝑡𝑖𝑎</m:t>
                            </m:r>
                          </m:den>
                        </m:f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𝜌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𝑉𝑆𝑑</m:t>
                    </m:r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   </m:t>
                    </m:r>
                    <m:r>
                      <a:rPr lang="es-419" sz="1100" b="0" i="1">
                        <a:latin typeface="Cambria Math" panose="02040503050406030204" pitchFamily="18" charset="0"/>
                      </a:rPr>
                      <m:t>𝑤h𝑒𝑟𝑒</m:t>
                    </m:r>
                  </m:oMath>
                </m:oMathPara>
              </a14:m>
              <a:endParaRPr lang="es-419" sz="1100" b="0"/>
            </a:p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d>
                      <m:d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𝑆𝑡𝑎𝑡𝑖𝑐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𝑚𝑎𝑟𝑔𝑖𝑛</m:t>
                        </m:r>
                      </m:e>
                    </m:d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bHide m:val="on"/>
                        <m:supHide m:val="on"/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d>
                          <m:d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𝐶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𝐿</m:t>
                                    </m:r>
                                  </m:sub>
                                </m:sSub>
                              </m:num>
                              <m:den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𝑑</m:t>
                                </m:r>
                                <m:sSub>
                                  <m:sSubPr>
                                    <m:ctrlP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𝛼</m:t>
                                    </m:r>
                                  </m:e>
                                  <m:sub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𝑒𝑎𝑐h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 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𝑐𝑜𝑚𝑝</m:t>
                                    </m:r>
                                    <m:r>
                                      <a:rPr lang="es-419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.</m:t>
                                    </m:r>
                                  </m:sub>
                                </m:sSub>
                              </m:den>
                            </m:f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𝑒𝑎𝑎𝑐h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 </m:t>
                                </m:r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𝑐𝑜𝑚𝑝</m:t>
                                </m:r>
                              </m:sub>
                            </m:sSub>
                          </m:e>
                        </m:d>
                        <m:r>
                          <m:rPr>
                            <m:nor/>
                          </m:rPr>
                          <a:rPr lang="es-419" sz="1100" b="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 </m:t>
                        </m:r>
                      </m:e>
                    </m:nary>
                  </m:oMath>
                </m:oMathPara>
              </a14:m>
              <a:endParaRPr lang="es-419" sz="1100" b="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0C43A217-7C2F-81B7-3866-2A80E987C562}"/>
                </a:ext>
              </a:extLst>
            </xdr:cNvPr>
            <xdr:cNvSpPr txBox="1"/>
          </xdr:nvSpPr>
          <xdr:spPr>
            <a:xfrm>
              <a:off x="7293536" y="14715565"/>
              <a:ext cx="3184270" cy="8009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𝑅=(9/(2∗𝐼𝑛𝑒𝑟𝑡𝑖𝑎))𝜌𝑉𝑆𝑑(𝑆𝑡𝑎𝑡𝑖𝑐 𝑚𝑎𝑟𝑔𝑖𝑛)    𝑤ℎ𝑒𝑟𝑒</a:t>
              </a:r>
              <a:endParaRPr lang="es-419" sz="1100" b="0"/>
            </a:p>
            <a:p>
              <a:r>
                <a:rPr lang="es-419" sz="1100" b="0" i="0">
                  <a:latin typeface="Cambria Math" panose="02040503050406030204" pitchFamily="18" charset="0"/>
                </a:rPr>
                <a:t>(𝑆𝑡𝑎𝑡𝑖𝑐 𝑚𝑎𝑟𝑔𝑖𝑛)=∑▒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((𝑑𝐶_𝐿)/(𝑑𝛼_(𝑒𝑎𝑐ℎ 𝑐𝑜𝑚𝑝.) )∗𝐿_(𝑒𝑎𝑎𝑐ℎ 𝑐𝑜𝑚𝑝) )" 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endParaRPr lang="es-419" sz="1100" b="0"/>
            </a:p>
          </xdr:txBody>
        </xdr:sp>
      </mc:Fallback>
    </mc:AlternateContent>
    <xdr:clientData/>
  </xdr:oneCellAnchor>
  <xdr:oneCellAnchor>
    <xdr:from>
      <xdr:col>11</xdr:col>
      <xdr:colOff>196476</xdr:colOff>
      <xdr:row>99</xdr:row>
      <xdr:rowOff>20918</xdr:rowOff>
    </xdr:from>
    <xdr:ext cx="950132" cy="3504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xmlns="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𝑦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𝐿𝑖𝑓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num>
                      <m:den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𝑚𝑎𝑠</m:t>
                        </m:r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</a:rPr>
                              <m:t>𝑡𝑜𝑡𝑎𝑙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BC963101-E0EF-5470-D8F8-2C5D149B27D2}"/>
                </a:ext>
              </a:extLst>
            </xdr:cNvPr>
            <xdr:cNvSpPr txBox="1"/>
          </xdr:nvSpPr>
          <xdr:spPr>
            <a:xfrm>
              <a:off x="7323417" y="15597094"/>
              <a:ext cx="950132" cy="3504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𝑎_𝑦=(𝐿𝑖𝑓𝑡_𝑡𝑜𝑡𝑎𝑙)/(𝑚𝑎𝑠𝑠_𝑡𝑜𝑡𝑎𝑙 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382493</xdr:colOff>
      <xdr:row>65</xdr:row>
      <xdr:rowOff>179294</xdr:rowOff>
    </xdr:from>
    <xdr:to>
      <xdr:col>3</xdr:col>
      <xdr:colOff>638734</xdr:colOff>
      <xdr:row>69</xdr:row>
      <xdr:rowOff>1495</xdr:rowOff>
    </xdr:to>
    <xdr:sp macro="" textlink="">
      <xdr:nvSpPr>
        <xdr:cNvPr id="40" name="Arrow: Up 39">
          <a:extLst>
            <a:ext uri="{FF2B5EF4-FFF2-40B4-BE49-F238E27FC236}">
              <a16:creationId xmlns:a16="http://schemas.microsoft.com/office/drawing/2014/main" xmlns="" id="{12A296D1-77AF-480C-A839-2F37869B3895}"/>
            </a:ext>
          </a:extLst>
        </xdr:cNvPr>
        <xdr:cNvSpPr/>
      </xdr:nvSpPr>
      <xdr:spPr>
        <a:xfrm rot="10800000" flipV="1">
          <a:off x="1996140" y="10399059"/>
          <a:ext cx="256241" cy="561789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273422</xdr:colOff>
      <xdr:row>66</xdr:row>
      <xdr:rowOff>0</xdr:rowOff>
    </xdr:from>
    <xdr:to>
      <xdr:col>4</xdr:col>
      <xdr:colOff>537882</xdr:colOff>
      <xdr:row>69</xdr:row>
      <xdr:rowOff>19424</xdr:rowOff>
    </xdr:to>
    <xdr:sp macro="" textlink="">
      <xdr:nvSpPr>
        <xdr:cNvPr id="41" name="Arrow: Up 40">
          <a:extLst>
            <a:ext uri="{FF2B5EF4-FFF2-40B4-BE49-F238E27FC236}">
              <a16:creationId xmlns:a16="http://schemas.microsoft.com/office/drawing/2014/main" xmlns="" id="{05B89336-A58A-4966-AA10-BA3BEE7CE33F}"/>
            </a:ext>
          </a:extLst>
        </xdr:cNvPr>
        <xdr:cNvSpPr/>
      </xdr:nvSpPr>
      <xdr:spPr>
        <a:xfrm rot="10800000" flipV="1">
          <a:off x="2615451" y="10410265"/>
          <a:ext cx="264460" cy="568512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605571</xdr:colOff>
      <xdr:row>65</xdr:row>
      <xdr:rowOff>189038</xdr:rowOff>
    </xdr:from>
    <xdr:to>
      <xdr:col>8</xdr:col>
      <xdr:colOff>147624</xdr:colOff>
      <xdr:row>69</xdr:row>
      <xdr:rowOff>34398</xdr:rowOff>
    </xdr:to>
    <xdr:sp macro="" textlink="">
      <xdr:nvSpPr>
        <xdr:cNvPr id="29" name="Arrow: Up 34">
          <a:extLst>
            <a:ext uri="{FF2B5EF4-FFF2-40B4-BE49-F238E27FC236}">
              <a16:creationId xmlns:a16="http://schemas.microsoft.com/office/drawing/2014/main" xmlns="" id="{15866B02-04DB-4027-946B-23EDCEADF098}"/>
            </a:ext>
          </a:extLst>
        </xdr:cNvPr>
        <xdr:cNvSpPr/>
      </xdr:nvSpPr>
      <xdr:spPr>
        <a:xfrm rot="10800000" flipV="1">
          <a:off x="5177571" y="10542299"/>
          <a:ext cx="279205" cy="590795"/>
        </a:xfrm>
        <a:prstGeom prst="upArrow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84535</xdr:colOff>
      <xdr:row>67</xdr:row>
      <xdr:rowOff>82153</xdr:rowOff>
    </xdr:from>
    <xdr:to>
      <xdr:col>9</xdr:col>
      <xdr:colOff>714703</xdr:colOff>
      <xdr:row>70</xdr:row>
      <xdr:rowOff>109539</xdr:rowOff>
    </xdr:to>
    <xdr:grpSp>
      <xdr:nvGrpSpPr>
        <xdr:cNvPr id="28" name="Group 27"/>
        <xdr:cNvGrpSpPr/>
      </xdr:nvGrpSpPr>
      <xdr:grpSpPr>
        <a:xfrm>
          <a:off x="6104335" y="10807303"/>
          <a:ext cx="630168" cy="570311"/>
          <a:chOff x="4602956" y="9523809"/>
          <a:chExt cx="630168" cy="563167"/>
        </a:xfrm>
      </xdr:grpSpPr>
      <xdr:grpSp>
        <xdr:nvGrpSpPr>
          <xdr:cNvPr id="27" name="Group 26"/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/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/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/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/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/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  <xdr:twoCellAnchor editAs="oneCell">
    <xdr:from>
      <xdr:col>10</xdr:col>
      <xdr:colOff>489233</xdr:colOff>
      <xdr:row>131</xdr:row>
      <xdr:rowOff>44824</xdr:rowOff>
    </xdr:from>
    <xdr:to>
      <xdr:col>18</xdr:col>
      <xdr:colOff>598912</xdr:colOff>
      <xdr:row>148</xdr:row>
      <xdr:rowOff>140122</xdr:rowOff>
    </xdr:to>
    <xdr:pic>
      <xdr:nvPicPr>
        <xdr:cNvPr id="10" name="Picture 9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92057" y="22232471"/>
          <a:ext cx="5578150" cy="3143298"/>
        </a:xfrm>
        <a:prstGeom prst="rect">
          <a:avLst/>
        </a:prstGeom>
      </xdr:spPr>
    </xdr:pic>
    <xdr:clientData/>
  </xdr:twoCellAnchor>
  <xdr:oneCellAnchor>
    <xdr:from>
      <xdr:col>2</xdr:col>
      <xdr:colOff>222998</xdr:colOff>
      <xdr:row>197</xdr:row>
      <xdr:rowOff>103653</xdr:rowOff>
    </xdr:from>
    <xdr:ext cx="464038" cy="298800"/>
    <xdr:sp macro="" textlink="">
      <xdr:nvSpPr>
        <xdr:cNvPr id="48" name="TextBox 47"/>
        <xdr:cNvSpPr txBox="1"/>
      </xdr:nvSpPr>
      <xdr:spPr>
        <a:xfrm>
          <a:off x="1051673" y="34527003"/>
          <a:ext cx="464038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400">
              <a:latin typeface="Times New Roman" panose="02020603050405020304" pitchFamily="18" charset="0"/>
              <a:cs typeface="Times New Roman" panose="02020603050405020304" pitchFamily="18" charset="0"/>
            </a:rPr>
            <a:t>Fup</a:t>
          </a:r>
        </a:p>
      </xdr:txBody>
    </xdr:sp>
    <xdr:clientData/>
  </xdr:oneCellAnchor>
  <xdr:oneCellAnchor>
    <xdr:from>
      <xdr:col>2</xdr:col>
      <xdr:colOff>123827</xdr:colOff>
      <xdr:row>211</xdr:row>
      <xdr:rowOff>155201</xdr:rowOff>
    </xdr:from>
    <xdr:ext cx="683457" cy="298800"/>
    <xdr:sp macro="" textlink="">
      <xdr:nvSpPr>
        <xdr:cNvPr id="49" name="TextBox 48"/>
        <xdr:cNvSpPr txBox="1"/>
      </xdr:nvSpPr>
      <xdr:spPr>
        <a:xfrm>
          <a:off x="952502" y="37188401"/>
          <a:ext cx="683457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400">
              <a:latin typeface="Times New Roman" panose="02020603050405020304" pitchFamily="18" charset="0"/>
              <a:cs typeface="Times New Roman" panose="02020603050405020304" pitchFamily="18" charset="0"/>
            </a:rPr>
            <a:t>Fdown</a:t>
          </a:r>
        </a:p>
      </xdr:txBody>
    </xdr:sp>
    <xdr:clientData/>
  </xdr:oneCellAnchor>
  <xdr:oneCellAnchor>
    <xdr:from>
      <xdr:col>2</xdr:col>
      <xdr:colOff>662269</xdr:colOff>
      <xdr:row>199</xdr:row>
      <xdr:rowOff>150720</xdr:rowOff>
    </xdr:from>
    <xdr:ext cx="593432" cy="298800"/>
    <xdr:sp macro="" textlink="">
      <xdr:nvSpPr>
        <xdr:cNvPr id="50" name="TextBox 49"/>
        <xdr:cNvSpPr txBox="1"/>
      </xdr:nvSpPr>
      <xdr:spPr>
        <a:xfrm>
          <a:off x="1490944" y="34955070"/>
          <a:ext cx="593432" cy="298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400">
              <a:latin typeface="Times New Roman" panose="02020603050405020304" pitchFamily="18" charset="0"/>
              <a:cs typeface="Times New Roman" panose="02020603050405020304" pitchFamily="18" charset="0"/>
            </a:rPr>
            <a:t>Shear</a:t>
          </a:r>
        </a:p>
      </xdr:txBody>
    </xdr:sp>
    <xdr:clientData/>
  </xdr:oneCellAnchor>
  <xdr:twoCellAnchor>
    <xdr:from>
      <xdr:col>1</xdr:col>
      <xdr:colOff>346682</xdr:colOff>
      <xdr:row>196</xdr:row>
      <xdr:rowOff>2800</xdr:rowOff>
    </xdr:from>
    <xdr:to>
      <xdr:col>3</xdr:col>
      <xdr:colOff>605929</xdr:colOff>
      <xdr:row>214</xdr:row>
      <xdr:rowOff>70036</xdr:rowOff>
    </xdr:to>
    <xdr:grpSp>
      <xdr:nvGrpSpPr>
        <xdr:cNvPr id="58" name="Group 57"/>
        <xdr:cNvGrpSpPr/>
      </xdr:nvGrpSpPr>
      <xdr:grpSpPr>
        <a:xfrm>
          <a:off x="441932" y="34235650"/>
          <a:ext cx="1726097" cy="3601011"/>
          <a:chOff x="308582" y="34188025"/>
          <a:chExt cx="1726097" cy="3410511"/>
        </a:xfrm>
      </xdr:grpSpPr>
      <xdr:grpSp>
        <xdr:nvGrpSpPr>
          <xdr:cNvPr id="47" name="Group 46"/>
          <xdr:cNvGrpSpPr/>
        </xdr:nvGrpSpPr>
        <xdr:grpSpPr>
          <a:xfrm>
            <a:off x="308582" y="34188025"/>
            <a:ext cx="1656930" cy="3410511"/>
            <a:chOff x="369793" y="34536528"/>
            <a:chExt cx="1647266" cy="3216089"/>
          </a:xfrm>
        </xdr:grpSpPr>
        <xdr:grpSp>
          <xdr:nvGrpSpPr>
            <xdr:cNvPr id="23" name="Group 22"/>
            <xdr:cNvGrpSpPr/>
          </xdr:nvGrpSpPr>
          <xdr:grpSpPr>
            <a:xfrm>
              <a:off x="369793" y="34536528"/>
              <a:ext cx="1647266" cy="3216089"/>
              <a:chOff x="369793" y="34536529"/>
              <a:chExt cx="1030941" cy="2039470"/>
            </a:xfrm>
          </xdr:grpSpPr>
          <xdr:grpSp>
            <xdr:nvGrpSpPr>
              <xdr:cNvPr id="18" name="Group 17"/>
              <xdr:cNvGrpSpPr/>
            </xdr:nvGrpSpPr>
            <xdr:grpSpPr>
              <a:xfrm>
                <a:off x="369793" y="34536529"/>
                <a:ext cx="1030941" cy="2039470"/>
                <a:chOff x="2274794" y="33348706"/>
                <a:chExt cx="1030941" cy="1725706"/>
              </a:xfrm>
            </xdr:grpSpPr>
            <xdr:sp macro="" textlink="">
              <xdr:nvSpPr>
                <xdr:cNvPr id="17" name="Rectangle 16"/>
                <xdr:cNvSpPr/>
              </xdr:nvSpPr>
              <xdr:spPr>
                <a:xfrm>
                  <a:off x="2274794" y="33348706"/>
                  <a:ext cx="1030941" cy="1725706"/>
                </a:xfrm>
                <a:prstGeom prst="rect">
                  <a:avLst/>
                </a:prstGeom>
                <a:noFill/>
                <a:ln w="28575">
                  <a:solidFill>
                    <a:schemeClr val="tx1"/>
                  </a:solidFill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42" name="Rectangle 41"/>
                <xdr:cNvSpPr/>
              </xdr:nvSpPr>
              <xdr:spPr>
                <a:xfrm>
                  <a:off x="2330824" y="33942616"/>
                  <a:ext cx="907676" cy="667871"/>
                </a:xfrm>
                <a:prstGeom prst="rect">
                  <a:avLst/>
                </a:prstGeom>
                <a:pattFill prst="ltUpDiag">
                  <a:fgClr>
                    <a:schemeClr val="accent1"/>
                  </a:fgClr>
                  <a:bgClr>
                    <a:schemeClr val="bg1"/>
                  </a:bgClr>
                </a:pattFill>
                <a:ln w="28575">
                  <a:solidFill>
                    <a:schemeClr val="tx1">
                      <a:alpha val="93000"/>
                    </a:schemeClr>
                  </a:solidFill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">
              <xdr:nvSpPr>
                <xdr:cNvPr id="45" name="Rectangle 44"/>
                <xdr:cNvSpPr/>
              </xdr:nvSpPr>
              <xdr:spPr>
                <a:xfrm>
                  <a:off x="2595283" y="33946066"/>
                  <a:ext cx="385482" cy="659938"/>
                </a:xfrm>
                <a:prstGeom prst="rect">
                  <a:avLst/>
                </a:prstGeom>
                <a:solidFill>
                  <a:schemeClr val="bg1"/>
                </a:solidFill>
                <a:ln w="28575">
                  <a:solidFill>
                    <a:schemeClr val="tx1"/>
                  </a:solidFill>
                </a:ln>
              </xdr:spPr>
              <xdr:style>
                <a:lnRef idx="2">
                  <a:schemeClr val="accent1">
                    <a:shade val="50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</xdr:grpSp>
          <xdr:sp macro="" textlink="">
            <xdr:nvSpPr>
              <xdr:cNvPr id="22" name="Oval 21"/>
              <xdr:cNvSpPr/>
            </xdr:nvSpPr>
            <xdr:spPr>
              <a:xfrm>
                <a:off x="776026" y="35533853"/>
                <a:ext cx="235323" cy="224118"/>
              </a:xfrm>
              <a:prstGeom prst="ellipse">
                <a:avLst/>
              </a:prstGeom>
              <a:solidFill>
                <a:srgbClr val="FFFF00"/>
              </a:solidFill>
              <a:ln>
                <a:solidFill>
                  <a:sysClr val="windowText" lastClr="00000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lang="en-US" sz="1100"/>
              </a:p>
            </xdr:txBody>
          </xdr:sp>
        </xdr:grpSp>
        <xdr:sp macro="" textlink="">
          <xdr:nvSpPr>
            <xdr:cNvPr id="24" name="Up Arrow 23"/>
            <xdr:cNvSpPr/>
          </xdr:nvSpPr>
          <xdr:spPr>
            <a:xfrm>
              <a:off x="1030941" y="35253707"/>
              <a:ext cx="313765" cy="616324"/>
            </a:xfrm>
            <a:prstGeom prst="upArrow">
              <a:avLst/>
            </a:prstGeom>
            <a:solidFill>
              <a:schemeClr val="tx1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25" name="Down Arrow 24"/>
            <xdr:cNvSpPr/>
          </xdr:nvSpPr>
          <xdr:spPr>
            <a:xfrm>
              <a:off x="1017211" y="36665647"/>
              <a:ext cx="291353" cy="616324"/>
            </a:xfrm>
            <a:prstGeom prst="downArrow">
              <a:avLst/>
            </a:prstGeom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52" name="Up Arrow 51"/>
          <xdr:cNvSpPr/>
        </xdr:nvSpPr>
        <xdr:spPr>
          <a:xfrm>
            <a:off x="1802447" y="35586830"/>
            <a:ext cx="134470" cy="470647"/>
          </a:xfrm>
          <a:prstGeom prst="upArrow">
            <a:avLst/>
          </a:prstGeom>
          <a:solidFill>
            <a:schemeClr val="accent1">
              <a:lumMod val="40000"/>
              <a:lumOff val="60000"/>
            </a:schemeClr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53" name="Down Arrow 52"/>
          <xdr:cNvSpPr/>
        </xdr:nvSpPr>
        <xdr:spPr>
          <a:xfrm>
            <a:off x="1900208" y="35903298"/>
            <a:ext cx="134471" cy="605524"/>
          </a:xfrm>
          <a:prstGeom prst="downArrow">
            <a:avLst/>
          </a:prstGeom>
          <a:solidFill>
            <a:schemeClr val="accent1">
              <a:lumMod val="40000"/>
              <a:lumOff val="60000"/>
            </a:schemeClr>
          </a:solidFill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</xdr:col>
      <xdr:colOff>88527</xdr:colOff>
      <xdr:row>178</xdr:row>
      <xdr:rowOff>161923</xdr:rowOff>
    </xdr:from>
    <xdr:to>
      <xdr:col>9</xdr:col>
      <xdr:colOff>286602</xdr:colOff>
      <xdr:row>192</xdr:row>
      <xdr:rowOff>43477</xdr:rowOff>
    </xdr:to>
    <xdr:grpSp>
      <xdr:nvGrpSpPr>
        <xdr:cNvPr id="56" name="Group 55"/>
        <xdr:cNvGrpSpPr/>
      </xdr:nvGrpSpPr>
      <xdr:grpSpPr>
        <a:xfrm>
          <a:off x="183777" y="31070548"/>
          <a:ext cx="6122625" cy="2415204"/>
          <a:chOff x="212352" y="31918273"/>
          <a:chExt cx="6122625" cy="2415204"/>
        </a:xfrm>
      </xdr:grpSpPr>
      <xdr:pic>
        <xdr:nvPicPr>
          <xdr:cNvPr id="51" name="Picture 50"/>
          <xdr:cNvPicPr>
            <a:picLocks noChangeAspect="1"/>
          </xdr:cNvPicPr>
        </xdr:nvPicPr>
        <xdr:blipFill>
          <a:blip xmlns:r="http://schemas.openxmlformats.org/officeDocument/2006/relationships" r:embed="rId11"/>
          <a:stretch>
            <a:fillRect/>
          </a:stretch>
        </xdr:blipFill>
        <xdr:spPr>
          <a:xfrm>
            <a:off x="212352" y="31922758"/>
            <a:ext cx="6122625" cy="2410719"/>
          </a:xfrm>
          <a:prstGeom prst="rect">
            <a:avLst/>
          </a:prstGeom>
        </xdr:spPr>
      </xdr:pic>
      <xdr:sp macro="" textlink="">
        <xdr:nvSpPr>
          <xdr:cNvPr id="54" name="TextBox 53"/>
          <xdr:cNvSpPr txBox="1"/>
        </xdr:nvSpPr>
        <xdr:spPr>
          <a:xfrm>
            <a:off x="4686300" y="31918273"/>
            <a:ext cx="1619250" cy="56073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en-US" sz="1100"/>
              <a:t>here the</a:t>
            </a:r>
            <a:r>
              <a:rPr lang="en-US" sz="1100" baseline="0"/>
              <a:t> mass is from bulkhead to nosecone</a:t>
            </a:r>
            <a:endParaRPr lang="en-US" sz="1100"/>
          </a:p>
        </xdr:txBody>
      </xdr:sp>
      <xdr:sp macro="" textlink="">
        <xdr:nvSpPr>
          <xdr:cNvPr id="55" name="TextBox 54"/>
          <xdr:cNvSpPr txBox="1"/>
        </xdr:nvSpPr>
        <xdr:spPr>
          <a:xfrm>
            <a:off x="4610100" y="33337499"/>
            <a:ext cx="1647825" cy="56073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en-US" sz="1100"/>
              <a:t>here the</a:t>
            </a:r>
            <a:r>
              <a:rPr lang="en-US" sz="1100" baseline="0"/>
              <a:t> mass is from bulkhead to rocket base</a:t>
            </a:r>
            <a:endParaRPr lang="en-US" sz="1100"/>
          </a:p>
        </xdr:txBody>
      </xdr:sp>
    </xdr:grpSp>
    <xdr:clientData/>
  </xdr:twoCellAnchor>
  <xdr:oneCellAnchor>
    <xdr:from>
      <xdr:col>4</xdr:col>
      <xdr:colOff>138112</xdr:colOff>
      <xdr:row>212</xdr:row>
      <xdr:rowOff>33337</xdr:rowOff>
    </xdr:from>
    <xdr:ext cx="892424" cy="36478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7" name="TextBox 56"/>
            <xdr:cNvSpPr txBox="1"/>
          </xdr:nvSpPr>
          <xdr:spPr>
            <a:xfrm>
              <a:off x="2433637" y="37790437"/>
              <a:ext cx="892424" cy="3647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𝜏</m:t>
                    </m:r>
                    <m:r>
                      <a:rPr lang="es-419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419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𝑠h𝑒𝑎𝑟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𝐴</m:t>
                            </m:r>
                          </m:e>
                          <m:sub>
                            <m:r>
                              <a:rPr lang="es-419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𝑠h𝑒𝑎𝑟𝑖𝑛𝑔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7" name="TextBox 56"/>
            <xdr:cNvSpPr txBox="1"/>
          </xdr:nvSpPr>
          <xdr:spPr>
            <a:xfrm>
              <a:off x="2433637" y="37790437"/>
              <a:ext cx="892424" cy="3647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𝜏</a:t>
              </a:r>
              <a:r>
                <a:rPr lang="es-419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=𝐹_𝑠ℎ𝑒𝑎𝑟/𝐴_𝑠ℎ𝑒𝑎𝑟𝑖𝑛𝑔 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257175</xdr:colOff>
      <xdr:row>202</xdr:row>
      <xdr:rowOff>38100</xdr:rowOff>
    </xdr:from>
    <xdr:to>
      <xdr:col>1</xdr:col>
      <xdr:colOff>257175</xdr:colOff>
      <xdr:row>209</xdr:row>
      <xdr:rowOff>57150</xdr:rowOff>
    </xdr:to>
    <xdr:cxnSp macro="">
      <xdr:nvCxnSpPr>
        <xdr:cNvPr id="60" name="Straight Arrow Connector 59"/>
        <xdr:cNvCxnSpPr/>
      </xdr:nvCxnSpPr>
      <xdr:spPr>
        <a:xfrm>
          <a:off x="352425" y="35413950"/>
          <a:ext cx="0" cy="1314450"/>
        </a:xfrm>
        <a:prstGeom prst="straightConnector1">
          <a:avLst/>
        </a:prstGeom>
        <a:ln w="28575"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108950</xdr:colOff>
      <xdr:row>204</xdr:row>
      <xdr:rowOff>5350</xdr:rowOff>
    </xdr:from>
    <xdr:ext cx="269304" cy="620554"/>
    <xdr:sp macro="" textlink="">
      <xdr:nvSpPr>
        <xdr:cNvPr id="61" name="TextBox 60"/>
        <xdr:cNvSpPr txBox="1"/>
      </xdr:nvSpPr>
      <xdr:spPr>
        <a:xfrm rot="16200000">
          <a:off x="28575" y="35937825"/>
          <a:ext cx="620554" cy="269304"/>
        </a:xfrm>
        <a:prstGeom prst="rect">
          <a:avLst/>
        </a:prstGeom>
        <a:solidFill>
          <a:sysClr val="window" lastClr="FFFFFF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200">
              <a:latin typeface="Times New Roman" panose="02020603050405020304" pitchFamily="18" charset="0"/>
              <a:cs typeface="Times New Roman" panose="02020603050405020304" pitchFamily="18" charset="0"/>
            </a:rPr>
            <a:t>Length</a:t>
          </a:r>
        </a:p>
      </xdr:txBody>
    </xdr:sp>
    <xdr:clientData/>
  </xdr:oneCellAnchor>
  <xdr:twoCellAnchor>
    <xdr:from>
      <xdr:col>1</xdr:col>
      <xdr:colOff>466726</xdr:colOff>
      <xdr:row>208</xdr:row>
      <xdr:rowOff>47625</xdr:rowOff>
    </xdr:from>
    <xdr:to>
      <xdr:col>3</xdr:col>
      <xdr:colOff>400050</xdr:colOff>
      <xdr:row>208</xdr:row>
      <xdr:rowOff>66675</xdr:rowOff>
    </xdr:to>
    <xdr:cxnSp macro="">
      <xdr:nvCxnSpPr>
        <xdr:cNvPr id="62" name="Straight Arrow Connector 61"/>
        <xdr:cNvCxnSpPr/>
      </xdr:nvCxnSpPr>
      <xdr:spPr>
        <a:xfrm flipH="1" flipV="1">
          <a:off x="561976" y="36537900"/>
          <a:ext cx="1400174" cy="19050"/>
        </a:xfrm>
        <a:prstGeom prst="straightConnector1">
          <a:avLst/>
        </a:prstGeom>
        <a:ln w="28575"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266701</xdr:colOff>
      <xdr:row>207</xdr:row>
      <xdr:rowOff>66675</xdr:rowOff>
    </xdr:from>
    <xdr:ext cx="347018" cy="269304"/>
    <xdr:sp macro="" textlink="">
      <xdr:nvSpPr>
        <xdr:cNvPr id="63" name="TextBox 62"/>
        <xdr:cNvSpPr txBox="1"/>
      </xdr:nvSpPr>
      <xdr:spPr>
        <a:xfrm>
          <a:off x="1095376" y="36375975"/>
          <a:ext cx="347018" cy="269304"/>
        </a:xfrm>
        <a:prstGeom prst="rect">
          <a:avLst/>
        </a:prstGeom>
        <a:solidFill>
          <a:sysClr val="window" lastClr="FFFFFF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200">
              <a:latin typeface="Times New Roman" panose="02020603050405020304" pitchFamily="18" charset="0"/>
              <a:cs typeface="Times New Roman" panose="02020603050405020304" pitchFamily="18" charset="0"/>
            </a:rPr>
            <a:t>ID</a:t>
          </a:r>
        </a:p>
      </xdr:txBody>
    </xdr:sp>
    <xdr:clientData/>
  </xdr:oneCellAnchor>
  <xdr:twoCellAnchor>
    <xdr:from>
      <xdr:col>2</xdr:col>
      <xdr:colOff>114301</xdr:colOff>
      <xdr:row>203</xdr:row>
      <xdr:rowOff>142875</xdr:rowOff>
    </xdr:from>
    <xdr:to>
      <xdr:col>3</xdr:col>
      <xdr:colOff>28575</xdr:colOff>
      <xdr:row>203</xdr:row>
      <xdr:rowOff>142875</xdr:rowOff>
    </xdr:to>
    <xdr:cxnSp macro="">
      <xdr:nvCxnSpPr>
        <xdr:cNvPr id="67" name="Straight Arrow Connector 66"/>
        <xdr:cNvCxnSpPr/>
      </xdr:nvCxnSpPr>
      <xdr:spPr>
        <a:xfrm flipH="1">
          <a:off x="942976" y="35709225"/>
          <a:ext cx="647699" cy="0"/>
        </a:xfrm>
        <a:prstGeom prst="straightConnector1">
          <a:avLst/>
        </a:prstGeom>
        <a:ln w="28575">
          <a:headEnd type="triangle"/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276226</xdr:colOff>
      <xdr:row>202</xdr:row>
      <xdr:rowOff>180975</xdr:rowOff>
    </xdr:from>
    <xdr:ext cx="347018" cy="269304"/>
    <xdr:sp macro="" textlink="">
      <xdr:nvSpPr>
        <xdr:cNvPr id="68" name="TextBox 67"/>
        <xdr:cNvSpPr txBox="1"/>
      </xdr:nvSpPr>
      <xdr:spPr>
        <a:xfrm>
          <a:off x="1104901" y="35556825"/>
          <a:ext cx="347018" cy="269304"/>
        </a:xfrm>
        <a:prstGeom prst="rect">
          <a:avLst/>
        </a:prstGeom>
        <a:solidFill>
          <a:sysClr val="window" lastClr="FFFFFF"/>
        </a:solidFill>
        <a:ln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200">
              <a:latin typeface="Times New Roman" panose="02020603050405020304" pitchFamily="18" charset="0"/>
              <a:cs typeface="Times New Roman" panose="02020603050405020304" pitchFamily="18" charset="0"/>
            </a:rPr>
            <a:t>id</a:t>
          </a:r>
        </a:p>
      </xdr:txBody>
    </xdr:sp>
    <xdr:clientData/>
  </xdr:oneCellAnchor>
  <xdr:oneCellAnchor>
    <xdr:from>
      <xdr:col>5</xdr:col>
      <xdr:colOff>14287</xdr:colOff>
      <xdr:row>197</xdr:row>
      <xdr:rowOff>14287</xdr:rowOff>
    </xdr:from>
    <xdr:ext cx="2283446" cy="38036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0" name="TextBox 69"/>
            <xdr:cNvSpPr txBox="1"/>
          </xdr:nvSpPr>
          <xdr:spPr>
            <a:xfrm>
              <a:off x="3043237" y="34437637"/>
              <a:ext cx="2283446" cy="38036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𝑢𝑝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𝑏h</m:t>
                        </m:r>
                      </m:sub>
                    </m:sSub>
                    <m:d>
                      <m:dPr>
                        <m:ctrlP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𝑇</m:t>
                            </m:r>
                            <m: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−</m:t>
                            </m:r>
                            <m:sSub>
                              <m:sSub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𝐷</m:t>
                                </m:r>
                              </m:e>
                              <m:sub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𝑡𝑜𝑡𝑎𝑙</m:t>
                                </m:r>
                              </m:sub>
                            </m:sSub>
                          </m:num>
                          <m:den>
                            <m:sSub>
                              <m:sSub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𝑚</m:t>
                                </m:r>
                              </m:e>
                              <m:sub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𝑡𝑜𝑡𝑎𝑙</m:t>
                                </m:r>
                              </m:sub>
                            </m:sSub>
                          </m:den>
                        </m:f>
                      </m:e>
                    </m:d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b>
                      <m:sSubPr>
                        <m:ctrlP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𝑓𝑜𝑟𝑒𝑏𝑜𝑑𝑦</m:t>
                        </m:r>
                      </m:sub>
                    </m:sSub>
                  </m:oMath>
                </m:oMathPara>
              </a14:m>
              <a:endParaRPr lang="en-US" sz="1100">
                <a:latin typeface="Cambria Math" panose="02040503050406030204" pitchFamily="18" charset="0"/>
                <a:ea typeface="Cambria Math" panose="02040503050406030204" pitchFamily="18" charset="0"/>
              </a:endParaRPr>
            </a:p>
          </xdr:txBody>
        </xdr:sp>
      </mc:Choice>
      <mc:Fallback>
        <xdr:sp macro="" textlink="">
          <xdr:nvSpPr>
            <xdr:cNvPr id="70" name="TextBox 69"/>
            <xdr:cNvSpPr txBox="1"/>
          </xdr:nvSpPr>
          <xdr:spPr>
            <a:xfrm>
              <a:off x="3043237" y="34437637"/>
              <a:ext cx="2283446" cy="38036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𝐹_𝑢𝑝=〖−𝑚〗_𝑏ℎ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((𝑇−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𝐷_𝑡𝑜𝑡𝑎𝑙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𝑚_𝑡𝑜𝑡𝑎𝑙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)+𝐷_𝑓𝑜𝑟𝑒𝑏𝑜𝑑𝑦</a:t>
              </a:r>
              <a:endParaRPr lang="en-US" sz="1100">
                <a:latin typeface="Cambria Math" panose="02040503050406030204" pitchFamily="18" charset="0"/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5</xdr:col>
      <xdr:colOff>109537</xdr:colOff>
      <xdr:row>201</xdr:row>
      <xdr:rowOff>14287</xdr:rowOff>
    </xdr:from>
    <xdr:ext cx="1923668" cy="380361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71" name="TextBox 70"/>
            <xdr:cNvSpPr txBox="1"/>
          </xdr:nvSpPr>
          <xdr:spPr>
            <a:xfrm>
              <a:off x="3138487" y="35390137"/>
              <a:ext cx="1923668" cy="38036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𝑢𝑝</m:t>
                        </m:r>
                      </m:sub>
                    </m:sSub>
                    <m:r>
                      <a:rPr lang="es-419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419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𝑚</m:t>
                        </m:r>
                      </m:e>
                      <m:sub>
                        <m:r>
                          <a:rPr lang="es-419" sz="1100" b="0" i="1">
                            <a:latin typeface="Cambria Math" panose="02040503050406030204" pitchFamily="18" charset="0"/>
                          </a:rPr>
                          <m:t>𝑏h</m:t>
                        </m:r>
                      </m:sub>
                    </m:sSub>
                    <m:d>
                      <m:dPr>
                        <m:ctrlP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𝑇</m:t>
                        </m:r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−</m:t>
                        </m:r>
                        <m:f>
                          <m:fPr>
                            <m:ctrlPr>
                              <a:rPr lang="es-419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sSub>
                              <m:sSub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𝐷</m:t>
                                </m:r>
                              </m:e>
                              <m:sub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𝑡𝑜𝑡𝑎𝑙</m:t>
                                </m:r>
                              </m:sub>
                            </m:sSub>
                          </m:num>
                          <m:den>
                            <m:sSub>
                              <m:sSubPr>
                                <m:ctrlP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𝑚</m:t>
                                </m:r>
                              </m:e>
                              <m:sub>
                                <m:r>
                                  <a:rPr lang="es-419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+mn-lt"/>
                                    <a:ea typeface="+mn-ea"/>
                                    <a:cs typeface="+mn-cs"/>
                                  </a:rPr>
                                  <m:t>𝑡𝑜𝑡𝑎𝑙</m:t>
                                </m:r>
                              </m:sub>
                            </m:sSub>
                          </m:den>
                        </m:f>
                      </m:e>
                    </m:d>
                    <m:r>
                      <a:rPr lang="es-419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b>
                      <m:sSubPr>
                        <m:ctrlP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𝐷</m:t>
                        </m:r>
                      </m:e>
                      <m:sub>
                        <m:r>
                          <a:rPr lang="es-419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𝑓𝑖𝑛𝑠</m:t>
                        </m:r>
                      </m:sub>
                    </m:sSub>
                  </m:oMath>
                </m:oMathPara>
              </a14:m>
              <a:endParaRPr lang="en-US" sz="1100">
                <a:latin typeface="Cambria Math" panose="02040503050406030204" pitchFamily="18" charset="0"/>
                <a:ea typeface="Cambria Math" panose="02040503050406030204" pitchFamily="18" charset="0"/>
              </a:endParaRPr>
            </a:p>
          </xdr:txBody>
        </xdr:sp>
      </mc:Choice>
      <mc:Fallback>
        <xdr:sp macro="" textlink="">
          <xdr:nvSpPr>
            <xdr:cNvPr id="71" name="TextBox 70"/>
            <xdr:cNvSpPr txBox="1"/>
          </xdr:nvSpPr>
          <xdr:spPr>
            <a:xfrm>
              <a:off x="3138487" y="35390137"/>
              <a:ext cx="1923668" cy="38036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419" sz="1100" b="0" i="0">
                  <a:latin typeface="Cambria Math" panose="02040503050406030204" pitchFamily="18" charset="0"/>
                </a:rPr>
                <a:t>𝐹_𝑢𝑝=𝑚_𝑏ℎ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𝑇−𝐷_𝑡𝑜𝑡𝑎𝑙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/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𝑚_𝑡𝑜𝑡𝑎𝑙</a:t>
              </a:r>
              <a:r>
                <a:rPr lang="es-419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)+𝐷_𝑓𝑖𝑛𝑠</a:t>
              </a:r>
              <a:endParaRPr lang="en-US" sz="1100">
                <a:latin typeface="Cambria Math" panose="02040503050406030204" pitchFamily="18" charset="0"/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xmlns="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xmlns="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xmlns="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xmlns="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xmlns="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xmlns="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xmlns="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xmlns="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="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xmlns="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id="1" name="Table1" displayName="Table1" ref="B76:G81" totalsRowShown="0" headerRowDxfId="9" dataDxfId="8">
  <autoFilter ref="B76:G81"/>
  <tableColumns count="6">
    <tableColumn id="1" name="Fin type" dataDxfId="7"/>
    <tableColumn id="2" name="Sweeped" dataDxfId="6">
      <calculatedColumnFormula>I64</calculatedColumnFormula>
    </tableColumn>
    <tableColumn id="3" name="Tapered 1/4" dataDxfId="5">
      <calculatedColumnFormula>K64</calculatedColumnFormula>
    </tableColumn>
    <tableColumn id="4" name="Tapered sweeped" dataDxfId="4"/>
    <tableColumn id="5" name="Column4" dataDxfId="3"/>
    <tableColumn id="6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courses.hardhatengineer.com/courses" TargetMode="External"/><Relationship Id="rId5" Type="http://schemas.openxmlformats.org/officeDocument/2006/relationships/comments" Target="../comments4.xml"/><Relationship Id="rId4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875" defaultRowHeight="12.75"/>
  <cols>
    <col min="1" max="1" width="12.75" style="112" customWidth="1"/>
    <col min="2" max="9" width="7.25" style="112" customWidth="1"/>
    <col min="10" max="16384" width="8.87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.5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.5" thickBot="1"/>
    <row r="105" spans="1:12" ht="13.5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.5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.5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76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76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.5" thickBot="1">
      <c r="A110" s="376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2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.5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.5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.5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.5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76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76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.5" thickBot="1">
      <c r="A162" s="376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.5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.5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.5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.5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.5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.5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76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76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.5" thickBot="1">
      <c r="A214" s="376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>
      <c r="A216" s="134" t="s">
        <v>90</v>
      </c>
    </row>
    <row r="217" spans="1:12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.5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.5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.5" thickBot="1"/>
    <row r="243" spans="1:7" ht="15" customHeight="1" thickBot="1">
      <c r="C243" s="377" t="s">
        <v>113</v>
      </c>
      <c r="D243" s="378"/>
      <c r="E243" s="378"/>
      <c r="F243" s="378"/>
      <c r="G243" s="379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.5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77" t="s">
        <v>123</v>
      </c>
      <c r="D247" s="378"/>
      <c r="E247" s="378"/>
      <c r="F247" s="378"/>
      <c r="G247" s="379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.5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.5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80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81"/>
    </row>
    <row r="259" spans="1:12" ht="13.5" thickBot="1"/>
    <row r="260" spans="1:12" ht="13.5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.5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.5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25">
      <c r="A263" s="376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25">
      <c r="A264" s="376"/>
      <c r="B264" s="158" t="s">
        <v>136</v>
      </c>
      <c r="L264" s="149"/>
    </row>
    <row r="265" spans="1:12" ht="13.5" thickBot="1">
      <c r="A265" s="376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>
      <c r="A267" s="134" t="s">
        <v>137</v>
      </c>
    </row>
    <row r="268" spans="1:12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/>
    <hyperlink ref="B264" r:id="rId2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AA21"/>
  <sheetViews>
    <sheetView workbookViewId="0">
      <selection activeCell="D21" sqref="D21"/>
    </sheetView>
  </sheetViews>
  <sheetFormatPr defaultColWidth="15.375" defaultRowHeight="14.25"/>
  <cols>
    <col min="1" max="1" width="24.25" customWidth="1"/>
    <col min="7" max="7" width="9.125" bestFit="1" customWidth="1"/>
    <col min="8" max="8" width="20.125" customWidth="1"/>
  </cols>
  <sheetData>
    <row r="1" spans="1:27" ht="42.95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4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4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4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4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4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4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4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4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4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4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4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4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4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45" customHeight="1"/>
    <row r="19" spans="1:14">
      <c r="A19" s="13" t="s">
        <v>181</v>
      </c>
    </row>
    <row r="21" spans="1:14" ht="15">
      <c r="C21" s="306"/>
    </row>
  </sheetData>
  <autoFilter ref="A1:E8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875" defaultRowHeight="14.25"/>
  <cols>
    <col min="1" max="1" width="1.125" style="1" customWidth="1"/>
    <col min="2" max="2" width="20.75" style="1" bestFit="1" customWidth="1"/>
    <col min="3" max="3" width="15.875" style="1" bestFit="1" customWidth="1"/>
    <col min="4" max="4" width="12.75" style="1" customWidth="1"/>
    <col min="5" max="6" width="11.875" style="1" bestFit="1" customWidth="1"/>
    <col min="7" max="7" width="8.875" style="1"/>
    <col min="8" max="8" width="13.75" style="1" bestFit="1" customWidth="1"/>
    <col min="9" max="9" width="11.875" style="1" bestFit="1" customWidth="1"/>
    <col min="10" max="10" width="8.875" style="1"/>
    <col min="11" max="11" width="13.125" style="1" customWidth="1"/>
    <col min="12" max="12" width="11.875" style="1" bestFit="1" customWidth="1"/>
    <col min="13" max="13" width="3.375" style="1" customWidth="1"/>
    <col min="14" max="14" width="11.25" style="1" customWidth="1"/>
    <col min="15" max="15" width="16.25" style="1" customWidth="1"/>
    <col min="16" max="20" width="8.875" style="1"/>
    <col min="21" max="21" width="11.375" style="1" bestFit="1" customWidth="1"/>
    <col min="22" max="22" width="12" style="1" bestFit="1" customWidth="1"/>
    <col min="23" max="16384" width="8.875" style="1"/>
  </cols>
  <sheetData>
    <row r="1" spans="2:22" ht="15" thickBot="1"/>
    <row r="2" spans="2:22" ht="37.15" customHeight="1">
      <c r="B2" s="400" t="s">
        <v>182</v>
      </c>
      <c r="C2" s="402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82" t="s">
        <v>185</v>
      </c>
      <c r="D12" s="383"/>
      <c r="E12" s="383"/>
      <c r="F12" s="383"/>
      <c r="G12" s="384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82" t="s">
        <v>189</v>
      </c>
      <c r="P12" s="383"/>
      <c r="Q12" s="383"/>
      <c r="R12" s="383"/>
      <c r="S12" s="384"/>
      <c r="T12" s="1" t="s">
        <v>186</v>
      </c>
      <c r="U12" s="1" t="s">
        <v>187</v>
      </c>
      <c r="V12" s="1" t="s">
        <v>188</v>
      </c>
    </row>
    <row r="13" spans="2:22">
      <c r="B13" s="397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397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398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398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98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398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98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398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98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398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98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398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98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398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98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398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98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398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98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399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45" customHeight="1">
      <c r="B23" s="417" t="s">
        <v>191</v>
      </c>
      <c r="C23" s="65"/>
      <c r="D23" s="64" t="s">
        <v>186</v>
      </c>
      <c r="E23" s="64"/>
      <c r="F23" s="64"/>
      <c r="G23" s="64"/>
      <c r="K23" s="395"/>
      <c r="N23" s="416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417"/>
      <c r="C24" s="66" t="s">
        <v>193</v>
      </c>
      <c r="D24" s="1">
        <f>(F25/2)/(F26)</f>
        <v>0.13333333333333333</v>
      </c>
      <c r="K24" s="395"/>
      <c r="N24" s="417"/>
      <c r="O24" s="66" t="s">
        <v>193</v>
      </c>
      <c r="P24" s="1" t="s">
        <v>194</v>
      </c>
    </row>
    <row r="25" spans="2:22">
      <c r="B25" s="417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95"/>
      <c r="N25" s="417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45" customHeight="1">
      <c r="B26" s="417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395"/>
      <c r="N26" s="417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45" customHeight="1">
      <c r="B27" s="2" t="s">
        <v>199</v>
      </c>
      <c r="C27" s="385" t="s">
        <v>200</v>
      </c>
      <c r="D27" s="385"/>
      <c r="E27" s="385"/>
      <c r="F27" s="385"/>
      <c r="G27" s="385"/>
      <c r="L27" s="63"/>
      <c r="M27" s="63"/>
      <c r="N27" s="2" t="s">
        <v>199</v>
      </c>
      <c r="O27" s="385" t="s">
        <v>200</v>
      </c>
      <c r="P27" s="385"/>
      <c r="Q27" s="385"/>
      <c r="R27" s="385"/>
      <c r="S27" s="385"/>
    </row>
    <row r="28" spans="2:22" ht="57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97" t="s">
        <v>203</v>
      </c>
      <c r="C31" s="400"/>
      <c r="D31" s="401"/>
      <c r="E31" s="401"/>
      <c r="F31" s="401"/>
      <c r="G31" s="402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98"/>
      <c r="C32" s="403"/>
      <c r="D32" s="392"/>
      <c r="E32" s="392"/>
      <c r="F32" s="392"/>
      <c r="G32" s="404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98"/>
      <c r="C33" s="403"/>
      <c r="D33" s="392"/>
      <c r="E33" s="392"/>
      <c r="F33" s="392"/>
      <c r="G33" s="404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98"/>
      <c r="C34" s="403"/>
      <c r="D34" s="392"/>
      <c r="E34" s="392"/>
      <c r="F34" s="392"/>
      <c r="G34" s="404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98"/>
      <c r="C35" s="403"/>
      <c r="D35" s="392"/>
      <c r="E35" s="392"/>
      <c r="F35" s="392"/>
      <c r="G35" s="404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98"/>
      <c r="C36" s="403"/>
      <c r="D36" s="392"/>
      <c r="E36" s="392"/>
      <c r="F36" s="392"/>
      <c r="G36" s="404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98"/>
      <c r="C37" s="403"/>
      <c r="D37" s="392"/>
      <c r="E37" s="392"/>
      <c r="F37" s="392"/>
      <c r="G37" s="404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98"/>
      <c r="C38" s="403"/>
      <c r="D38" s="392"/>
      <c r="E38" s="392"/>
      <c r="F38" s="392"/>
      <c r="G38" s="404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45" customHeight="1">
      <c r="B39" s="398"/>
      <c r="C39" s="403"/>
      <c r="D39" s="392"/>
      <c r="E39" s="392"/>
      <c r="F39" s="392"/>
      <c r="G39" s="404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99"/>
      <c r="C40" s="405"/>
      <c r="D40" s="406"/>
      <c r="E40" s="406"/>
      <c r="F40" s="406"/>
      <c r="G40" s="407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8.5">
      <c r="B41" s="385" t="s">
        <v>191</v>
      </c>
      <c r="C41" s="1" t="s">
        <v>204</v>
      </c>
      <c r="H41" s="12"/>
    </row>
    <row r="42" spans="2:24">
      <c r="B42" s="392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92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92" t="s">
        <v>206</v>
      </c>
      <c r="D44" s="392"/>
      <c r="E44" s="392"/>
      <c r="F44" s="392"/>
      <c r="G44" s="392"/>
    </row>
    <row r="45" spans="2:24">
      <c r="B45" s="392" t="s">
        <v>201</v>
      </c>
    </row>
    <row r="46" spans="2:24">
      <c r="B46" s="392"/>
    </row>
    <row r="47" spans="2:24" ht="15" thickBot="1">
      <c r="B47" s="392"/>
    </row>
    <row r="48" spans="2:24" ht="15" customHeight="1" thickBot="1">
      <c r="K48" s="393" t="s">
        <v>207</v>
      </c>
      <c r="L48" s="394"/>
      <c r="W48" s="395" t="s">
        <v>207</v>
      </c>
      <c r="X48" s="395"/>
    </row>
    <row r="49" spans="2:24" ht="15" thickBot="1">
      <c r="B49" s="8" t="s">
        <v>184</v>
      </c>
      <c r="C49" s="393" t="s">
        <v>208</v>
      </c>
      <c r="D49" s="396"/>
      <c r="E49" s="396"/>
      <c r="F49" s="396"/>
      <c r="G49" s="394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93" t="s">
        <v>212</v>
      </c>
      <c r="P49" s="396"/>
      <c r="Q49" s="396"/>
      <c r="R49" s="396"/>
      <c r="S49" s="394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97" t="s">
        <v>214</v>
      </c>
      <c r="C50" s="400"/>
      <c r="D50" s="401"/>
      <c r="E50" s="401"/>
      <c r="F50" s="401"/>
      <c r="G50" s="402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397" t="s">
        <v>214</v>
      </c>
      <c r="O50" s="400"/>
      <c r="P50" s="401"/>
      <c r="Q50" s="401"/>
      <c r="R50" s="401"/>
      <c r="S50" s="402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98"/>
      <c r="C51" s="403"/>
      <c r="D51" s="392"/>
      <c r="E51" s="392"/>
      <c r="F51" s="392"/>
      <c r="G51" s="404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398"/>
      <c r="O51" s="403"/>
      <c r="P51" s="392"/>
      <c r="Q51" s="392"/>
      <c r="R51" s="392"/>
      <c r="S51" s="404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98"/>
      <c r="C52" s="403"/>
      <c r="D52" s="392"/>
      <c r="E52" s="392"/>
      <c r="F52" s="392"/>
      <c r="G52" s="404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398"/>
      <c r="O52" s="403"/>
      <c r="P52" s="392"/>
      <c r="Q52" s="392"/>
      <c r="R52" s="392"/>
      <c r="S52" s="404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98"/>
      <c r="C53" s="403"/>
      <c r="D53" s="392"/>
      <c r="E53" s="392"/>
      <c r="F53" s="392"/>
      <c r="G53" s="404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398"/>
      <c r="O53" s="403"/>
      <c r="P53" s="392"/>
      <c r="Q53" s="392"/>
      <c r="R53" s="392"/>
      <c r="S53" s="404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98"/>
      <c r="C54" s="403"/>
      <c r="D54" s="392"/>
      <c r="E54" s="392"/>
      <c r="F54" s="392"/>
      <c r="G54" s="404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398"/>
      <c r="O54" s="403"/>
      <c r="P54" s="392"/>
      <c r="Q54" s="392"/>
      <c r="R54" s="392"/>
      <c r="S54" s="404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98"/>
      <c r="C55" s="403"/>
      <c r="D55" s="392"/>
      <c r="E55" s="392"/>
      <c r="F55" s="392"/>
      <c r="G55" s="404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398"/>
      <c r="O55" s="403"/>
      <c r="P55" s="392"/>
      <c r="Q55" s="392"/>
      <c r="R55" s="392"/>
      <c r="S55" s="404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98"/>
      <c r="C56" s="403"/>
      <c r="D56" s="392"/>
      <c r="E56" s="392"/>
      <c r="F56" s="392"/>
      <c r="G56" s="404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398"/>
      <c r="O56" s="403"/>
      <c r="P56" s="392"/>
      <c r="Q56" s="392"/>
      <c r="R56" s="392"/>
      <c r="S56" s="404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98"/>
      <c r="C57" s="403"/>
      <c r="D57" s="392"/>
      <c r="E57" s="392"/>
      <c r="F57" s="392"/>
      <c r="G57" s="404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398"/>
      <c r="O57" s="403"/>
      <c r="P57" s="392"/>
      <c r="Q57" s="392"/>
      <c r="R57" s="392"/>
      <c r="S57" s="404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98"/>
      <c r="C58" s="403"/>
      <c r="D58" s="392"/>
      <c r="E58" s="392"/>
      <c r="F58" s="392"/>
      <c r="G58" s="404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398"/>
      <c r="O58" s="403"/>
      <c r="P58" s="392"/>
      <c r="Q58" s="392"/>
      <c r="R58" s="392"/>
      <c r="S58" s="404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99"/>
      <c r="C59" s="408"/>
      <c r="D59" s="409"/>
      <c r="E59" s="409"/>
      <c r="F59" s="409"/>
      <c r="G59" s="410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399"/>
      <c r="O59" s="405"/>
      <c r="P59" s="406"/>
      <c r="Q59" s="406"/>
      <c r="R59" s="406"/>
      <c r="S59" s="407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411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386" t="s">
        <v>218</v>
      </c>
      <c r="I60" s="387"/>
      <c r="J60" s="388"/>
      <c r="K60" s="81" t="s">
        <v>219</v>
      </c>
      <c r="L60" s="57">
        <f>K67^2/K68</f>
        <v>1.1707317073170729</v>
      </c>
      <c r="N60" s="385" t="s">
        <v>191</v>
      </c>
      <c r="O60" s="1" t="s">
        <v>220</v>
      </c>
    </row>
    <row r="61" spans="2:24" ht="16.149999999999999" customHeight="1" thickBot="1">
      <c r="B61" s="412"/>
      <c r="C61" s="80" t="s">
        <v>221</v>
      </c>
      <c r="D61" s="82">
        <f>-I50+D60*H50</f>
        <v>23.499999999999979</v>
      </c>
      <c r="E61" s="77"/>
      <c r="F61" s="61"/>
      <c r="G61" s="62"/>
      <c r="H61" s="389"/>
      <c r="I61" s="390"/>
      <c r="J61" s="391"/>
      <c r="K61" s="80"/>
      <c r="L61" s="62"/>
      <c r="N61" s="385"/>
    </row>
    <row r="62" spans="2:24" ht="27.6" customHeight="1">
      <c r="B62" s="412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385"/>
    </row>
    <row r="63" spans="2:24" ht="27.6" customHeight="1">
      <c r="B63" s="412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385"/>
    </row>
    <row r="64" spans="2:24">
      <c r="B64" s="413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85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14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92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14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92"/>
    </row>
    <row r="67" spans="2:19">
      <c r="B67" s="414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92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25" thickBot="1">
      <c r="B68" s="415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92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599999999999994" customHeight="1">
      <c r="B69" s="55" t="s">
        <v>199</v>
      </c>
      <c r="C69" s="385" t="s">
        <v>237</v>
      </c>
      <c r="D69" s="385"/>
      <c r="E69" s="385"/>
      <c r="F69" s="385"/>
      <c r="G69" s="385"/>
      <c r="N69" s="2" t="s">
        <v>199</v>
      </c>
      <c r="O69" s="392" t="s">
        <v>238</v>
      </c>
      <c r="P69" s="392"/>
      <c r="Q69" s="392"/>
      <c r="R69" s="392"/>
      <c r="S69" s="392"/>
    </row>
    <row r="70" spans="2:19">
      <c r="B70" s="392" t="s">
        <v>201</v>
      </c>
      <c r="C70" s="65"/>
      <c r="D70" s="64"/>
      <c r="E70" s="64"/>
      <c r="F70" s="64"/>
      <c r="G70" s="93"/>
      <c r="N70" s="392" t="s">
        <v>201</v>
      </c>
    </row>
    <row r="71" spans="2:19">
      <c r="B71" s="392"/>
      <c r="C71" s="66"/>
      <c r="G71" s="94"/>
      <c r="N71" s="392"/>
    </row>
    <row r="72" spans="2:19">
      <c r="B72" s="392"/>
      <c r="C72" s="67"/>
      <c r="D72" s="68"/>
      <c r="E72" s="68"/>
      <c r="F72" s="68"/>
      <c r="G72" s="95"/>
      <c r="N72" s="392"/>
    </row>
    <row r="73" spans="2:19" ht="15" thickBot="1"/>
    <row r="74" spans="2:19" ht="15" thickBot="1">
      <c r="B74" s="84" t="s">
        <v>239</v>
      </c>
    </row>
    <row r="76" spans="2:19" ht="28.5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97" t="s">
        <v>246</v>
      </c>
      <c r="C88" s="400"/>
      <c r="D88" s="401"/>
      <c r="E88" s="401"/>
      <c r="F88" s="401"/>
      <c r="G88" s="402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98"/>
      <c r="C89" s="403"/>
      <c r="D89" s="392"/>
      <c r="E89" s="392"/>
      <c r="F89" s="392"/>
      <c r="G89" s="404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98"/>
      <c r="C90" s="403"/>
      <c r="D90" s="392"/>
      <c r="E90" s="392"/>
      <c r="F90" s="392"/>
      <c r="G90" s="404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98"/>
      <c r="C91" s="403"/>
      <c r="D91" s="392"/>
      <c r="E91" s="392"/>
      <c r="F91" s="392"/>
      <c r="G91" s="404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98"/>
      <c r="C92" s="403"/>
      <c r="D92" s="392"/>
      <c r="E92" s="392"/>
      <c r="F92" s="392"/>
      <c r="G92" s="404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98"/>
      <c r="C93" s="403"/>
      <c r="D93" s="392"/>
      <c r="E93" s="392"/>
      <c r="F93" s="392"/>
      <c r="G93" s="404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98"/>
      <c r="C94" s="403"/>
      <c r="D94" s="392"/>
      <c r="E94" s="392"/>
      <c r="F94" s="392"/>
      <c r="G94" s="404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98"/>
      <c r="C95" s="403"/>
      <c r="D95" s="392"/>
      <c r="E95" s="392"/>
      <c r="F95" s="392"/>
      <c r="G95" s="404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98"/>
      <c r="C96" s="403"/>
      <c r="D96" s="392"/>
      <c r="E96" s="392"/>
      <c r="F96" s="392"/>
      <c r="G96" s="404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99"/>
      <c r="C97" s="405"/>
      <c r="D97" s="406"/>
      <c r="E97" s="406"/>
      <c r="F97" s="406"/>
      <c r="G97" s="407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8.5">
      <c r="B98" s="385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8.5">
      <c r="B99" s="392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92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" customHeight="1">
      <c r="B101" s="2" t="s">
        <v>199</v>
      </c>
      <c r="C101" s="392" t="s">
        <v>249</v>
      </c>
      <c r="D101" s="392"/>
      <c r="E101" s="392"/>
      <c r="F101" s="392"/>
      <c r="G101" s="392"/>
    </row>
    <row r="102" spans="2:10">
      <c r="B102" s="392" t="s">
        <v>201</v>
      </c>
    </row>
    <row r="103" spans="2:10">
      <c r="B103" s="392"/>
    </row>
    <row r="104" spans="2:10">
      <c r="B104" s="392"/>
    </row>
  </sheetData>
  <mergeCells count="35"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W48:X48"/>
    <mergeCell ref="O49:S49"/>
    <mergeCell ref="N50:N59"/>
    <mergeCell ref="O50:S59"/>
    <mergeCell ref="N60:N68"/>
    <mergeCell ref="O12:S12"/>
    <mergeCell ref="O27:S27"/>
    <mergeCell ref="H60:J61"/>
    <mergeCell ref="N70:N72"/>
    <mergeCell ref="O69:S69"/>
    <mergeCell ref="K48:L48"/>
  </mergeCells>
  <hyperlinks>
    <hyperlink ref="C28" r:id="rId1" display="https://www.youtube.com/watch?v=-05AlwGI7Jo"/>
    <hyperlink ref="O28" r:id="rId2" display="https://www.youtube.com/watch?v=-05AlwGI7Jo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4:V68"/>
  <sheetViews>
    <sheetView zoomScale="70" zoomScaleNormal="70" workbookViewId="0">
      <selection activeCell="H60" sqref="H60"/>
    </sheetView>
  </sheetViews>
  <sheetFormatPr defaultColWidth="8.875" defaultRowHeight="14.25"/>
  <cols>
    <col min="1" max="1" width="4.75" style="14" customWidth="1"/>
    <col min="2" max="2" width="20" style="14" customWidth="1"/>
    <col min="3" max="3" width="10.25" style="14" customWidth="1"/>
    <col min="4" max="6" width="9" style="14" bestFit="1" customWidth="1"/>
    <col min="7" max="7" width="13" style="14" bestFit="1" customWidth="1"/>
    <col min="8" max="8" width="10.625" style="14" bestFit="1" customWidth="1"/>
    <col min="9" max="9" width="9" style="14" bestFit="1" customWidth="1"/>
    <col min="10" max="10" width="8.875" style="14"/>
    <col min="11" max="11" width="17.375" style="14" customWidth="1"/>
    <col min="12" max="12" width="10.125" style="14" bestFit="1" customWidth="1"/>
    <col min="13" max="13" width="9" style="14" bestFit="1" customWidth="1"/>
    <col min="14" max="14" width="11.625" style="14" customWidth="1"/>
    <col min="15" max="15" width="13.25" style="14" customWidth="1"/>
    <col min="16" max="16" width="9" style="14" bestFit="1" customWidth="1"/>
    <col min="17" max="17" width="14.875" style="14" customWidth="1"/>
    <col min="18" max="18" width="9" style="14" bestFit="1" customWidth="1"/>
    <col min="19" max="19" width="8.875" style="14"/>
    <col min="20" max="20" width="13" style="14" bestFit="1" customWidth="1"/>
    <col min="21" max="21" width="12.75" style="14" bestFit="1" customWidth="1"/>
    <col min="22" max="22" width="11.25" style="14" bestFit="1" customWidth="1"/>
    <col min="23" max="16384" width="8.87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21" t="s">
        <v>252</v>
      </c>
      <c r="U15" s="422"/>
      <c r="V15" s="423"/>
    </row>
    <row r="16" spans="2:22" ht="15.7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24" t="s">
        <v>252</v>
      </c>
      <c r="U23" s="425"/>
      <c r="V23" s="426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.7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2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27" t="s">
        <v>711</v>
      </c>
      <c r="L33" s="428"/>
      <c r="M33" s="428"/>
      <c r="N33" s="428"/>
      <c r="O33" s="428"/>
      <c r="P33" s="428"/>
      <c r="Q33" s="428"/>
      <c r="R33" s="428"/>
      <c r="S33" s="429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27" t="s">
        <v>712</v>
      </c>
      <c r="L44" s="428"/>
      <c r="M44" s="428"/>
      <c r="N44" s="428"/>
      <c r="O44" s="428"/>
      <c r="P44" s="428"/>
      <c r="Q44" s="428"/>
      <c r="R44" s="428"/>
      <c r="S44" s="429"/>
    </row>
    <row r="45" spans="2:19" ht="15" thickBot="1">
      <c r="B45" s="418" t="s">
        <v>311</v>
      </c>
      <c r="C45" s="419"/>
      <c r="D45" s="419"/>
      <c r="E45" s="419"/>
      <c r="F45" s="420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2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2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O242"/>
  <sheetViews>
    <sheetView tabSelected="1" view="pageBreakPreview" topLeftCell="A193" zoomScaleNormal="100" zoomScaleSheetLayoutView="100" workbookViewId="0">
      <selection activeCell="J196" sqref="J196"/>
    </sheetView>
  </sheetViews>
  <sheetFormatPr defaultRowHeight="14.25" outlineLevelRow="1"/>
  <cols>
    <col min="1" max="1" width="1.25" customWidth="1"/>
    <col min="2" max="5" width="9.625" customWidth="1"/>
    <col min="6" max="6" width="10.375" customWidth="1"/>
    <col min="7" max="9" width="9.625" customWidth="1"/>
    <col min="10" max="10" width="12.125" customWidth="1"/>
    <col min="11" max="11" width="10.875" customWidth="1"/>
    <col min="12" max="13" width="8.375" customWidth="1"/>
    <col min="14" max="14" width="10.625" customWidth="1"/>
    <col min="15" max="20" width="8.375" customWidth="1"/>
    <col min="21" max="21" width="8.75" customWidth="1"/>
  </cols>
  <sheetData>
    <row r="2" spans="2:13" ht="20.45" customHeight="1">
      <c r="E2" s="354" t="s">
        <v>713</v>
      </c>
      <c r="F2" s="351"/>
    </row>
    <row r="3" spans="2:13">
      <c r="E3" s="430" t="s">
        <v>727</v>
      </c>
      <c r="F3" s="430"/>
      <c r="G3" s="430"/>
      <c r="H3" s="430"/>
    </row>
    <row r="4" spans="2:13">
      <c r="E4" s="430"/>
      <c r="F4" s="430"/>
      <c r="G4" s="430"/>
      <c r="H4" s="430"/>
    </row>
    <row r="6" spans="2:13">
      <c r="B6" t="s">
        <v>705</v>
      </c>
      <c r="G6" t="s">
        <v>684</v>
      </c>
      <c r="H6" s="352">
        <v>45910</v>
      </c>
    </row>
    <row r="7" spans="2:13" hidden="1" outlineLevel="1">
      <c r="B7" t="s">
        <v>685</v>
      </c>
    </row>
    <row r="8" spans="2:13" hidden="1" outlineLevel="1">
      <c r="B8" s="352">
        <v>45902</v>
      </c>
      <c r="C8" t="s">
        <v>686</v>
      </c>
    </row>
    <row r="9" spans="2:13" hidden="1" outlineLevel="1"/>
    <row r="10" spans="2:13" hidden="1" outlineLevel="1">
      <c r="B10" t="s">
        <v>409</v>
      </c>
    </row>
    <row r="11" spans="2:13" hidden="1" outlineLevel="1">
      <c r="B11" t="s">
        <v>768</v>
      </c>
    </row>
    <row r="12" spans="2:13" hidden="1" outlineLevel="1">
      <c r="B12" t="s">
        <v>702</v>
      </c>
    </row>
    <row r="13" spans="2:13" hidden="1" outlineLevel="1">
      <c r="B13" s="366" t="s">
        <v>701</v>
      </c>
    </row>
    <row r="14" spans="2:13" hidden="1" outlineLevel="1"/>
    <row r="15" spans="2:13" hidden="1" outlineLevel="1">
      <c r="B15" t="s">
        <v>703</v>
      </c>
    </row>
    <row r="16" spans="2:13" collapsed="1">
      <c r="M16" t="s">
        <v>756</v>
      </c>
    </row>
    <row r="17" spans="2:10" ht="15">
      <c r="B17" s="358" t="s">
        <v>746</v>
      </c>
      <c r="C17" s="186"/>
      <c r="D17" s="186"/>
      <c r="H17" t="s">
        <v>733</v>
      </c>
      <c r="J17" t="s">
        <v>734</v>
      </c>
    </row>
    <row r="18" spans="2:10" ht="15">
      <c r="B18" t="s">
        <v>715</v>
      </c>
      <c r="D18" s="14">
        <v>1790</v>
      </c>
      <c r="E18" t="s">
        <v>314</v>
      </c>
      <c r="F18" s="359">
        <v>0.6</v>
      </c>
      <c r="G18" t="s">
        <v>728</v>
      </c>
      <c r="H18">
        <v>4400</v>
      </c>
      <c r="I18" t="s">
        <v>729</v>
      </c>
      <c r="J18" s="362">
        <v>1.7999999999999999E-2</v>
      </c>
    </row>
    <row r="19" spans="2:10">
      <c r="B19" t="s">
        <v>716</v>
      </c>
      <c r="D19" s="14">
        <v>1090</v>
      </c>
      <c r="E19" t="s">
        <v>314</v>
      </c>
      <c r="F19" s="359">
        <f>1-F18</f>
        <v>0.4</v>
      </c>
      <c r="G19" t="s">
        <v>763</v>
      </c>
      <c r="I19" t="s">
        <v>764</v>
      </c>
    </row>
    <row r="20" spans="2:10" ht="15">
      <c r="B20" t="s">
        <v>747</v>
      </c>
      <c r="D20" s="190">
        <f>(H18/J18)/1000</f>
        <v>244.44444444444446</v>
      </c>
      <c r="E20" t="s">
        <v>757</v>
      </c>
      <c r="F20" s="357"/>
      <c r="G20" t="s">
        <v>731</v>
      </c>
      <c r="H20">
        <v>1.34</v>
      </c>
      <c r="I20" t="s">
        <v>732</v>
      </c>
      <c r="J20" s="363">
        <v>1.9E-2</v>
      </c>
    </row>
    <row r="21" spans="2:10" ht="15">
      <c r="B21" t="s">
        <v>748</v>
      </c>
      <c r="D21" s="190">
        <f>(H21/J21)/1000</f>
        <v>0.155</v>
      </c>
      <c r="E21" t="s">
        <v>757</v>
      </c>
      <c r="G21" t="s">
        <v>730</v>
      </c>
      <c r="H21">
        <v>4.34</v>
      </c>
      <c r="I21" t="s">
        <v>744</v>
      </c>
      <c r="J21" s="363">
        <f>2.8/100</f>
        <v>2.7999999999999997E-2</v>
      </c>
    </row>
    <row r="22" spans="2:10" ht="15">
      <c r="D22" s="190"/>
      <c r="G22" t="s">
        <v>738</v>
      </c>
      <c r="H22">
        <v>12.39</v>
      </c>
      <c r="I22" t="s">
        <v>745</v>
      </c>
      <c r="J22" s="363">
        <f>0.4/100</f>
        <v>4.0000000000000001E-3</v>
      </c>
    </row>
    <row r="24" spans="2:10">
      <c r="B24" s="186" t="s">
        <v>726</v>
      </c>
      <c r="C24" s="186"/>
      <c r="D24" s="186"/>
      <c r="G24" s="186" t="s">
        <v>735</v>
      </c>
      <c r="H24" s="186"/>
    </row>
    <row r="25" spans="2:10">
      <c r="B25" t="s">
        <v>717</v>
      </c>
      <c r="D25">
        <f>D18*(F18)+D19*(F19)</f>
        <v>1510</v>
      </c>
      <c r="E25" t="s">
        <v>314</v>
      </c>
      <c r="G25" t="s">
        <v>739</v>
      </c>
      <c r="H25" s="281">
        <f>H26/(H27+H26)</f>
        <v>0.8771929824561403</v>
      </c>
    </row>
    <row r="26" spans="2:10">
      <c r="B26" t="s">
        <v>765</v>
      </c>
      <c r="D26">
        <f>D20*F18+D21*F19</f>
        <v>146.72866666666667</v>
      </c>
      <c r="E26" t="s">
        <v>757</v>
      </c>
      <c r="G26" t="s">
        <v>736</v>
      </c>
      <c r="H26" s="281">
        <v>100</v>
      </c>
      <c r="I26" t="s">
        <v>740</v>
      </c>
    </row>
    <row r="27" spans="2:10">
      <c r="B27" t="s">
        <v>749</v>
      </c>
      <c r="D27">
        <f>IF(J20=J18,C32,IF(J20&lt;J18,B32,D32))</f>
        <v>2641.116</v>
      </c>
      <c r="E27" t="s">
        <v>733</v>
      </c>
      <c r="G27" t="s">
        <v>737</v>
      </c>
      <c r="H27" s="281">
        <v>14</v>
      </c>
      <c r="I27" t="s">
        <v>740</v>
      </c>
    </row>
    <row r="28" spans="2:10">
      <c r="B28" t="s">
        <v>750</v>
      </c>
      <c r="D28">
        <f>H18*F18+H21*F19</f>
        <v>2641.7359999999999</v>
      </c>
      <c r="E28" t="s">
        <v>733</v>
      </c>
      <c r="G28" s="263" t="s">
        <v>741</v>
      </c>
      <c r="H28" s="360">
        <v>1000</v>
      </c>
      <c r="I28" s="263" t="s">
        <v>740</v>
      </c>
      <c r="J28" s="263"/>
    </row>
    <row r="29" spans="2:10" ht="15">
      <c r="B29" t="s">
        <v>751</v>
      </c>
      <c r="D29">
        <f>H22</f>
        <v>12.39</v>
      </c>
      <c r="E29" t="s">
        <v>733</v>
      </c>
      <c r="H29" s="361">
        <f>H28*H25</f>
        <v>877.19298245614027</v>
      </c>
      <c r="I29" t="s">
        <v>742</v>
      </c>
    </row>
    <row r="30" spans="2:10" ht="15">
      <c r="H30" s="361">
        <f>H28-H29</f>
        <v>122.80701754385973</v>
      </c>
      <c r="I30" t="s">
        <v>743</v>
      </c>
    </row>
    <row r="31" spans="2:10">
      <c r="B31" t="s">
        <v>762</v>
      </c>
    </row>
    <row r="32" spans="2:10">
      <c r="B32">
        <f>(F18*(D20/D21)+(1-F18))*H20</f>
        <v>1268.4929892473119</v>
      </c>
      <c r="C32">
        <f>F18*H18+F19*H20</f>
        <v>2640.5360000000001</v>
      </c>
      <c r="D32">
        <f>(F18+F19*(D21/D20))*H18</f>
        <v>2641.116</v>
      </c>
    </row>
    <row r="33" spans="2:4">
      <c r="B33" s="363">
        <f>J20</f>
        <v>1.9E-2</v>
      </c>
      <c r="C33" s="365">
        <f>F18*J18+F19*J20</f>
        <v>1.84E-2</v>
      </c>
      <c r="D33" s="363">
        <f>J18</f>
        <v>1.7999999999999999E-2</v>
      </c>
    </row>
    <row r="34" spans="2:4">
      <c r="B34" t="s">
        <v>758</v>
      </c>
      <c r="C34" t="s">
        <v>759</v>
      </c>
      <c r="D34" t="s">
        <v>760</v>
      </c>
    </row>
    <row r="35" spans="2:4">
      <c r="B35" t="s">
        <v>254</v>
      </c>
      <c r="C35" t="s">
        <v>255</v>
      </c>
    </row>
    <row r="36" spans="2:4">
      <c r="B36" s="364">
        <v>0</v>
      </c>
      <c r="C36">
        <v>0</v>
      </c>
      <c r="D36" t="s">
        <v>752</v>
      </c>
    </row>
    <row r="37" spans="2:4">
      <c r="B37" s="364">
        <f>J18</f>
        <v>1.7999999999999999E-2</v>
      </c>
      <c r="C37">
        <f>H18</f>
        <v>4400</v>
      </c>
    </row>
    <row r="38" spans="2:4">
      <c r="B38" s="364">
        <v>0</v>
      </c>
      <c r="C38">
        <v>0</v>
      </c>
      <c r="D38" t="s">
        <v>753</v>
      </c>
    </row>
    <row r="39" spans="2:4">
      <c r="B39" s="364">
        <f>J20</f>
        <v>1.9E-2</v>
      </c>
      <c r="C39">
        <f>H20</f>
        <v>1.34</v>
      </c>
      <c r="D39" t="s">
        <v>754</v>
      </c>
    </row>
    <row r="40" spans="2:4">
      <c r="B40" s="364">
        <f>J21</f>
        <v>2.7999999999999997E-2</v>
      </c>
      <c r="C40">
        <f>H21</f>
        <v>4.34</v>
      </c>
      <c r="D40" t="s">
        <v>755</v>
      </c>
    </row>
    <row r="41" spans="2:4">
      <c r="B41" s="364">
        <v>0</v>
      </c>
      <c r="C41">
        <v>0</v>
      </c>
      <c r="D41" t="s">
        <v>761</v>
      </c>
    </row>
    <row r="42" spans="2:4">
      <c r="B42" s="364">
        <f>IF(J20=J18,C33,IF(J20&lt;J18,B33,D33))</f>
        <v>1.7999999999999999E-2</v>
      </c>
      <c r="C42">
        <f>D27</f>
        <v>2641.116</v>
      </c>
    </row>
    <row r="48" spans="2:4">
      <c r="B48" s="186" t="s">
        <v>766</v>
      </c>
      <c r="C48" s="186"/>
      <c r="D48" s="186"/>
    </row>
    <row r="62" spans="2:4" ht="18">
      <c r="B62" s="434" t="s">
        <v>706</v>
      </c>
      <c r="C62" s="186"/>
      <c r="D62" s="186"/>
    </row>
    <row r="63" spans="2:4">
      <c r="B63" t="s">
        <v>814</v>
      </c>
    </row>
    <row r="64" spans="2:4" ht="15">
      <c r="D64" s="368"/>
    </row>
    <row r="65" spans="2:10" ht="15">
      <c r="D65" s="368"/>
    </row>
    <row r="66" spans="2:10" ht="15">
      <c r="D66" s="368"/>
    </row>
    <row r="67" spans="2:10" ht="15">
      <c r="D67" s="368"/>
    </row>
    <row r="75" spans="2:10" ht="15">
      <c r="B75" s="306" t="s">
        <v>795</v>
      </c>
      <c r="G75" s="306" t="s">
        <v>796</v>
      </c>
    </row>
    <row r="76" spans="2:10">
      <c r="B76" t="s">
        <v>786</v>
      </c>
      <c r="D76">
        <v>3.5</v>
      </c>
      <c r="E76" t="s">
        <v>769</v>
      </c>
      <c r="G76" t="s">
        <v>205</v>
      </c>
      <c r="I76">
        <v>1800</v>
      </c>
      <c r="J76" t="s">
        <v>227</v>
      </c>
    </row>
    <row r="77" spans="2:10">
      <c r="D77" s="281">
        <f>D76*25.4</f>
        <v>88.899999999999991</v>
      </c>
      <c r="E77" t="s">
        <v>227</v>
      </c>
      <c r="G77" t="s">
        <v>226</v>
      </c>
      <c r="I77">
        <v>1.8</v>
      </c>
      <c r="J77" t="s">
        <v>227</v>
      </c>
    </row>
    <row r="78" spans="2:10">
      <c r="B78" t="s">
        <v>787</v>
      </c>
      <c r="D78" t="s">
        <v>773</v>
      </c>
      <c r="G78" t="s">
        <v>707</v>
      </c>
      <c r="I78">
        <f>I79+2*2</f>
        <v>77.024999999999991</v>
      </c>
      <c r="J78" t="s">
        <v>227</v>
      </c>
    </row>
    <row r="79" spans="2:10">
      <c r="B79" t="s">
        <v>794</v>
      </c>
      <c r="D79">
        <v>20</v>
      </c>
      <c r="E79" t="s">
        <v>791</v>
      </c>
      <c r="G79" t="s">
        <v>708</v>
      </c>
      <c r="I79">
        <f>25.4*2.875</f>
        <v>73.024999999999991</v>
      </c>
      <c r="J79" t="s">
        <v>227</v>
      </c>
    </row>
    <row r="80" spans="2:10">
      <c r="B80" t="s">
        <v>790</v>
      </c>
      <c r="D80">
        <v>100</v>
      </c>
      <c r="E80" t="s">
        <v>791</v>
      </c>
      <c r="G80" t="s">
        <v>709</v>
      </c>
      <c r="I80">
        <f>(I78+I79)*0.5</f>
        <v>75.024999999999991</v>
      </c>
      <c r="J80" t="s">
        <v>227</v>
      </c>
    </row>
    <row r="81" spans="2:12">
      <c r="D81">
        <f>CONVERT(D80,"C","F")</f>
        <v>212</v>
      </c>
      <c r="E81" t="s">
        <v>792</v>
      </c>
      <c r="G81" t="s">
        <v>323</v>
      </c>
      <c r="I81">
        <f>I76/2</f>
        <v>900</v>
      </c>
      <c r="J81" t="s">
        <v>227</v>
      </c>
      <c r="L81" t="s">
        <v>810</v>
      </c>
    </row>
    <row r="82" spans="2:12">
      <c r="B82" t="s">
        <v>788</v>
      </c>
      <c r="D82">
        <f>VLOOKUP(D78,B236:C242,2,)</f>
        <v>23.2</v>
      </c>
      <c r="E82" t="s">
        <v>793</v>
      </c>
      <c r="G82" t="s">
        <v>767</v>
      </c>
      <c r="I82">
        <f>((PI()*I78^2)/4)-((PI()*I79^2)/4)</f>
        <v>471.39597767114901</v>
      </c>
      <c r="L82" t="s">
        <v>811</v>
      </c>
    </row>
    <row r="83" spans="2:12">
      <c r="B83" t="s">
        <v>789</v>
      </c>
      <c r="D83">
        <f>D77+((D80-D79)*(D82/1000))</f>
        <v>90.755999999999986</v>
      </c>
      <c r="E83" t="s">
        <v>227</v>
      </c>
      <c r="L83" t="s">
        <v>812</v>
      </c>
    </row>
    <row r="84" spans="2:12">
      <c r="G84" t="s">
        <v>836</v>
      </c>
    </row>
    <row r="87" spans="2:12">
      <c r="L87" t="s">
        <v>813</v>
      </c>
    </row>
    <row r="88" spans="2:12" ht="15">
      <c r="B88" s="306" t="s">
        <v>797</v>
      </c>
    </row>
    <row r="89" spans="2:12">
      <c r="B89" s="186" t="s">
        <v>816</v>
      </c>
      <c r="C89" s="186" t="s">
        <v>815</v>
      </c>
      <c r="D89" s="186" t="s">
        <v>799</v>
      </c>
      <c r="E89" s="186" t="s">
        <v>409</v>
      </c>
      <c r="F89" s="186"/>
      <c r="G89" s="186"/>
      <c r="H89" s="186"/>
      <c r="I89" s="186"/>
      <c r="J89" s="186"/>
    </row>
    <row r="90" spans="2:12">
      <c r="B90" t="s">
        <v>798</v>
      </c>
      <c r="D90" t="s">
        <v>800</v>
      </c>
      <c r="E90" t="s">
        <v>801</v>
      </c>
      <c r="L90" t="s">
        <v>827</v>
      </c>
    </row>
    <row r="91" spans="2:12">
      <c r="B91">
        <v>6</v>
      </c>
      <c r="D91">
        <v>0</v>
      </c>
      <c r="E91" t="s">
        <v>802</v>
      </c>
    </row>
    <row r="92" spans="2:12" ht="15">
      <c r="B92">
        <f>2.5*9.81</f>
        <v>24.525000000000002</v>
      </c>
      <c r="D92">
        <v>0</v>
      </c>
      <c r="E92" t="s">
        <v>803</v>
      </c>
      <c r="I92" s="306" t="s">
        <v>828</v>
      </c>
      <c r="J92" s="306">
        <v>4.62</v>
      </c>
    </row>
    <row r="93" spans="2:12" ht="15">
      <c r="E93" t="s">
        <v>804</v>
      </c>
      <c r="I93" s="306" t="s">
        <v>828</v>
      </c>
      <c r="J93" s="306">
        <v>4.62</v>
      </c>
    </row>
    <row r="94" spans="2:12" ht="15">
      <c r="E94" t="s">
        <v>805</v>
      </c>
      <c r="I94" s="306" t="s">
        <v>828</v>
      </c>
      <c r="J94" s="306">
        <v>4.62</v>
      </c>
      <c r="K94" t="s">
        <v>88</v>
      </c>
      <c r="L94" t="s">
        <v>829</v>
      </c>
    </row>
    <row r="95" spans="2:12">
      <c r="D95" t="s">
        <v>88</v>
      </c>
      <c r="E95" t="s">
        <v>806</v>
      </c>
    </row>
    <row r="97" spans="2:10">
      <c r="B97" s="186" t="s">
        <v>817</v>
      </c>
      <c r="C97" s="186" t="s">
        <v>815</v>
      </c>
      <c r="D97" s="186" t="s">
        <v>234</v>
      </c>
      <c r="E97" s="186" t="s">
        <v>409</v>
      </c>
      <c r="F97" s="186"/>
      <c r="G97" s="186"/>
      <c r="H97" s="186"/>
      <c r="I97" s="186"/>
      <c r="J97" s="186"/>
    </row>
    <row r="98" spans="2:10">
      <c r="B98" t="s">
        <v>798</v>
      </c>
      <c r="C98" t="s">
        <v>821</v>
      </c>
      <c r="D98" t="s">
        <v>800</v>
      </c>
      <c r="E98" t="s">
        <v>801</v>
      </c>
    </row>
    <row r="99" spans="2:10">
      <c r="B99" s="281">
        <v>2</v>
      </c>
      <c r="C99" s="371" t="s">
        <v>820</v>
      </c>
      <c r="D99">
        <v>100</v>
      </c>
      <c r="E99" t="s">
        <v>807</v>
      </c>
    </row>
    <row r="100" spans="2:10" ht="15">
      <c r="B100" s="281">
        <f>J100*J101</f>
        <v>34</v>
      </c>
      <c r="C100" s="369" t="s">
        <v>194</v>
      </c>
      <c r="D100">
        <f>I81</f>
        <v>900</v>
      </c>
      <c r="E100" t="s">
        <v>809</v>
      </c>
      <c r="I100" s="306" t="s">
        <v>831</v>
      </c>
      <c r="J100" s="306">
        <v>4.62</v>
      </c>
    </row>
    <row r="101" spans="2:10" ht="15">
      <c r="B101" s="281">
        <v>32</v>
      </c>
      <c r="C101" s="372" t="s">
        <v>820</v>
      </c>
      <c r="D101">
        <v>1700</v>
      </c>
      <c r="E101" t="s">
        <v>808</v>
      </c>
      <c r="I101" s="375" t="s">
        <v>830</v>
      </c>
      <c r="J101" s="281">
        <f>(B101+B99)/J100</f>
        <v>7.3593073593073592</v>
      </c>
    </row>
    <row r="102" spans="2:10" ht="15">
      <c r="C102" s="374" t="s">
        <v>194</v>
      </c>
      <c r="E102" t="s">
        <v>824</v>
      </c>
      <c r="I102" s="306" t="s">
        <v>828</v>
      </c>
      <c r="J102" s="306">
        <v>0.2</v>
      </c>
    </row>
    <row r="103" spans="2:10" ht="15">
      <c r="C103" s="370" t="s">
        <v>194</v>
      </c>
      <c r="E103" t="s">
        <v>825</v>
      </c>
      <c r="I103" s="306" t="s">
        <v>828</v>
      </c>
      <c r="J103" s="306">
        <v>1.1000000000000001</v>
      </c>
    </row>
    <row r="104" spans="2:10" ht="15">
      <c r="C104" s="373" t="s">
        <v>194</v>
      </c>
      <c r="E104" t="s">
        <v>826</v>
      </c>
      <c r="I104" s="306" t="s">
        <v>828</v>
      </c>
      <c r="J104" s="306">
        <v>1.2</v>
      </c>
    </row>
    <row r="106" spans="2:10">
      <c r="B106" t="s">
        <v>834</v>
      </c>
    </row>
    <row r="107" spans="2:10">
      <c r="B107">
        <f>(-B99*(D100-D99))+(B101*(D101-D100))</f>
        <v>24000</v>
      </c>
      <c r="C107" t="s">
        <v>835</v>
      </c>
    </row>
    <row r="113" spans="12:15">
      <c r="L113" t="s">
        <v>822</v>
      </c>
    </row>
    <row r="114" spans="12:15">
      <c r="L114" t="s">
        <v>818</v>
      </c>
      <c r="M114" t="s">
        <v>833</v>
      </c>
    </row>
    <row r="115" spans="12:15">
      <c r="L115">
        <f>D99</f>
        <v>100</v>
      </c>
      <c r="M115">
        <v>0</v>
      </c>
    </row>
    <row r="116" spans="12:15">
      <c r="L116">
        <f>L115</f>
        <v>100</v>
      </c>
      <c r="M116">
        <f>B99</f>
        <v>2</v>
      </c>
      <c r="N116" t="s">
        <v>819</v>
      </c>
    </row>
    <row r="117" spans="12:15">
      <c r="L117">
        <f>D100</f>
        <v>900</v>
      </c>
      <c r="M117">
        <f>M116</f>
        <v>2</v>
      </c>
    </row>
    <row r="118" spans="12:15">
      <c r="L118">
        <f>L117</f>
        <v>900</v>
      </c>
      <c r="M118">
        <f>M117-B100</f>
        <v>-32</v>
      </c>
    </row>
    <row r="119" spans="12:15">
      <c r="L119">
        <f>D101</f>
        <v>1700</v>
      </c>
      <c r="M119">
        <f>M118</f>
        <v>-32</v>
      </c>
    </row>
    <row r="120" spans="12:15">
      <c r="L120">
        <f>L119</f>
        <v>1700</v>
      </c>
      <c r="M120">
        <f>M118+B101</f>
        <v>0</v>
      </c>
    </row>
    <row r="125" spans="12:15">
      <c r="L125" t="s">
        <v>823</v>
      </c>
    </row>
    <row r="126" spans="12:15">
      <c r="L126" t="s">
        <v>818</v>
      </c>
      <c r="M126" t="s">
        <v>832</v>
      </c>
      <c r="N126" t="s">
        <v>837</v>
      </c>
      <c r="O126" t="s">
        <v>723</v>
      </c>
    </row>
    <row r="127" spans="12:15">
      <c r="L127">
        <f>L115</f>
        <v>100</v>
      </c>
      <c r="M127">
        <f>M115</f>
        <v>0</v>
      </c>
    </row>
    <row r="128" spans="12:15">
      <c r="L128">
        <f>L117</f>
        <v>900</v>
      </c>
      <c r="M128">
        <f>N128*O128</f>
        <v>1600</v>
      </c>
      <c r="N128">
        <f>L117-L116</f>
        <v>800</v>
      </c>
      <c r="O128">
        <f>M117</f>
        <v>2</v>
      </c>
    </row>
    <row r="129" spans="12:15">
      <c r="L129">
        <f>L119</f>
        <v>1700</v>
      </c>
      <c r="M129">
        <f>M128+N129*O129</f>
        <v>-24000</v>
      </c>
      <c r="N129">
        <f>L119-L118</f>
        <v>800</v>
      </c>
      <c r="O129">
        <f>M119</f>
        <v>-32</v>
      </c>
    </row>
    <row r="163" spans="2:6">
      <c r="B163" s="186" t="s">
        <v>714</v>
      </c>
      <c r="C163" s="186"/>
      <c r="D163" s="186"/>
      <c r="E163" s="186"/>
      <c r="F163" s="186"/>
    </row>
    <row r="164" spans="2:6">
      <c r="D164" s="14"/>
      <c r="F164" s="356"/>
    </row>
    <row r="165" spans="2:6">
      <c r="D165" s="14"/>
      <c r="F165" s="356"/>
    </row>
    <row r="166" spans="2:6">
      <c r="F166" s="357"/>
    </row>
    <row r="172" spans="2:6">
      <c r="B172" t="s">
        <v>718</v>
      </c>
      <c r="E172" t="s">
        <v>197</v>
      </c>
    </row>
    <row r="173" spans="2:6">
      <c r="B173" t="s">
        <v>719</v>
      </c>
      <c r="E173" t="s">
        <v>197</v>
      </c>
    </row>
    <row r="174" spans="2:6">
      <c r="B174" t="s">
        <v>720</v>
      </c>
      <c r="E174" t="s">
        <v>197</v>
      </c>
    </row>
    <row r="175" spans="2:6">
      <c r="B175" t="s">
        <v>721</v>
      </c>
      <c r="E175" t="s">
        <v>223</v>
      </c>
    </row>
    <row r="176" spans="2:6">
      <c r="B176" t="s">
        <v>722</v>
      </c>
      <c r="E176" t="s">
        <v>723</v>
      </c>
    </row>
    <row r="177" spans="2:2">
      <c r="B177" t="s">
        <v>724</v>
      </c>
    </row>
    <row r="178" spans="2:2">
      <c r="B178" t="s">
        <v>725</v>
      </c>
    </row>
    <row r="182" spans="2:2">
      <c r="B182" t="s">
        <v>710</v>
      </c>
    </row>
    <row r="194" spans="2:5" ht="18">
      <c r="B194" s="434" t="s">
        <v>844</v>
      </c>
      <c r="C194" s="186"/>
      <c r="D194" s="186"/>
    </row>
    <row r="195" spans="2:5" ht="15">
      <c r="B195" s="375" t="s">
        <v>838</v>
      </c>
    </row>
    <row r="196" spans="2:5" ht="15">
      <c r="B196" s="375"/>
    </row>
    <row r="197" spans="2:5" ht="15">
      <c r="B197" s="375"/>
      <c r="E197" s="375" t="s">
        <v>839</v>
      </c>
    </row>
    <row r="198" spans="2:5" ht="30" customHeight="1">
      <c r="B198" s="375"/>
      <c r="E198" t="s">
        <v>840</v>
      </c>
    </row>
    <row r="199" spans="2:5" ht="15">
      <c r="B199" s="375"/>
      <c r="E199" t="s">
        <v>848</v>
      </c>
    </row>
    <row r="200" spans="2:5" ht="15">
      <c r="B200" s="375"/>
      <c r="E200" t="s">
        <v>843</v>
      </c>
    </row>
    <row r="201" spans="2:5" ht="15">
      <c r="B201" s="375"/>
    </row>
    <row r="202" spans="2:5" ht="15">
      <c r="B202" s="375"/>
      <c r="E202" t="s">
        <v>841</v>
      </c>
    </row>
    <row r="203" spans="2:5" ht="15">
      <c r="B203" s="375"/>
      <c r="E203" t="s">
        <v>847</v>
      </c>
    </row>
    <row r="204" spans="2:5" ht="15">
      <c r="B204" s="375"/>
      <c r="E204" t="s">
        <v>845</v>
      </c>
    </row>
    <row r="205" spans="2:5" ht="15">
      <c r="B205" s="375"/>
      <c r="E205" t="s">
        <v>846</v>
      </c>
    </row>
    <row r="209" spans="2:10">
      <c r="E209" t="s">
        <v>842</v>
      </c>
    </row>
    <row r="210" spans="2:10">
      <c r="E210" t="s">
        <v>849</v>
      </c>
      <c r="F210">
        <f>PI()*F211*F212</f>
        <v>13964.379345206629</v>
      </c>
      <c r="G210" t="s">
        <v>850</v>
      </c>
      <c r="H210" t="s">
        <v>851</v>
      </c>
      <c r="J210" t="s">
        <v>852</v>
      </c>
    </row>
    <row r="211" spans="2:10">
      <c r="E211" t="s">
        <v>708</v>
      </c>
      <c r="F211">
        <f>3.5*25.4</f>
        <v>88.899999999999991</v>
      </c>
      <c r="G211" t="s">
        <v>227</v>
      </c>
    </row>
    <row r="212" spans="2:10">
      <c r="E212" t="s">
        <v>205</v>
      </c>
      <c r="F212">
        <f>5*10</f>
        <v>50</v>
      </c>
      <c r="G212" t="s">
        <v>227</v>
      </c>
    </row>
    <row r="219" spans="2:10" ht="15">
      <c r="B219" s="291" t="s">
        <v>687</v>
      </c>
      <c r="C219" s="186"/>
      <c r="D219" s="186"/>
      <c r="E219" s="186"/>
    </row>
    <row r="220" spans="2:10" ht="42.75">
      <c r="B220" t="s">
        <v>690</v>
      </c>
      <c r="C220" t="s">
        <v>688</v>
      </c>
      <c r="D220" t="s">
        <v>691</v>
      </c>
      <c r="E220" t="s">
        <v>692</v>
      </c>
      <c r="F220" s="353" t="s">
        <v>696</v>
      </c>
      <c r="G220" t="s">
        <v>689</v>
      </c>
      <c r="H220" t="s">
        <v>694</v>
      </c>
      <c r="I220" t="s">
        <v>695</v>
      </c>
    </row>
    <row r="221" spans="2:10">
      <c r="B221">
        <v>2</v>
      </c>
      <c r="C221">
        <v>2.375</v>
      </c>
      <c r="D221">
        <f>C221-2*E221</f>
        <v>2.0670000000000002</v>
      </c>
      <c r="E221">
        <v>0.154</v>
      </c>
      <c r="F221" t="s">
        <v>697</v>
      </c>
      <c r="G221">
        <f>C221*25.4</f>
        <v>60.324999999999996</v>
      </c>
      <c r="H221">
        <f t="shared" ref="H221:I221" si="0">D221*25.4</f>
        <v>52.501800000000003</v>
      </c>
      <c r="I221">
        <f t="shared" si="0"/>
        <v>3.9115999999999995</v>
      </c>
    </row>
    <row r="222" spans="2:10">
      <c r="B222">
        <v>2</v>
      </c>
      <c r="C222">
        <v>2.375</v>
      </c>
      <c r="D222">
        <f t="shared" ref="D222:D230" si="1">C222-2*E222</f>
        <v>1.9390000000000001</v>
      </c>
      <c r="E222">
        <v>0.218</v>
      </c>
      <c r="F222" t="s">
        <v>698</v>
      </c>
      <c r="G222">
        <f t="shared" ref="G222:G230" si="2">C222*25.4</f>
        <v>60.324999999999996</v>
      </c>
      <c r="H222">
        <f t="shared" ref="H222:H230" si="3">D222*25.4</f>
        <v>49.250599999999999</v>
      </c>
      <c r="I222">
        <f t="shared" ref="I222:I230" si="4">E222*25.4</f>
        <v>5.5371999999999995</v>
      </c>
    </row>
    <row r="223" spans="2:10">
      <c r="B223">
        <v>2.5</v>
      </c>
      <c r="C223">
        <v>2.875</v>
      </c>
      <c r="D223">
        <f t="shared" si="1"/>
        <v>2.4689999999999999</v>
      </c>
      <c r="E223">
        <v>0.20300000000000001</v>
      </c>
      <c r="F223" t="s">
        <v>697</v>
      </c>
      <c r="G223">
        <f t="shared" si="2"/>
        <v>73.024999999999991</v>
      </c>
      <c r="H223">
        <f t="shared" si="3"/>
        <v>62.712599999999995</v>
      </c>
      <c r="I223">
        <f t="shared" si="4"/>
        <v>5.1562000000000001</v>
      </c>
    </row>
    <row r="224" spans="2:10">
      <c r="B224">
        <v>2.5</v>
      </c>
      <c r="C224">
        <v>2.875</v>
      </c>
      <c r="D224">
        <f t="shared" si="1"/>
        <v>2.323</v>
      </c>
      <c r="E224">
        <v>0.27600000000000002</v>
      </c>
      <c r="F224" t="s">
        <v>698</v>
      </c>
      <c r="G224">
        <f t="shared" si="2"/>
        <v>73.024999999999991</v>
      </c>
      <c r="H224">
        <f t="shared" si="3"/>
        <v>59.004199999999997</v>
      </c>
      <c r="I224">
        <f t="shared" si="4"/>
        <v>7.0104000000000006</v>
      </c>
    </row>
    <row r="225" spans="2:9">
      <c r="B225">
        <v>3</v>
      </c>
      <c r="C225">
        <v>3.5</v>
      </c>
      <c r="D225">
        <f t="shared" si="1"/>
        <v>3.0680000000000001</v>
      </c>
      <c r="E225">
        <v>0.216</v>
      </c>
      <c r="F225" t="s">
        <v>697</v>
      </c>
      <c r="G225">
        <f t="shared" si="2"/>
        <v>88.899999999999991</v>
      </c>
      <c r="H225">
        <f t="shared" si="3"/>
        <v>77.927199999999999</v>
      </c>
      <c r="I225">
        <f t="shared" si="4"/>
        <v>5.4863999999999997</v>
      </c>
    </row>
    <row r="226" spans="2:9">
      <c r="B226">
        <v>3</v>
      </c>
      <c r="C226">
        <v>3.5</v>
      </c>
      <c r="D226">
        <f t="shared" si="1"/>
        <v>2.9</v>
      </c>
      <c r="E226">
        <v>0.3</v>
      </c>
      <c r="F226" t="s">
        <v>698</v>
      </c>
      <c r="G226">
        <f t="shared" si="2"/>
        <v>88.899999999999991</v>
      </c>
      <c r="H226">
        <f t="shared" si="3"/>
        <v>73.66</v>
      </c>
      <c r="I226">
        <f t="shared" si="4"/>
        <v>7.6199999999999992</v>
      </c>
    </row>
    <row r="227" spans="2:9">
      <c r="B227">
        <v>3.5</v>
      </c>
      <c r="C227">
        <v>4</v>
      </c>
      <c r="D227">
        <f t="shared" si="1"/>
        <v>3.548</v>
      </c>
      <c r="E227">
        <v>0.22600000000000001</v>
      </c>
      <c r="F227" t="s">
        <v>697</v>
      </c>
      <c r="G227">
        <f t="shared" si="2"/>
        <v>101.6</v>
      </c>
      <c r="H227">
        <f t="shared" si="3"/>
        <v>90.119199999999992</v>
      </c>
      <c r="I227">
        <f t="shared" si="4"/>
        <v>5.7404000000000002</v>
      </c>
    </row>
    <row r="228" spans="2:9">
      <c r="B228">
        <v>3.5</v>
      </c>
      <c r="C228">
        <v>4</v>
      </c>
      <c r="D228">
        <f t="shared" si="1"/>
        <v>3.3639999999999999</v>
      </c>
      <c r="E228">
        <v>0.318</v>
      </c>
      <c r="F228" t="s">
        <v>698</v>
      </c>
      <c r="G228">
        <f t="shared" si="2"/>
        <v>101.6</v>
      </c>
      <c r="H228">
        <f t="shared" si="3"/>
        <v>85.445599999999999</v>
      </c>
      <c r="I228">
        <f t="shared" si="4"/>
        <v>8.0771999999999995</v>
      </c>
    </row>
    <row r="229" spans="2:9">
      <c r="B229">
        <v>4</v>
      </c>
      <c r="C229">
        <v>4.5</v>
      </c>
      <c r="D229">
        <f t="shared" si="1"/>
        <v>4.0259999999999998</v>
      </c>
      <c r="E229">
        <v>0.23699999999999999</v>
      </c>
      <c r="F229" t="s">
        <v>697</v>
      </c>
      <c r="G229">
        <f t="shared" si="2"/>
        <v>114.3</v>
      </c>
      <c r="H229">
        <f t="shared" si="3"/>
        <v>102.26039999999999</v>
      </c>
      <c r="I229">
        <f t="shared" si="4"/>
        <v>6.0197999999999992</v>
      </c>
    </row>
    <row r="230" spans="2:9">
      <c r="B230">
        <v>4</v>
      </c>
      <c r="C230">
        <v>4.5</v>
      </c>
      <c r="D230">
        <f t="shared" si="1"/>
        <v>3.8260000000000001</v>
      </c>
      <c r="E230">
        <v>0.33700000000000002</v>
      </c>
      <c r="F230" t="s">
        <v>698</v>
      </c>
      <c r="G230">
        <f t="shared" si="2"/>
        <v>114.3</v>
      </c>
      <c r="H230">
        <f t="shared" si="3"/>
        <v>97.180399999999992</v>
      </c>
      <c r="I230">
        <f t="shared" si="4"/>
        <v>8.5597999999999992</v>
      </c>
    </row>
    <row r="232" spans="2:9">
      <c r="B232" t="s">
        <v>693</v>
      </c>
      <c r="C232" t="s">
        <v>699</v>
      </c>
    </row>
    <row r="233" spans="2:9">
      <c r="B233" t="s">
        <v>704</v>
      </c>
      <c r="C233" t="s">
        <v>700</v>
      </c>
    </row>
    <row r="235" spans="2:9" ht="78.95" customHeight="1">
      <c r="B235" s="353" t="s">
        <v>770</v>
      </c>
      <c r="C235" s="353" t="s">
        <v>785</v>
      </c>
      <c r="D235" t="s">
        <v>409</v>
      </c>
    </row>
    <row r="236" spans="2:9" ht="28.5">
      <c r="B236" s="63" t="s">
        <v>771</v>
      </c>
      <c r="C236" s="63">
        <v>23.6</v>
      </c>
      <c r="D236" s="367" t="s">
        <v>772</v>
      </c>
    </row>
    <row r="237" spans="2:9">
      <c r="B237" s="63" t="s">
        <v>773</v>
      </c>
      <c r="C237" s="63">
        <v>23.2</v>
      </c>
      <c r="D237" s="367" t="s">
        <v>774</v>
      </c>
    </row>
    <row r="238" spans="2:9">
      <c r="B238" s="63" t="s">
        <v>775</v>
      </c>
      <c r="C238" s="63">
        <v>22</v>
      </c>
      <c r="D238" s="367" t="s">
        <v>776</v>
      </c>
    </row>
    <row r="239" spans="2:9">
      <c r="B239" s="63" t="s">
        <v>777</v>
      </c>
      <c r="C239" s="63">
        <v>23.6</v>
      </c>
      <c r="D239" s="367" t="s">
        <v>778</v>
      </c>
    </row>
    <row r="240" spans="2:9">
      <c r="B240" s="63" t="s">
        <v>779</v>
      </c>
      <c r="C240" s="63">
        <v>23.5</v>
      </c>
      <c r="D240" s="367" t="s">
        <v>780</v>
      </c>
    </row>
    <row r="241" spans="2:4" ht="28.5">
      <c r="B241" s="63" t="s">
        <v>781</v>
      </c>
      <c r="C241" s="63">
        <v>21.5</v>
      </c>
      <c r="D241" s="367" t="s">
        <v>782</v>
      </c>
    </row>
    <row r="242" spans="2:4" ht="28.5">
      <c r="B242" s="63" t="s">
        <v>783</v>
      </c>
      <c r="C242" s="63">
        <v>21.5</v>
      </c>
      <c r="D242" s="367" t="s">
        <v>784</v>
      </c>
    </row>
  </sheetData>
  <mergeCells count="1">
    <mergeCell ref="E3:H4"/>
  </mergeCells>
  <dataValidations disablePrompts="1" count="2">
    <dataValidation type="list" allowBlank="1" showInputMessage="1" showErrorMessage="1" sqref="D76">
      <formula1>$C$221:$C$230</formula1>
    </dataValidation>
    <dataValidation type="list" allowBlank="1" showInputMessage="1" showErrorMessage="1" sqref="D78">
      <formula1>$B$236:$B$242</formula1>
    </dataValidation>
  </dataValidations>
  <hyperlinks>
    <hyperlink ref="B13" r:id="rId1"/>
  </hyperlinks>
  <pageMargins left="0.25" right="0.25" top="0.75" bottom="0.75" header="0.3" footer="0.3"/>
  <pageSetup paperSize="9" orientation="portrait" r:id="rId2"/>
  <drawing r:id="rId3"/>
  <legacy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125" defaultRowHeight="15" customHeight="1" outlineLevelRow="1"/>
  <cols>
    <col min="1" max="1" width="39.375" customWidth="1"/>
    <col min="2" max="11" width="12.7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2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2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2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2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2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2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2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2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ht="15.75" thickBot="1">
      <c r="A14" s="267" t="s">
        <v>484</v>
      </c>
    </row>
    <row r="15" spans="1:11" ht="14.2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2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2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2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2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2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2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25" outlineLevel="1">
      <c r="A22" t="s">
        <v>347</v>
      </c>
    </row>
    <row r="23" spans="1:11" ht="14.25" outlineLevel="1">
      <c r="A23" t="s">
        <v>348</v>
      </c>
    </row>
    <row r="24" spans="1:11" ht="14.25" outlineLevel="1">
      <c r="A24" t="s">
        <v>349</v>
      </c>
    </row>
    <row r="25" spans="1:11" ht="14.2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2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2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2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2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2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ht="15.75" thickBot="1">
      <c r="A32" s="267" t="s">
        <v>350</v>
      </c>
    </row>
    <row r="33" spans="1:11" ht="14.2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2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2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2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2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2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2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2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2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2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2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2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2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2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ht="15.75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2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2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2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2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2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2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2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2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2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2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2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2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2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2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2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2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2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2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2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2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2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2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2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2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2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2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2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2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2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2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2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2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2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2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2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2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2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2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>
      <c r="A92" s="264" t="s">
        <v>371</v>
      </c>
    </row>
    <row r="93" spans="1:11" s="166" customFormat="1" ht="14.2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2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2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2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2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25" hidden="1" outlineLevel="1"/>
    <row r="99" spans="1:11" ht="14.2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2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2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2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2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2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2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2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2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2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2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2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2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2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2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25">
      <c r="A118" s="270" t="s">
        <v>526</v>
      </c>
    </row>
    <row r="119" spans="1:11" ht="14.2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2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2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2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2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25" collapsed="1"/>
    <row r="125" spans="1:11" s="186" customFormat="1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2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125" defaultRowHeight="15" customHeight="1" outlineLevelRow="2"/>
  <cols>
    <col min="1" max="1" width="43.25" customWidth="1"/>
    <col min="2" max="2" width="12.75" style="190" customWidth="1"/>
    <col min="3" max="3" width="12.875" style="318" customWidth="1"/>
    <col min="4" max="11" width="12.875" style="190" customWidth="1"/>
    <col min="12" max="12" width="12.875" customWidth="1"/>
    <col min="13" max="13" width="4.5" style="330" customWidth="1"/>
    <col min="14" max="31" width="4.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2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25" outlineLevel="1">
      <c r="A3" t="s">
        <v>326</v>
      </c>
      <c r="B3" s="190">
        <f>B2*COS(RADIANS(B13))*COS(RADIANS(B14))</f>
        <v>169.43980401833267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2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25" outlineLevel="1">
      <c r="A5" t="s">
        <v>328</v>
      </c>
      <c r="B5" s="190">
        <f t="shared" ref="B5:K5" si="3">B2*SIN(RADIANS(B13))*COS(RADIANS(B14))</f>
        <v>14.824062001658412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25" outlineLevel="1">
      <c r="A6" t="s">
        <v>334</v>
      </c>
      <c r="B6" s="190">
        <v>0</v>
      </c>
    </row>
    <row r="7" spans="1:13" ht="14.25" outlineLevel="1">
      <c r="A7" t="s">
        <v>345</v>
      </c>
      <c r="B7" s="190">
        <f>B34</f>
        <v>5.0265482457436689E-3</v>
      </c>
    </row>
    <row r="8" spans="1:13" ht="14.25" outlineLevel="1">
      <c r="A8" t="s">
        <v>612</v>
      </c>
      <c r="B8" s="190">
        <f>B33</f>
        <v>17706.008941658431</v>
      </c>
    </row>
    <row r="9" spans="1:13" ht="14.25" outlineLevel="1">
      <c r="A9" t="s">
        <v>613</v>
      </c>
      <c r="B9" s="190">
        <f>B545</f>
        <v>1.35</v>
      </c>
    </row>
    <row r="10" spans="1:13" s="283" customFormat="1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25">
      <c r="A1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2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>
      <c r="A13" s="283" t="s">
        <v>330</v>
      </c>
      <c r="B13" s="285">
        <v>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25">
      <c r="A15" t="s">
        <v>332</v>
      </c>
      <c r="B15" s="190">
        <f t="shared" ref="B15:K15" si="6">RADIANS(AoAfins)</f>
        <v>8.7266462599716474E-2</v>
      </c>
      <c r="C15" s="318">
        <f t="shared" si="6"/>
        <v>8.7266462599716474E-2</v>
      </c>
      <c r="D15" s="190">
        <f t="shared" si="6"/>
        <v>8.7266462599716474E-2</v>
      </c>
      <c r="F15" s="190">
        <f t="shared" si="6"/>
        <v>8.7266462599716474E-2</v>
      </c>
      <c r="G15" s="190">
        <f t="shared" si="6"/>
        <v>8.7266462599716474E-2</v>
      </c>
      <c r="H15" s="190">
        <f t="shared" si="6"/>
        <v>8.7266462599716474E-2</v>
      </c>
      <c r="I15" s="190">
        <f t="shared" si="6"/>
        <v>8.7266462599716474E-2</v>
      </c>
      <c r="J15" s="190">
        <f t="shared" si="6"/>
        <v>8.7266462599716474E-2</v>
      </c>
      <c r="K15" s="190">
        <f t="shared" si="6"/>
        <v>8.7266462599716474E-2</v>
      </c>
    </row>
    <row r="16" spans="1:13" ht="14.2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ht="15.75" thickBot="1">
      <c r="A18" s="267" t="s">
        <v>484</v>
      </c>
    </row>
    <row r="19" spans="1:11" ht="14.2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2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2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2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2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2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2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25" hidden="1" outlineLevel="1">
      <c r="A26" t="s">
        <v>347</v>
      </c>
    </row>
    <row r="27" spans="1:11" ht="14.25" hidden="1" outlineLevel="1">
      <c r="A27" t="s">
        <v>348</v>
      </c>
    </row>
    <row r="28" spans="1:11" ht="14.25" hidden="1" outlineLevel="1">
      <c r="A28" t="s">
        <v>349</v>
      </c>
    </row>
    <row r="29" spans="1:11" ht="14.25" hidden="1" outlineLevel="1">
      <c r="A29" t="s">
        <v>340</v>
      </c>
      <c r="B29" s="190">
        <f t="shared" ref="B29:K29" si="14">DEGREES(ATAN((B5+B25)/B3))</f>
        <v>8.0035979836499376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25" hidden="1" outlineLevel="1">
      <c r="A30" t="s">
        <v>341</v>
      </c>
      <c r="B30" s="190">
        <f t="shared" ref="B30:K30" si="15">DEGREES(ATAN((B4+B25)/B3))</f>
        <v>3.0404773346578309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25" hidden="1" outlineLevel="1">
      <c r="A31" t="s">
        <v>342</v>
      </c>
      <c r="B31" s="190">
        <f t="shared" ref="B31:K32" si="16">RADIANS(B29)</f>
        <v>0.13968913682067069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25" hidden="1" outlineLevel="1">
      <c r="A32" t="s">
        <v>343</v>
      </c>
      <c r="B32" s="190">
        <f t="shared" si="16"/>
        <v>5.3066340322040648E-2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2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2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t="15.75" hidden="1" outlineLevel="1" thickBot="1">
      <c r="A38" s="267" t="s">
        <v>350</v>
      </c>
    </row>
    <row r="39" spans="1:13" ht="14.2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2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2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2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2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2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2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2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2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2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2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2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2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2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t="15.75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2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2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2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2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2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2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2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2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2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2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2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2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2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2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2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2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2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2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2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2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2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2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2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2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2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2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2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2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2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2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2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2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2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2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2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2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2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2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idden="1" outlineLevel="1">
      <c r="A98" s="264" t="s">
        <v>371</v>
      </c>
    </row>
    <row r="99" spans="1:13" s="166" customFormat="1" ht="14.2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2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2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2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2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25" hidden="1" outlineLevel="2"/>
    <row r="105" spans="1:13" ht="14.25" hidden="1" outlineLevel="1" collapsed="1">
      <c r="A105" t="s">
        <v>376</v>
      </c>
      <c r="B105" s="185">
        <f>(B20*B3*B44)/B23</f>
        <v>1695281.4687357901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25" hidden="1" outlineLevel="1">
      <c r="A106" t="s">
        <v>377</v>
      </c>
      <c r="B106" s="185">
        <f>(B20*B3*B45)/B23</f>
        <v>113018764.582386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25" hidden="1" outlineLevel="1">
      <c r="A109" t="s">
        <v>488</v>
      </c>
      <c r="B109" s="190">
        <f>(B108*B3)/B23</f>
        <v>171.40568390848762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idden="1" outlineLevel="1">
      <c r="A110" s="271" t="s">
        <v>493</v>
      </c>
      <c r="B110" s="277">
        <f>B122</f>
        <v>6.9310220689732587</v>
      </c>
      <c r="C110" s="328">
        <f t="shared" ref="C110:K110" si="50">C122</f>
        <v>8.1204455410967963E-2</v>
      </c>
      <c r="D110" s="277">
        <f t="shared" si="50"/>
        <v>0.24361336623290392</v>
      </c>
      <c r="E110" s="277"/>
      <c r="F110" s="277">
        <f t="shared" si="50"/>
        <v>0.56843118787677582</v>
      </c>
      <c r="G110" s="277">
        <f t="shared" si="50"/>
        <v>0.81204455410967979</v>
      </c>
      <c r="H110" s="277">
        <f t="shared" si="50"/>
        <v>1.2180668311645195</v>
      </c>
      <c r="I110" s="277">
        <f t="shared" si="50"/>
        <v>1.6240891082193596</v>
      </c>
      <c r="J110" s="277">
        <f t="shared" si="50"/>
        <v>2.4361336623290391</v>
      </c>
      <c r="K110" s="277">
        <f t="shared" si="50"/>
        <v>4.0602227705483989</v>
      </c>
      <c r="M110" s="338"/>
    </row>
    <row r="111" spans="1:13" ht="14.2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25" hidden="1" outlineLevel="2">
      <c r="A112">
        <v>1</v>
      </c>
      <c r="B112" s="185">
        <f t="shared" ref="B112:D116" si="52">(B$20*B$3*($A112*B$111))/B$23</f>
        <v>339056.29374715802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25" hidden="1" outlineLevel="2">
      <c r="A113">
        <v>2</v>
      </c>
      <c r="B113" s="185">
        <f t="shared" si="52"/>
        <v>678112.58749431605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25" hidden="1" outlineLevel="2">
      <c r="A114">
        <v>3</v>
      </c>
      <c r="B114" s="185">
        <f t="shared" si="52"/>
        <v>1017168.881241474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25" hidden="1" outlineLevel="2">
      <c r="A115">
        <v>4</v>
      </c>
      <c r="B115" s="185">
        <f t="shared" si="52"/>
        <v>1356225.1749886321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25" hidden="1" outlineLevel="2">
      <c r="A116">
        <v>5</v>
      </c>
      <c r="B116" s="185">
        <f t="shared" si="52"/>
        <v>1695281.4687357901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2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25" hidden="1" outlineLevel="2">
      <c r="A118">
        <v>1</v>
      </c>
      <c r="B118" s="185">
        <f>B$109*(SQRT(0.0576/(2*($B112^(1/5)))))</f>
        <v>8.1413098171771026</v>
      </c>
      <c r="C118" s="322">
        <f t="shared" ref="C118:K122" si="54">C$109*(SQRT(0.0576/(2*($B112^(1/5)))))</f>
        <v>9.5384291588869352E-2</v>
      </c>
      <c r="D118" s="185">
        <f t="shared" si="54"/>
        <v>0.28615287476660806</v>
      </c>
      <c r="E118" s="185"/>
      <c r="F118" s="185">
        <f t="shared" si="54"/>
        <v>0.66769004112208552</v>
      </c>
      <c r="G118" s="185">
        <f t="shared" si="54"/>
        <v>0.95384291588869363</v>
      </c>
      <c r="H118" s="185">
        <f t="shared" si="54"/>
        <v>1.4307643738330402</v>
      </c>
      <c r="I118" s="185">
        <f t="shared" si="54"/>
        <v>1.9076858317773873</v>
      </c>
      <c r="J118" s="185">
        <f t="shared" si="54"/>
        <v>2.8615287476660805</v>
      </c>
      <c r="K118" s="185">
        <f t="shared" si="54"/>
        <v>4.7692145794434682</v>
      </c>
    </row>
    <row r="119" spans="1:13" ht="14.25" hidden="1" outlineLevel="2">
      <c r="A119">
        <v>2</v>
      </c>
      <c r="B119" s="185">
        <f t="shared" ref="B119:B122" si="55">B$109*(SQRT(0.0576/(2*($B113^(1/5)))))</f>
        <v>7.5961106537487311</v>
      </c>
      <c r="C119" s="322">
        <f t="shared" si="54"/>
        <v>8.8996690926781905E-2</v>
      </c>
      <c r="D119" s="185">
        <f t="shared" si="54"/>
        <v>0.2669900727803457</v>
      </c>
      <c r="E119" s="185"/>
      <c r="F119" s="185">
        <f t="shared" si="54"/>
        <v>0.62297683648747337</v>
      </c>
      <c r="G119" s="185">
        <f t="shared" si="54"/>
        <v>0.88996690926781918</v>
      </c>
      <c r="H119" s="185">
        <f t="shared" si="54"/>
        <v>1.3349503639017284</v>
      </c>
      <c r="I119" s="185">
        <f t="shared" si="54"/>
        <v>1.7799338185356384</v>
      </c>
      <c r="J119" s="185">
        <f t="shared" si="54"/>
        <v>2.6699007278034568</v>
      </c>
      <c r="K119" s="185">
        <f t="shared" si="54"/>
        <v>4.4498345463390958</v>
      </c>
    </row>
    <row r="120" spans="1:13" ht="14.25" hidden="1" outlineLevel="2">
      <c r="A120">
        <v>3</v>
      </c>
      <c r="B120" s="185">
        <f t="shared" si="55"/>
        <v>7.2942754048844733</v>
      </c>
      <c r="C120" s="322">
        <f t="shared" si="54"/>
        <v>8.5460362984965538E-2</v>
      </c>
      <c r="D120" s="185">
        <f t="shared" si="54"/>
        <v>0.25638108895489664</v>
      </c>
      <c r="E120" s="185"/>
      <c r="F120" s="185">
        <f t="shared" si="54"/>
        <v>0.59822254089475879</v>
      </c>
      <c r="G120" s="185">
        <f t="shared" si="54"/>
        <v>0.85460362984965543</v>
      </c>
      <c r="H120" s="185">
        <f t="shared" si="54"/>
        <v>1.2819054447744829</v>
      </c>
      <c r="I120" s="185">
        <f t="shared" si="54"/>
        <v>1.7092072596993109</v>
      </c>
      <c r="J120" s="185">
        <f t="shared" si="54"/>
        <v>2.5638108895489657</v>
      </c>
      <c r="K120" s="185">
        <f t="shared" si="54"/>
        <v>4.2730181492482773</v>
      </c>
    </row>
    <row r="121" spans="1:13" ht="14.25" hidden="1" outlineLevel="2">
      <c r="A121">
        <v>4</v>
      </c>
      <c r="B121" s="185">
        <f t="shared" si="55"/>
        <v>7.0874218473117914</v>
      </c>
      <c r="C121" s="322">
        <f t="shared" si="54"/>
        <v>8.3036848772291963E-2</v>
      </c>
      <c r="D121" s="185">
        <f t="shared" si="54"/>
        <v>0.2491105463168759</v>
      </c>
      <c r="E121" s="185"/>
      <c r="F121" s="185">
        <f t="shared" si="54"/>
        <v>0.58125794140604381</v>
      </c>
      <c r="G121" s="185">
        <f t="shared" si="54"/>
        <v>0.83036848772291971</v>
      </c>
      <c r="H121" s="185">
        <f t="shared" si="54"/>
        <v>1.2455527315843793</v>
      </c>
      <c r="I121" s="185">
        <f t="shared" si="54"/>
        <v>1.6607369754458394</v>
      </c>
      <c r="J121" s="185">
        <f t="shared" si="54"/>
        <v>2.4911054631687586</v>
      </c>
      <c r="K121" s="185">
        <f t="shared" si="54"/>
        <v>4.1518424386145991</v>
      </c>
    </row>
    <row r="122" spans="1:13" ht="14.25" hidden="1" outlineLevel="2">
      <c r="A122">
        <v>5</v>
      </c>
      <c r="B122" s="185">
        <f t="shared" si="55"/>
        <v>6.9310220689732587</v>
      </c>
      <c r="C122" s="322">
        <f t="shared" si="54"/>
        <v>8.1204455410967963E-2</v>
      </c>
      <c r="D122" s="185">
        <f t="shared" si="54"/>
        <v>0.24361336623290392</v>
      </c>
      <c r="E122" s="185"/>
      <c r="F122" s="185">
        <f t="shared" si="54"/>
        <v>0.56843118787677582</v>
      </c>
      <c r="G122" s="185">
        <f t="shared" si="54"/>
        <v>0.81204455410967979</v>
      </c>
      <c r="H122" s="185">
        <f t="shared" si="54"/>
        <v>1.2180668311645195</v>
      </c>
      <c r="I122" s="185">
        <f t="shared" si="54"/>
        <v>1.6240891082193596</v>
      </c>
      <c r="J122" s="185">
        <f t="shared" si="54"/>
        <v>2.4361336623290391</v>
      </c>
      <c r="K122" s="185">
        <f t="shared" si="54"/>
        <v>4.0602227705483989</v>
      </c>
    </row>
    <row r="123" spans="1:13" s="186" customFormat="1" hidden="1" outlineLevel="1" collapsed="1">
      <c r="A123" s="271" t="s">
        <v>492</v>
      </c>
      <c r="B123" s="277">
        <f>B129</f>
        <v>6.8525084594094308</v>
      </c>
      <c r="C123" s="328">
        <f t="shared" ref="C123:K123" si="56">C129</f>
        <v>8.1166579638131869E-2</v>
      </c>
      <c r="D123" s="277">
        <f t="shared" si="56"/>
        <v>0.24260067601330121</v>
      </c>
      <c r="E123" s="277"/>
      <c r="F123" s="277">
        <f t="shared" si="56"/>
        <v>0.5561568001776831</v>
      </c>
      <c r="G123" s="277">
        <f t="shared" si="56"/>
        <v>0.77819966085098635</v>
      </c>
      <c r="H123" s="277">
        <f t="shared" si="56"/>
        <v>1.1168418739978432</v>
      </c>
      <c r="I123" s="277">
        <f t="shared" si="56"/>
        <v>1.4158059197763044</v>
      </c>
      <c r="J123" s="277">
        <f t="shared" si="56"/>
        <v>1.9155333278162308</v>
      </c>
      <c r="K123" s="277">
        <f t="shared" si="56"/>
        <v>2.6720928535128827</v>
      </c>
      <c r="M123" s="338"/>
    </row>
    <row r="124" spans="1:13" ht="14.25" hidden="1" outlineLevel="1">
      <c r="A124" s="270" t="s">
        <v>526</v>
      </c>
    </row>
    <row r="125" spans="1:13" ht="14.25" hidden="1" outlineLevel="2">
      <c r="A125">
        <v>1</v>
      </c>
      <c r="B125" s="185">
        <f>B118*SQRT((1+0.2*B$11^2)^(-0.467))</f>
        <v>8.049086244093214</v>
      </c>
      <c r="C125" s="322">
        <f t="shared" ref="C125:K129" si="57">C118*SQRT((1+0.2*C$11^2)^(-0.467))</f>
        <v>9.5339801988611972E-2</v>
      </c>
      <c r="D125" s="185">
        <f t="shared" si="57"/>
        <v>0.28496334965118275</v>
      </c>
      <c r="E125" s="185"/>
      <c r="F125" s="185">
        <f t="shared" si="57"/>
        <v>0.65327231281592457</v>
      </c>
      <c r="G125" s="185">
        <f t="shared" si="57"/>
        <v>0.91408806314024027</v>
      </c>
      <c r="H125" s="185">
        <f t="shared" si="57"/>
        <v>1.3118636216317889</v>
      </c>
      <c r="I125" s="185">
        <f t="shared" si="57"/>
        <v>1.663032453105403</v>
      </c>
      <c r="J125" s="185">
        <f t="shared" si="57"/>
        <v>2.2500217329693766</v>
      </c>
      <c r="K125" s="185">
        <f t="shared" si="57"/>
        <v>3.1386908834263507</v>
      </c>
    </row>
    <row r="126" spans="1:13" ht="14.25" hidden="1" outlineLevel="2">
      <c r="A126">
        <v>2</v>
      </c>
      <c r="B126" s="185">
        <f t="shared" ref="B126:B128" si="58">B119*SQRT((1+0.2*B$11^2)^(-0.467))</f>
        <v>7.5100630174640566</v>
      </c>
      <c r="C126" s="322">
        <f t="shared" si="57"/>
        <v>8.895518066196148E-2</v>
      </c>
      <c r="D126" s="185">
        <f t="shared" si="57"/>
        <v>0.26588020660339223</v>
      </c>
      <c r="E126" s="185"/>
      <c r="F126" s="185">
        <f t="shared" si="57"/>
        <v>0.60952462031481114</v>
      </c>
      <c r="G126" s="185">
        <f t="shared" si="57"/>
        <v>0.85287432007982455</v>
      </c>
      <c r="H126" s="185">
        <f t="shared" si="57"/>
        <v>1.2240120393794183</v>
      </c>
      <c r="I126" s="185">
        <f t="shared" si="57"/>
        <v>1.5516641447437296</v>
      </c>
      <c r="J126" s="185">
        <f t="shared" si="57"/>
        <v>2.0993445085352485</v>
      </c>
      <c r="K126" s="185">
        <f t="shared" si="57"/>
        <v>2.9285021444725929</v>
      </c>
    </row>
    <row r="127" spans="1:13" ht="14.25" hidden="1" outlineLevel="2">
      <c r="A127">
        <v>3</v>
      </c>
      <c r="B127" s="185">
        <f t="shared" si="58"/>
        <v>7.2116469143832198</v>
      </c>
      <c r="C127" s="322">
        <f t="shared" si="57"/>
        <v>8.5420502151240002E-2</v>
      </c>
      <c r="D127" s="185">
        <f t="shared" si="57"/>
        <v>0.25531532386453826</v>
      </c>
      <c r="E127" s="185"/>
      <c r="F127" s="185">
        <f t="shared" si="57"/>
        <v>0.58530485524716824</v>
      </c>
      <c r="G127" s="185">
        <f t="shared" si="57"/>
        <v>0.81898493320995491</v>
      </c>
      <c r="H127" s="185">
        <f t="shared" si="57"/>
        <v>1.1753753099583417</v>
      </c>
      <c r="I127" s="185">
        <f t="shared" si="57"/>
        <v>1.4900079953495211</v>
      </c>
      <c r="J127" s="185">
        <f t="shared" si="57"/>
        <v>2.0159260064794848</v>
      </c>
      <c r="K127" s="185">
        <f t="shared" si="57"/>
        <v>2.8121366498309142</v>
      </c>
    </row>
    <row r="128" spans="1:13" ht="14.25" hidden="1" outlineLevel="2">
      <c r="A128">
        <v>4</v>
      </c>
      <c r="B128" s="185">
        <f t="shared" si="58"/>
        <v>7.0071365638144307</v>
      </c>
      <c r="C128" s="322">
        <f t="shared" si="57"/>
        <v>8.299811832572708E-2</v>
      </c>
      <c r="D128" s="185">
        <f t="shared" si="57"/>
        <v>0.24807500455758749</v>
      </c>
      <c r="E128" s="185"/>
      <c r="F128" s="185">
        <f t="shared" si="57"/>
        <v>0.56870657990766493</v>
      </c>
      <c r="G128" s="185">
        <f t="shared" si="57"/>
        <v>0.79575987826899919</v>
      </c>
      <c r="H128" s="185">
        <f t="shared" si="57"/>
        <v>1.142043614779247</v>
      </c>
      <c r="I128" s="185">
        <f t="shared" si="57"/>
        <v>1.4477538388306437</v>
      </c>
      <c r="J128" s="185">
        <f t="shared" si="57"/>
        <v>1.9587576870650116</v>
      </c>
      <c r="K128" s="185">
        <f t="shared" si="57"/>
        <v>2.7323891165792196</v>
      </c>
    </row>
    <row r="129" spans="1:13" ht="14.25" hidden="1" outlineLevel="2">
      <c r="A129">
        <v>5</v>
      </c>
      <c r="B129" s="185">
        <f>B122*SQRT((1+0.2*B$11^2)^(-0.467))</f>
        <v>6.8525084594094308</v>
      </c>
      <c r="C129" s="322">
        <f t="shared" si="57"/>
        <v>8.1166579638131869E-2</v>
      </c>
      <c r="D129" s="185">
        <f t="shared" si="57"/>
        <v>0.24260067601330121</v>
      </c>
      <c r="E129" s="185"/>
      <c r="F129" s="185">
        <f t="shared" si="57"/>
        <v>0.5561568001776831</v>
      </c>
      <c r="G129" s="185">
        <f t="shared" si="57"/>
        <v>0.77819966085098635</v>
      </c>
      <c r="H129" s="185">
        <f t="shared" si="57"/>
        <v>1.1168418739978432</v>
      </c>
      <c r="I129" s="185">
        <f t="shared" si="57"/>
        <v>1.4158059197763044</v>
      </c>
      <c r="J129" s="185">
        <f t="shared" si="57"/>
        <v>1.9155333278162308</v>
      </c>
      <c r="K129" s="185">
        <f t="shared" si="57"/>
        <v>2.6720928535128827</v>
      </c>
    </row>
    <row r="130" spans="1:13" ht="14.25" hidden="1" outlineLevel="1" collapsed="1"/>
    <row r="131" spans="1:13" ht="14.2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0.17562385678767603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6.167796850217119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5.9750531986478359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5.7823095470785502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5.5895658955092653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5.3968222439399796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5.2040785923706947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5.0113349408014098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4.818591289232125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4.6258476376628401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4.4331039860935544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8.4106320684778885E-2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0.16295599632675914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0.23654902692594065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0.30488541248232354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0.36796515299590765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0.42578824846669316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0.47835469889467996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0.52566450427986811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0.5677176646222577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0.6045141799218483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53.004504181553372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3.7585012056010569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0.35124771357535201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-7.0821611541989566E-5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-3.5410804350114871E-4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-5.6657283265896727E-4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-7.0821599819732937E-4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-3.5410657822975969E-3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-7.0820427629343045E-3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-1.4163375192741889E-2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-3.5396016122148752E-2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-7.070356005563308E-2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-4.0577794396710002E-3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-2.0288896384250781E-2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-3.2462232098130678E-2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-4.0577787680351689E-2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-0.20288812430384348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-0.40577116064730423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-0.81150162220439914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-2.0280423353761421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-4.0510155877375276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-2.8503808936198437E-2</v>
      </c>
      <c r="C215" s="318">
        <f>C$190*VLOOKUP(C$214,$A$194:C$202,C$193,FALSE)</f>
        <v>-2.4809381227112487E-2</v>
      </c>
      <c r="D215" s="190">
        <f>D$190*VLOOKUP(D$214,$A$194:D$202,D$193,FALSE)</f>
        <v>-2.5876934931177514E-2</v>
      </c>
      <c r="F215" s="190">
        <f>F$190*VLOOKUP(F$214,$A$194:F$202,F$193,FALSE)</f>
        <v>-3.4565945581285507E-2</v>
      </c>
      <c r="G215" s="190">
        <f>G$190*VLOOKUP(G$214,$A$194:G$202,G$193,FALSE)</f>
        <v>-0.39960298391843679</v>
      </c>
      <c r="H215" s="190">
        <f>H$190*VLOOKUP(H$214,$A$194:H$202,H$193,FALSE)</f>
        <v>-5.0672431554888077E-2</v>
      </c>
      <c r="I215" s="190">
        <f>I$190*VLOOKUP(I$214,$A$194:I$202,I$193,FALSE)</f>
        <v>-3.2708913920652796E-2</v>
      </c>
      <c r="J215" s="190">
        <f>J$190*VLOOKUP(J$214,$A$194:J$202,J$193,FALSE)</f>
        <v>-2.0030037286554225E-2</v>
      </c>
      <c r="K215" s="190">
        <f>K$190*VLOOKUP(K$214,$A$194:K$202,K$193,FALSE)</f>
        <v>-1.1564347419270326E-2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-1.0010354298756752</v>
      </c>
      <c r="C217" s="318">
        <f t="shared" si="84"/>
        <v>-3.4972597865210647E-2</v>
      </c>
      <c r="D217" s="190">
        <f t="shared" si="84"/>
        <v>-0.32829729526223272</v>
      </c>
      <c r="F217" s="190">
        <f t="shared" si="84"/>
        <v>-2.3875720347621798</v>
      </c>
      <c r="G217" s="190">
        <f t="shared" si="84"/>
        <v>-56.33012099086627</v>
      </c>
      <c r="H217" s="190">
        <f t="shared" si="84"/>
        <v>-16.071863097459758</v>
      </c>
      <c r="I217" s="190">
        <f t="shared" si="84"/>
        <v>-18.443276479699914</v>
      </c>
      <c r="J217" s="190">
        <f t="shared" si="84"/>
        <v>-25.411846815190778</v>
      </c>
      <c r="K217" s="190">
        <f t="shared" si="84"/>
        <v>-40.754268331544267</v>
      </c>
    </row>
    <row r="218" spans="1:11" ht="15" hidden="1" customHeight="1" outlineLevel="2">
      <c r="A218">
        <v>2</v>
      </c>
      <c r="B218" s="190">
        <f t="shared" ref="B218:K218" si="85">B$33*(B88)*B$215</f>
        <v>-0.96975307269206068</v>
      </c>
      <c r="C218" s="318">
        <f t="shared" si="85"/>
        <v>-3.3879704181922821E-2</v>
      </c>
      <c r="D218" s="190">
        <f t="shared" si="85"/>
        <v>-0.31803800478528804</v>
      </c>
      <c r="F218" s="190">
        <f t="shared" si="85"/>
        <v>-2.3129604086758619</v>
      </c>
      <c r="G218" s="190">
        <f t="shared" si="85"/>
        <v>-54.56980470990171</v>
      </c>
      <c r="H218" s="190">
        <f t="shared" si="85"/>
        <v>-15.569617375664144</v>
      </c>
      <c r="I218" s="190">
        <f t="shared" si="85"/>
        <v>-17.866924089709293</v>
      </c>
      <c r="J218" s="190">
        <f t="shared" si="85"/>
        <v>-24.617726602216074</v>
      </c>
      <c r="K218" s="190">
        <f t="shared" si="85"/>
        <v>-39.480697446183513</v>
      </c>
    </row>
    <row r="219" spans="1:11" ht="15" hidden="1" customHeight="1" outlineLevel="2">
      <c r="A219">
        <v>3</v>
      </c>
      <c r="B219" s="190">
        <f t="shared" ref="B219:K219" si="86">B$33*(B89)*B$215</f>
        <v>-0.93847071550844563</v>
      </c>
      <c r="C219" s="318">
        <f t="shared" si="86"/>
        <v>-3.278681049863498E-2</v>
      </c>
      <c r="D219" s="190">
        <f t="shared" si="86"/>
        <v>-0.30777871430834319</v>
      </c>
      <c r="F219" s="190">
        <f t="shared" si="86"/>
        <v>-2.2383487825895436</v>
      </c>
      <c r="G219" s="190">
        <f t="shared" si="86"/>
        <v>-52.809488428937136</v>
      </c>
      <c r="H219" s="190">
        <f t="shared" si="86"/>
        <v>-15.067371653868523</v>
      </c>
      <c r="I219" s="190">
        <f t="shared" si="86"/>
        <v>-17.290571699718672</v>
      </c>
      <c r="J219" s="190">
        <f t="shared" si="86"/>
        <v>-23.823606389241355</v>
      </c>
      <c r="K219" s="190">
        <f t="shared" si="86"/>
        <v>-38.207126560822751</v>
      </c>
    </row>
    <row r="220" spans="1:11" ht="15" hidden="1" customHeight="1" outlineLevel="2">
      <c r="A220">
        <v>4</v>
      </c>
      <c r="B220" s="190">
        <f t="shared" ref="B220:K220" si="87">B$33*(B90)*B$215</f>
        <v>-0.9071883583248308</v>
      </c>
      <c r="C220" s="318">
        <f t="shared" si="87"/>
        <v>-3.169391681534716E-2</v>
      </c>
      <c r="D220" s="190">
        <f t="shared" si="87"/>
        <v>-0.29751942383139846</v>
      </c>
      <c r="F220" s="190">
        <f t="shared" si="87"/>
        <v>-2.1637371565032262</v>
      </c>
      <c r="G220" s="190">
        <f t="shared" si="87"/>
        <v>-51.04917214797257</v>
      </c>
      <c r="H220" s="190">
        <f t="shared" si="87"/>
        <v>-14.565125932072908</v>
      </c>
      <c r="I220" s="190">
        <f t="shared" si="87"/>
        <v>-16.714219309728051</v>
      </c>
      <c r="J220" s="190">
        <f t="shared" si="87"/>
        <v>-23.029486176266648</v>
      </c>
      <c r="K220" s="190">
        <f t="shared" si="87"/>
        <v>-36.933555675461996</v>
      </c>
    </row>
    <row r="221" spans="1:11" ht="15" hidden="1" customHeight="1" outlineLevel="2">
      <c r="A221">
        <v>5</v>
      </c>
      <c r="B221" s="190">
        <f t="shared" ref="B221:K221" si="88">B$33*(B91)*B$215</f>
        <v>-0.87590600114121586</v>
      </c>
      <c r="C221" s="318">
        <f t="shared" si="88"/>
        <v>-3.0601023132059316E-2</v>
      </c>
      <c r="D221" s="190">
        <f t="shared" si="88"/>
        <v>-0.28726013335445366</v>
      </c>
      <c r="F221" s="190">
        <f t="shared" si="88"/>
        <v>-2.0891255304169074</v>
      </c>
      <c r="G221" s="190">
        <f t="shared" si="88"/>
        <v>-49.288855867007982</v>
      </c>
      <c r="H221" s="190">
        <f t="shared" si="88"/>
        <v>-14.062880210277285</v>
      </c>
      <c r="I221" s="190">
        <f t="shared" si="88"/>
        <v>-16.137866919737423</v>
      </c>
      <c r="J221" s="190">
        <f t="shared" si="88"/>
        <v>-22.23536596329193</v>
      </c>
      <c r="K221" s="190">
        <f t="shared" si="88"/>
        <v>-35.659984790101234</v>
      </c>
    </row>
    <row r="222" spans="1:11" ht="15" hidden="1" customHeight="1" outlineLevel="2">
      <c r="A222">
        <v>6</v>
      </c>
      <c r="B222" s="190">
        <f t="shared" ref="B222:K222" si="89">B$33*(B92)*B$215</f>
        <v>-0.84462364395760092</v>
      </c>
      <c r="C222" s="318">
        <f t="shared" si="89"/>
        <v>-2.9508129448771486E-2</v>
      </c>
      <c r="D222" s="190">
        <f t="shared" si="89"/>
        <v>-0.27700084287750892</v>
      </c>
      <c r="F222" s="190">
        <f t="shared" si="89"/>
        <v>-2.0145139043305891</v>
      </c>
      <c r="G222" s="190">
        <f t="shared" si="89"/>
        <v>-47.528539586043415</v>
      </c>
      <c r="H222" s="190">
        <f t="shared" si="89"/>
        <v>-13.560634488481671</v>
      </c>
      <c r="I222" s="190">
        <f t="shared" si="89"/>
        <v>-15.561514529746804</v>
      </c>
      <c r="J222" s="190">
        <f t="shared" si="89"/>
        <v>-21.441245750317218</v>
      </c>
      <c r="K222" s="190">
        <f t="shared" si="89"/>
        <v>-34.386413904740472</v>
      </c>
    </row>
    <row r="223" spans="1:11" ht="15" hidden="1" customHeight="1" outlineLevel="2">
      <c r="A223">
        <v>7</v>
      </c>
      <c r="B223" s="190">
        <f t="shared" ref="B223:K223" si="90">B$33*(B93)*B$215</f>
        <v>-0.81334128677398621</v>
      </c>
      <c r="C223" s="318">
        <f t="shared" si="90"/>
        <v>-2.8415235765483653E-2</v>
      </c>
      <c r="D223" s="190">
        <f t="shared" si="90"/>
        <v>-0.26674155240056413</v>
      </c>
      <c r="F223" s="190">
        <f t="shared" si="90"/>
        <v>-1.9399022782442714</v>
      </c>
      <c r="G223" s="190">
        <f t="shared" si="90"/>
        <v>-45.768223305078848</v>
      </c>
      <c r="H223" s="190">
        <f t="shared" si="90"/>
        <v>-13.058388766686052</v>
      </c>
      <c r="I223" s="190">
        <f t="shared" si="90"/>
        <v>-14.985162139756182</v>
      </c>
      <c r="J223" s="190">
        <f t="shared" si="90"/>
        <v>-20.647125537342507</v>
      </c>
      <c r="K223" s="190">
        <f t="shared" si="90"/>
        <v>-33.112843019379717</v>
      </c>
    </row>
    <row r="224" spans="1:11" ht="15" hidden="1" customHeight="1" outlineLevel="2">
      <c r="A224">
        <v>8</v>
      </c>
      <c r="B224" s="190">
        <f t="shared" ref="B224:K224" si="91">B$33*(B94)*B$215</f>
        <v>-0.78205892959037138</v>
      </c>
      <c r="C224" s="318">
        <f t="shared" si="91"/>
        <v>-2.7322342082195816E-2</v>
      </c>
      <c r="D224" s="190">
        <f t="shared" si="91"/>
        <v>-0.25648226192361934</v>
      </c>
      <c r="F224" s="190">
        <f t="shared" si="91"/>
        <v>-1.8652906521579531</v>
      </c>
      <c r="G224" s="190">
        <f t="shared" si="91"/>
        <v>-44.007907024114274</v>
      </c>
      <c r="H224" s="190">
        <f t="shared" si="91"/>
        <v>-12.556143044890435</v>
      </c>
      <c r="I224" s="190">
        <f t="shared" si="91"/>
        <v>-14.40880974976556</v>
      </c>
      <c r="J224" s="190">
        <f t="shared" si="91"/>
        <v>-19.853005324367796</v>
      </c>
      <c r="K224" s="190">
        <f t="shared" si="91"/>
        <v>-31.839272134018959</v>
      </c>
    </row>
    <row r="225" spans="1:11" ht="15" hidden="1" customHeight="1" outlineLevel="2">
      <c r="A225">
        <v>9</v>
      </c>
      <c r="B225" s="190">
        <f t="shared" ref="B225:K225" si="92">B$33*(B95)*B$215</f>
        <v>-0.75077657240675644</v>
      </c>
      <c r="C225" s="318">
        <f t="shared" si="92"/>
        <v>-2.6229448398907989E-2</v>
      </c>
      <c r="D225" s="190">
        <f t="shared" si="92"/>
        <v>-0.2462229714466746</v>
      </c>
      <c r="F225" s="190">
        <f t="shared" si="92"/>
        <v>-1.7906790260716352</v>
      </c>
      <c r="G225" s="190">
        <f t="shared" si="92"/>
        <v>-42.247590743149708</v>
      </c>
      <c r="H225" s="190">
        <f t="shared" si="92"/>
        <v>-12.053897323094819</v>
      </c>
      <c r="I225" s="190">
        <f t="shared" si="92"/>
        <v>-13.832457359774937</v>
      </c>
      <c r="J225" s="190">
        <f t="shared" si="92"/>
        <v>-19.058885111393085</v>
      </c>
      <c r="K225" s="190">
        <f t="shared" si="92"/>
        <v>-30.565701248658204</v>
      </c>
    </row>
    <row r="226" spans="1:11" ht="15" hidden="1" customHeight="1" outlineLevel="2">
      <c r="A226">
        <v>10</v>
      </c>
      <c r="B226" s="190">
        <f t="shared" ref="B226:K226" si="93">B$33*(B96)*B$215</f>
        <v>-0.71949421522314161</v>
      </c>
      <c r="C226" s="318">
        <f t="shared" si="93"/>
        <v>-2.5136554715620152E-2</v>
      </c>
      <c r="D226" s="190">
        <f t="shared" si="93"/>
        <v>-0.23596368096972978</v>
      </c>
      <c r="F226" s="190">
        <f t="shared" si="93"/>
        <v>-1.7160673999853169</v>
      </c>
      <c r="G226" s="190">
        <f t="shared" si="93"/>
        <v>-40.487274462185134</v>
      </c>
      <c r="H226" s="190">
        <f t="shared" si="93"/>
        <v>-11.5516516012992</v>
      </c>
      <c r="I226" s="190">
        <f t="shared" si="93"/>
        <v>-13.256104969784314</v>
      </c>
      <c r="J226" s="190">
        <f t="shared" si="93"/>
        <v>-18.26476489841837</v>
      </c>
      <c r="K226" s="190">
        <f t="shared" si="93"/>
        <v>-29.292130363297439</v>
      </c>
    </row>
    <row r="227" spans="1:11" ht="15" hidden="1" customHeight="1" outlineLevel="1" collapsed="1">
      <c r="A227" t="s">
        <v>514</v>
      </c>
      <c r="B227" s="190">
        <f>SUM(B217:B226)</f>
        <v>-8.6026482254940841</v>
      </c>
      <c r="C227" s="318">
        <f t="shared" ref="C227:K227" si="94">SUM(C217:C226)</f>
        <v>-0.30054576290415402</v>
      </c>
      <c r="D227" s="190">
        <f t="shared" si="94"/>
        <v>-2.8213048811598127</v>
      </c>
      <c r="F227" s="190">
        <f t="shared" si="94"/>
        <v>-20.518197173737487</v>
      </c>
      <c r="G227" s="190">
        <f t="shared" si="94"/>
        <v>-484.08697726525702</v>
      </c>
      <c r="H227" s="190">
        <f t="shared" si="94"/>
        <v>-138.11757349379479</v>
      </c>
      <c r="I227" s="190">
        <f t="shared" si="94"/>
        <v>-158.49690724742112</v>
      </c>
      <c r="J227" s="190">
        <f t="shared" si="94"/>
        <v>-218.38305856804575</v>
      </c>
      <c r="K227" s="190">
        <f t="shared" si="94"/>
        <v>-350.23199347420859</v>
      </c>
    </row>
    <row r="228" spans="1:11" ht="15" hidden="1" customHeight="1" outlineLevel="1">
      <c r="A228" t="s">
        <v>515</v>
      </c>
      <c r="B228" s="190">
        <f>B227*B192</f>
        <v>-1.0323177870592901</v>
      </c>
      <c r="C228" s="318">
        <f t="shared" ref="C228:K228" si="95">C227*C192</f>
        <v>-3.6065491548498481E-2</v>
      </c>
      <c r="D228" s="190">
        <f t="shared" si="95"/>
        <v>-0.33855658573917752</v>
      </c>
      <c r="F228" s="190">
        <f t="shared" si="95"/>
        <v>-2.4621836608484986</v>
      </c>
      <c r="G228" s="190">
        <f t="shared" si="95"/>
        <v>-58.090437271830837</v>
      </c>
      <c r="H228" s="190">
        <f t="shared" si="95"/>
        <v>-16.574108819255375</v>
      </c>
      <c r="I228" s="190">
        <f t="shared" si="95"/>
        <v>-19.019628869690532</v>
      </c>
      <c r="J228" s="190">
        <f t="shared" si="95"/>
        <v>-26.205967028165489</v>
      </c>
      <c r="K228" s="190">
        <f t="shared" si="95"/>
        <v>-42.027839216905029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-2.7003608465872204E-2</v>
      </c>
      <c r="C231" s="318">
        <f t="shared" si="97"/>
        <v>-2.3503624320422356E-2</v>
      </c>
      <c r="D231" s="190">
        <f t="shared" si="97"/>
        <v>-2.4514990987431332E-2</v>
      </c>
      <c r="F231" s="190">
        <f t="shared" si="97"/>
        <v>-3.2746685287533654E-2</v>
      </c>
      <c r="G231" s="190">
        <f t="shared" si="97"/>
        <v>-0.37857124792272956</v>
      </c>
      <c r="H231" s="190">
        <f t="shared" si="97"/>
        <v>-4.8005461473051868E-2</v>
      </c>
      <c r="I231" s="190">
        <f t="shared" si="97"/>
        <v>-3.0987392135355275E-2</v>
      </c>
      <c r="J231" s="190">
        <f t="shared" si="97"/>
        <v>-1.8975824797788213E-2</v>
      </c>
      <c r="K231" s="190">
        <f t="shared" si="97"/>
        <v>-1.0955697555098207E-2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-2.1379286291406711E-4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1695281468.7357903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171.40568390848762</v>
      </c>
    </row>
    <row r="280" spans="1:2" ht="15" customHeight="1">
      <c r="A280" s="271" t="s">
        <v>493</v>
      </c>
      <c r="B280" s="277">
        <f>B292</f>
        <v>3.4737397769582792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339056293.74715805</v>
      </c>
    </row>
    <row r="283" spans="1:2" ht="15" hidden="1" customHeight="1" outlineLevel="1">
      <c r="A283">
        <v>2</v>
      </c>
      <c r="B283" s="185">
        <f>(B$20*B$3*($A283*B$281))/B$23</f>
        <v>678112587.4943161</v>
      </c>
    </row>
    <row r="284" spans="1:2" ht="15" hidden="1" customHeight="1" outlineLevel="1">
      <c r="A284">
        <v>3</v>
      </c>
      <c r="B284" s="185">
        <f>(B$20*B$3*($A284*B$281))/B$23</f>
        <v>1017168881.2414742</v>
      </c>
    </row>
    <row r="285" spans="1:2" ht="15" hidden="1" customHeight="1" outlineLevel="1">
      <c r="A285">
        <v>4</v>
      </c>
      <c r="B285" s="185">
        <f>(B$20*B$3*($A285*B$281))/B$23</f>
        <v>1356225174.9886322</v>
      </c>
    </row>
    <row r="286" spans="1:2" ht="15" hidden="1" customHeight="1" outlineLevel="1">
      <c r="A286">
        <v>5</v>
      </c>
      <c r="B286" s="185">
        <f>(B$20*B$3*($A286*B$281))/B$23</f>
        <v>1695281468.7357903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4.0803205453735458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5">
        <f t="shared" si="103"/>
        <v>3.6557977114895004</v>
      </c>
    </row>
    <row r="291" spans="1:2" ht="15" hidden="1" customHeight="1" outlineLevel="1">
      <c r="A291">
        <v>4</v>
      </c>
      <c r="B291" s="185">
        <f t="shared" si="103"/>
        <v>3.5521253492036875</v>
      </c>
    </row>
    <row r="292" spans="1:2" ht="15" hidden="1" customHeight="1" outlineLevel="1">
      <c r="A292">
        <v>5</v>
      </c>
      <c r="B292" s="185">
        <f t="shared" si="103"/>
        <v>3.4737397769582792</v>
      </c>
    </row>
    <row r="293" spans="1:2" ht="15" customHeight="1" collapsed="1">
      <c r="A293" s="271" t="s">
        <v>492</v>
      </c>
      <c r="B293" s="277">
        <f>B299</f>
        <v>3.4343897581788925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4.0340992679044092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5">
        <f t="shared" si="104"/>
        <v>3.6143853669163799</v>
      </c>
    </row>
    <row r="298" spans="1:2" ht="15" hidden="1" customHeight="1" outlineLevel="1">
      <c r="A298">
        <v>4</v>
      </c>
      <c r="B298" s="185">
        <f t="shared" si="104"/>
        <v>3.5118873900666636</v>
      </c>
    </row>
    <row r="299" spans="1:2" ht="15" hidden="1" customHeight="1" outlineLevel="1">
      <c r="A299">
        <v>5</v>
      </c>
      <c r="B299" s="185">
        <f t="shared" si="104"/>
        <v>3.4343897581788925</v>
      </c>
    </row>
    <row r="300" spans="1:2" ht="15" customHeight="1" collapsed="1"/>
    <row r="301" spans="1:2" ht="15" customHeight="1">
      <c r="A301" s="266" t="s">
        <v>672</v>
      </c>
      <c r="B301" s="190">
        <f>B8*B7*B302</f>
        <v>24.290672238575272</v>
      </c>
    </row>
    <row r="302" spans="1:2" ht="15" customHeight="1">
      <c r="A302" s="307" t="s">
        <v>578</v>
      </c>
      <c r="B302" s="310">
        <f>B304*B303+(4/PI())*(B265/B260)*B306*B310</f>
        <v>0.27292856979605018</v>
      </c>
    </row>
    <row r="303" spans="1:2" ht="15" customHeight="1">
      <c r="A303" t="s">
        <v>586</v>
      </c>
      <c r="B303" s="190">
        <f>SIN(RADIANS(B13))*COS(RADIANS(B13))</f>
        <v>8.6824088833465166E-2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5.9341194567807207E-3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0.33222985333585608</v>
      </c>
    </row>
    <row r="513" spans="1:2" ht="15" hidden="1" customHeight="1" outlineLevel="1">
      <c r="A513">
        <v>10</v>
      </c>
      <c r="B513" s="190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0">
        <f t="shared" si="106"/>
        <v>0.99668956000756825</v>
      </c>
    </row>
    <row r="515" spans="1:2" ht="15" hidden="1" customHeight="1" outlineLevel="1">
      <c r="A515">
        <v>20</v>
      </c>
      <c r="B515" s="190">
        <f t="shared" si="106"/>
        <v>1.3289194133434243</v>
      </c>
    </row>
    <row r="516" spans="1:2" ht="15" hidden="1" customHeight="1" outlineLevel="1">
      <c r="A516">
        <v>25</v>
      </c>
      <c r="B516" s="190">
        <f t="shared" si="106"/>
        <v>1.6611492666792806</v>
      </c>
    </row>
    <row r="517" spans="1:2" ht="15" hidden="1" customHeight="1" outlineLevel="1">
      <c r="A517">
        <v>30</v>
      </c>
      <c r="B517" s="190">
        <f t="shared" si="106"/>
        <v>1.9933791200151365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0">
        <f t="shared" si="107"/>
        <v>0.63805706852365507</v>
      </c>
    </row>
    <row r="522" spans="1:2" ht="15" hidden="1" customHeight="1" outlineLevel="1">
      <c r="A522">
        <v>15</v>
      </c>
      <c r="B522" s="190">
        <f t="shared" si="107"/>
        <v>0.9570856027854826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0.92994424180736523</v>
      </c>
    </row>
    <row r="525" spans="1:2" ht="15" hidden="1" customHeight="1" outlineLevel="1">
      <c r="A525" s="312">
        <v>20</v>
      </c>
      <c r="B525" s="313">
        <f t="shared" ref="B525:B527" si="108">B$291*RADIANS(A525)</f>
        <v>1.2399256557431537</v>
      </c>
    </row>
    <row r="526" spans="1:2" ht="15" hidden="1" customHeight="1" outlineLevel="1">
      <c r="A526" s="312">
        <v>25</v>
      </c>
      <c r="B526" s="313">
        <f t="shared" si="108"/>
        <v>1.5499070696789421</v>
      </c>
    </row>
    <row r="527" spans="1:2" ht="15" hidden="1" customHeight="1" outlineLevel="1">
      <c r="A527" s="312">
        <v>30</v>
      </c>
      <c r="B527" s="313">
        <f t="shared" si="108"/>
        <v>1.8598884836147305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125" defaultRowHeight="14.25"/>
  <cols>
    <col min="1" max="1" width="44.75" style="279" customWidth="1"/>
    <col min="2" max="4" width="9.375" style="280" customWidth="1"/>
    <col min="5" max="5" width="12.5" style="280" customWidth="1"/>
    <col min="6" max="6" width="13.375" style="280" bestFit="1" customWidth="1"/>
    <col min="7" max="7" width="9.375" style="280" customWidth="1"/>
    <col min="8" max="8" width="13.375" style="280" bestFit="1" customWidth="1"/>
    <col min="9" max="9" width="12.25" style="280" customWidth="1"/>
    <col min="10" max="12" width="9.375" style="280" customWidth="1"/>
    <col min="14" max="14" width="17.125" customWidth="1"/>
  </cols>
  <sheetData>
    <row r="1" spans="1:14" ht="15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 ht="15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 ht="15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 ht="15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 ht="15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 ht="15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 ht="15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 ht="15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selection activeCell="K14" sqref="K14"/>
    </sheetView>
  </sheetViews>
  <sheetFormatPr defaultRowHeight="14.25"/>
  <cols>
    <col min="1" max="1" width="10.5" customWidth="1"/>
  </cols>
  <sheetData>
    <row r="1" spans="1:10" ht="42.75" customHeight="1">
      <c r="A1" s="431" t="s">
        <v>539</v>
      </c>
      <c r="B1" s="431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31" t="s">
        <v>540</v>
      </c>
      <c r="B6" s="431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32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32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32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K30"/>
  <sheetViews>
    <sheetView zoomScale="70" zoomScaleNormal="70" workbookViewId="0">
      <selection activeCell="N27" sqref="N27"/>
    </sheetView>
  </sheetViews>
  <sheetFormatPr defaultColWidth="9.125" defaultRowHeight="14.25"/>
  <cols>
    <col min="1" max="1" width="30.875" bestFit="1" customWidth="1"/>
    <col min="3" max="3" width="74" bestFit="1" customWidth="1"/>
    <col min="4" max="4" width="49.37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R123"/>
  <sheetViews>
    <sheetView zoomScale="70" zoomScaleNormal="70" workbookViewId="0">
      <selection activeCell="U16" sqref="U16"/>
    </sheetView>
  </sheetViews>
  <sheetFormatPr defaultColWidth="9.125" defaultRowHeight="14.25"/>
  <cols>
    <col min="1" max="1" width="13" customWidth="1"/>
    <col min="2" max="2" width="11.125" customWidth="1"/>
  </cols>
  <sheetData>
    <row r="2" spans="1:5" ht="45">
      <c r="A2" s="187" t="s">
        <v>382</v>
      </c>
    </row>
    <row r="4" spans="1:5">
      <c r="A4" s="186" t="s">
        <v>383</v>
      </c>
    </row>
    <row r="5" spans="1:5">
      <c r="B5" s="433"/>
      <c r="C5" s="433"/>
      <c r="D5" s="433"/>
      <c r="E5" s="433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30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 ht="15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workbookViewId="0">
      <selection activeCell="K28" sqref="K28"/>
    </sheetView>
  </sheetViews>
  <sheetFormatPr defaultColWidth="9.125"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"/>
  <sheetViews>
    <sheetView workbookViewId="0">
      <selection activeCell="O22" sqref="O22"/>
    </sheetView>
  </sheetViews>
  <sheetFormatPr defaultColWidth="9.12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4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11</vt:i4>
      </vt:variant>
    </vt:vector>
  </HeadingPairs>
  <TitlesOfParts>
    <vt:vector size="26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Leonardo Valadez Ortiz</cp:lastModifiedBy>
  <cp:revision/>
  <cp:lastPrinted>2025-09-15T16:49:20Z</cp:lastPrinted>
  <dcterms:created xsi:type="dcterms:W3CDTF">2024-07-02T19:27:32Z</dcterms:created>
  <dcterms:modified xsi:type="dcterms:W3CDTF">2025-09-15T21:12:06Z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