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DB10ADF4-1ED9-416B-9076-CEC75C8BE107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cuComp">SimpleComposites!$B$52</definedName>
    <definedName name="ScyComp">SimpleComposites!$B$51</definedName>
    <definedName name="StyComp">SimpleComposites!$B$50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6" i="25" l="1"/>
  <c r="H277" i="25"/>
  <c r="B17" i="17"/>
  <c r="B15" i="17" s="1"/>
  <c r="D20" i="25"/>
  <c r="B36" i="25"/>
  <c r="D36" i="25"/>
  <c r="C277" i="25"/>
  <c r="C276" i="25" s="1"/>
  <c r="C243" i="25"/>
  <c r="C248" i="25" s="1"/>
  <c r="I82" i="25"/>
  <c r="D101" i="25" s="1"/>
  <c r="B108" i="25" s="1"/>
  <c r="J102" i="25"/>
  <c r="B101" i="25" s="1"/>
  <c r="B265" i="25" l="1"/>
  <c r="C247" i="25"/>
  <c r="B261" i="25" s="1"/>
  <c r="M128" i="25"/>
  <c r="L120" i="25"/>
  <c r="L130" i="25" s="1"/>
  <c r="M117" i="25"/>
  <c r="M118" i="25" s="1"/>
  <c r="M119" i="25" s="1"/>
  <c r="M120" i="25" s="1"/>
  <c r="L116" i="25"/>
  <c r="L128" i="25" s="1"/>
  <c r="L118" i="25"/>
  <c r="B40" i="25"/>
  <c r="B42" i="25"/>
  <c r="B93" i="25"/>
  <c r="D83" i="25"/>
  <c r="D84" i="25" s="1"/>
  <c r="D82" i="25"/>
  <c r="D78" i="25"/>
  <c r="I80" i="25"/>
  <c r="I79" i="25" s="1"/>
  <c r="B45" i="25"/>
  <c r="F19" i="25"/>
  <c r="J21" i="25"/>
  <c r="B43" i="25" s="1"/>
  <c r="J22" i="25"/>
  <c r="D23" i="25" s="1"/>
  <c r="B35" i="25" s="1"/>
  <c r="C43" i="25"/>
  <c r="C42" i="25"/>
  <c r="C40" i="25"/>
  <c r="C35" i="25" l="1"/>
  <c r="D35" i="25" s="1"/>
  <c r="D31" i="25" s="1"/>
  <c r="C34" i="25"/>
  <c r="C244" i="25"/>
  <c r="B262" i="25"/>
  <c r="B263" i="25" s="1"/>
  <c r="B264" i="25" s="1"/>
  <c r="B260" i="25"/>
  <c r="C36" i="25"/>
  <c r="D29" i="25"/>
  <c r="C249" i="25"/>
  <c r="C250" i="25" s="1"/>
  <c r="L129" i="25"/>
  <c r="M129" i="25" s="1"/>
  <c r="M130" i="25" s="1"/>
  <c r="L119" i="25"/>
  <c r="L117" i="25"/>
  <c r="L121" i="25"/>
  <c r="M121" i="25"/>
  <c r="I81" i="25"/>
  <c r="I83" i="25"/>
  <c r="D21" i="25"/>
  <c r="B34" i="25" s="1"/>
  <c r="H26" i="25"/>
  <c r="H30" i="25" s="1"/>
  <c r="H31" i="25" s="1"/>
  <c r="D26" i="25"/>
  <c r="B52" i="25" l="1"/>
  <c r="D30" i="25"/>
  <c r="B51" i="25" s="1"/>
  <c r="D34" i="25"/>
  <c r="D28" i="25" s="1"/>
  <c r="B50" i="25" s="1"/>
  <c r="C257" i="25"/>
  <c r="D257" i="25"/>
  <c r="E273" i="25"/>
  <c r="C253" i="25"/>
  <c r="C261" i="25"/>
  <c r="C260" i="25"/>
  <c r="C273" i="25"/>
  <c r="D273" i="25" s="1"/>
  <c r="B259" i="25"/>
  <c r="D260" i="25"/>
  <c r="D261" i="25"/>
  <c r="D27" i="25"/>
  <c r="N37" i="16"/>
  <c r="B258" i="25" l="1"/>
  <c r="D259" i="25"/>
  <c r="D265" i="25"/>
  <c r="D263" i="25"/>
  <c r="D264" i="25"/>
  <c r="D262" i="25"/>
  <c r="C263" i="25"/>
  <c r="C264" i="25"/>
  <c r="C265" i="25"/>
  <c r="C262" i="25"/>
  <c r="C45" i="25"/>
  <c r="C259" i="25"/>
  <c r="E274" i="25"/>
  <c r="C274" i="25"/>
  <c r="D274" i="25" s="1"/>
  <c r="H273" i="25" s="1"/>
  <c r="C28" i="16"/>
  <c r="C24" i="16"/>
  <c r="N41" i="16"/>
  <c r="L41" i="16" s="1"/>
  <c r="L36" i="16"/>
  <c r="N36" i="16" s="1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G222" i="25"/>
  <c r="I222" i="25"/>
  <c r="I213" i="25"/>
  <c r="G213" i="25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22" i="25"/>
  <c r="H222" i="25" s="1"/>
  <c r="D214" i="25"/>
  <c r="H214" i="25" s="1"/>
  <c r="D215" i="25"/>
  <c r="H215" i="25" s="1"/>
  <c r="D213" i="25"/>
  <c r="H213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58" i="25" l="1"/>
  <c r="C25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K169" i="17"/>
  <c r="J169" i="17"/>
  <c r="K168" i="17"/>
  <c r="J168" i="17"/>
  <c r="K167" i="17"/>
  <c r="J167" i="17"/>
  <c r="K166" i="17"/>
  <c r="J166" i="17"/>
  <c r="K165" i="17"/>
  <c r="J165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9" i="17"/>
  <c r="H169" i="17"/>
  <c r="G169" i="17"/>
  <c r="F169" i="17"/>
  <c r="E169" i="17"/>
  <c r="D169" i="17"/>
  <c r="C169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5" i="17"/>
  <c r="C8" i="17"/>
  <c r="C2" i="17" s="1"/>
  <c r="C3" i="17" s="1"/>
  <c r="K8" i="17"/>
  <c r="K2" i="17" s="1"/>
  <c r="K4" i="17" s="1"/>
  <c r="K225" i="17"/>
  <c r="G8" i="17"/>
  <c r="G2" i="17" s="1"/>
  <c r="G7" i="17" s="1"/>
  <c r="I15" i="17"/>
  <c r="I16" i="17" s="1"/>
  <c r="I20" i="17" s="1"/>
  <c r="H164" i="17"/>
  <c r="I8" i="17"/>
  <c r="I2" i="17" s="1"/>
  <c r="I7" i="17" s="1"/>
  <c r="K18" i="17"/>
  <c r="H15" i="17"/>
  <c r="H16" i="17" s="1"/>
  <c r="H20" i="17" s="1"/>
  <c r="G164" i="17"/>
  <c r="I18" i="17"/>
  <c r="K50" i="17"/>
  <c r="E69" i="17"/>
  <c r="C15" i="17"/>
  <c r="C16" i="17" s="1"/>
  <c r="D70" i="17"/>
  <c r="D8" i="17"/>
  <c r="D2" i="17" s="1"/>
  <c r="D4" i="17" s="1"/>
  <c r="F50" i="17"/>
  <c r="G18" i="17"/>
  <c r="D164" i="17"/>
  <c r="C19" i="17"/>
  <c r="D225" i="17"/>
  <c r="J19" i="17"/>
  <c r="D50" i="17"/>
  <c r="K164" i="17"/>
  <c r="G15" i="17"/>
  <c r="G16" i="17" s="1"/>
  <c r="G20" i="17" s="1"/>
  <c r="J8" i="17"/>
  <c r="J2" i="17" s="1"/>
  <c r="J7" i="17" s="1"/>
  <c r="K15" i="17"/>
  <c r="K16" i="17" s="1"/>
  <c r="K29" i="17" s="1"/>
  <c r="J164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5" i="17"/>
  <c r="C105" i="17"/>
  <c r="C50" i="17"/>
  <c r="I225" i="17"/>
  <c r="I105" i="17"/>
  <c r="I50" i="17"/>
  <c r="G69" i="17"/>
  <c r="G58" i="17"/>
  <c r="E58" i="17"/>
  <c r="D69" i="17"/>
  <c r="D19" i="17"/>
  <c r="D59" i="17"/>
  <c r="D15" i="17"/>
  <c r="D16" i="17" s="1"/>
  <c r="E15" i="17"/>
  <c r="E16" i="17" s="1"/>
  <c r="E19" i="17"/>
  <c r="F19" i="17"/>
  <c r="F225" i="17"/>
  <c r="F105" i="17"/>
  <c r="F69" i="17"/>
  <c r="F58" i="17"/>
  <c r="F15" i="17"/>
  <c r="F16" i="17" s="1"/>
  <c r="H225" i="17"/>
  <c r="H105" i="17"/>
  <c r="H50" i="17"/>
  <c r="E225" i="17"/>
  <c r="E105" i="17"/>
  <c r="G225" i="17"/>
  <c r="E50" i="17"/>
  <c r="C164" i="17"/>
  <c r="I164" i="17"/>
  <c r="F164" i="17"/>
  <c r="E164" i="17"/>
  <c r="B11" i="17"/>
  <c r="B12" i="17"/>
  <c r="B18" i="17"/>
  <c r="G4" i="17" l="1"/>
  <c r="C4" i="17"/>
  <c r="C26" i="17" s="1"/>
  <c r="C28" i="17" s="1"/>
  <c r="C7" i="17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6" i="17"/>
  <c r="B8" i="17"/>
  <c r="G108" i="17" l="1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6" i="17" s="1"/>
  <c r="J71" i="17"/>
  <c r="J82" i="17" s="1"/>
  <c r="J60" i="17"/>
  <c r="J94" i="17"/>
  <c r="J128" i="17" s="1"/>
  <c r="J130" i="17" s="1"/>
  <c r="K71" i="17"/>
  <c r="K82" i="17" s="1"/>
  <c r="K60" i="17"/>
  <c r="I94" i="17"/>
  <c r="I186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6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9" i="17"/>
  <c r="B38" i="17"/>
  <c r="B105" i="17" s="1"/>
  <c r="B40" i="17"/>
  <c r="B42" i="17"/>
  <c r="B44" i="17"/>
  <c r="B48" i="17"/>
  <c r="B54" i="17" s="1"/>
  <c r="B57" i="17" s="1"/>
  <c r="B69" i="17" s="1"/>
  <c r="B55" i="17"/>
  <c r="B95" i="17"/>
  <c r="B166" i="17"/>
  <c r="B167" i="17"/>
  <c r="B168" i="17"/>
  <c r="B165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6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5" i="17"/>
  <c r="B2" i="17"/>
  <c r="B50" i="17"/>
  <c r="B58" i="17"/>
  <c r="B164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6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8" i="17" s="1"/>
  <c r="B45" i="17"/>
  <c r="B46" i="17" s="1"/>
  <c r="B35" i="17"/>
  <c r="B36" i="17" s="1"/>
  <c r="J45" i="17"/>
  <c r="J46" i="17" s="1"/>
  <c r="J35" i="17"/>
  <c r="J36" i="17" s="1"/>
  <c r="J34" i="17"/>
  <c r="J188" i="17" s="1"/>
  <c r="D34" i="17"/>
  <c r="D188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8" i="17" s="1"/>
  <c r="E34" i="17"/>
  <c r="E188" i="17" s="1"/>
  <c r="E35" i="17"/>
  <c r="E36" i="17" s="1"/>
  <c r="E45" i="17"/>
  <c r="E46" i="17" s="1"/>
  <c r="F45" i="17"/>
  <c r="F46" i="17" s="1"/>
  <c r="F35" i="17"/>
  <c r="F36" i="17" s="1"/>
  <c r="F34" i="17"/>
  <c r="F188" i="17" s="1"/>
  <c r="G35" i="17"/>
  <c r="G36" i="17" s="1"/>
  <c r="G34" i="17"/>
  <c r="G188" i="17" s="1"/>
  <c r="G45" i="17"/>
  <c r="G46" i="17" s="1"/>
  <c r="C45" i="17"/>
  <c r="C46" i="17" s="1"/>
  <c r="C35" i="17"/>
  <c r="C36" i="17" s="1"/>
  <c r="C34" i="17"/>
  <c r="C188" i="17" s="1"/>
  <c r="Z6" i="8"/>
  <c r="H34" i="17"/>
  <c r="H188" i="17" s="1"/>
  <c r="H35" i="17"/>
  <c r="H36" i="17" s="1"/>
  <c r="H45" i="17"/>
  <c r="H46" i="17" s="1"/>
  <c r="I45" i="17"/>
  <c r="I46" i="17" s="1"/>
  <c r="I34" i="17"/>
  <c r="I188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88" i="17" s="1"/>
  <c r="K66" i="17"/>
  <c r="K135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3" i="17"/>
  <c r="E203" i="17" s="1"/>
  <c r="E196" i="17"/>
  <c r="E206" i="17" s="1"/>
  <c r="E192" i="17"/>
  <c r="E202" i="17" s="1"/>
  <c r="E194" i="17"/>
  <c r="E204" i="17" s="1"/>
  <c r="E195" i="17"/>
  <c r="E205" i="17" s="1"/>
  <c r="E190" i="17"/>
  <c r="E200" i="17" s="1"/>
  <c r="E198" i="17"/>
  <c r="E208" i="17" s="1"/>
  <c r="E191" i="17"/>
  <c r="E201" i="17" s="1"/>
  <c r="E197" i="17"/>
  <c r="E207" i="17" s="1"/>
  <c r="D195" i="17"/>
  <c r="D205" i="17" s="1"/>
  <c r="D190" i="17"/>
  <c r="D200" i="17" s="1"/>
  <c r="D194" i="17"/>
  <c r="D204" i="17" s="1"/>
  <c r="D197" i="17"/>
  <c r="D207" i="17" s="1"/>
  <c r="D196" i="17"/>
  <c r="D206" i="17" s="1"/>
  <c r="D198" i="17"/>
  <c r="D208" i="17" s="1"/>
  <c r="D192" i="17"/>
  <c r="D202" i="17" s="1"/>
  <c r="D193" i="17"/>
  <c r="D203" i="17" s="1"/>
  <c r="D191" i="17"/>
  <c r="D201" i="17" s="1"/>
  <c r="D97" i="17"/>
  <c r="D96" i="17"/>
  <c r="J192" i="17"/>
  <c r="J202" i="17" s="1"/>
  <c r="J194" i="17"/>
  <c r="J204" i="17" s="1"/>
  <c r="J196" i="17"/>
  <c r="J206" i="17" s="1"/>
  <c r="J193" i="17"/>
  <c r="J203" i="17" s="1"/>
  <c r="J191" i="17"/>
  <c r="J201" i="17" s="1"/>
  <c r="J195" i="17"/>
  <c r="J205" i="17" s="1"/>
  <c r="J198" i="17"/>
  <c r="J208" i="17" s="1"/>
  <c r="J190" i="17"/>
  <c r="J200" i="17" s="1"/>
  <c r="J197" i="17"/>
  <c r="J207" i="17" s="1"/>
  <c r="J240" i="17"/>
  <c r="J228" i="17"/>
  <c r="G191" i="17"/>
  <c r="G201" i="17" s="1"/>
  <c r="G193" i="17"/>
  <c r="G203" i="17" s="1"/>
  <c r="G194" i="17"/>
  <c r="G204" i="17" s="1"/>
  <c r="G195" i="17"/>
  <c r="G205" i="17" s="1"/>
  <c r="G192" i="17"/>
  <c r="G202" i="17" s="1"/>
  <c r="G198" i="17"/>
  <c r="G208" i="17" s="1"/>
  <c r="G197" i="17"/>
  <c r="G207" i="17" s="1"/>
  <c r="G196" i="17"/>
  <c r="G206" i="17" s="1"/>
  <c r="G190" i="17"/>
  <c r="G200" i="17" s="1"/>
  <c r="G240" i="17"/>
  <c r="G228" i="17"/>
  <c r="H49" i="17"/>
  <c r="H51" i="17" s="1"/>
  <c r="C97" i="17"/>
  <c r="C96" i="17"/>
  <c r="G49" i="17"/>
  <c r="G51" i="17" s="1"/>
  <c r="I192" i="17"/>
  <c r="I202" i="17" s="1"/>
  <c r="I198" i="17"/>
  <c r="I208" i="17" s="1"/>
  <c r="I194" i="17"/>
  <c r="I204" i="17" s="1"/>
  <c r="I196" i="17"/>
  <c r="I206" i="17" s="1"/>
  <c r="I197" i="17"/>
  <c r="I207" i="17" s="1"/>
  <c r="I190" i="17"/>
  <c r="I200" i="17" s="1"/>
  <c r="I191" i="17"/>
  <c r="I201" i="17" s="1"/>
  <c r="I193" i="17"/>
  <c r="I203" i="17" s="1"/>
  <c r="I195" i="17"/>
  <c r="I205" i="17" s="1"/>
  <c r="I240" i="17"/>
  <c r="I228" i="17"/>
  <c r="K196" i="17"/>
  <c r="K206" i="17" s="1"/>
  <c r="K190" i="17"/>
  <c r="K200" i="17" s="1"/>
  <c r="K193" i="17"/>
  <c r="K203" i="17" s="1"/>
  <c r="K197" i="17"/>
  <c r="K207" i="17" s="1"/>
  <c r="K194" i="17"/>
  <c r="K204" i="17" s="1"/>
  <c r="K192" i="17"/>
  <c r="K202" i="17" s="1"/>
  <c r="K191" i="17"/>
  <c r="K201" i="17" s="1"/>
  <c r="K195" i="17"/>
  <c r="K205" i="17" s="1"/>
  <c r="K198" i="17"/>
  <c r="K208" i="17" s="1"/>
  <c r="K240" i="17"/>
  <c r="K228" i="17"/>
  <c r="F195" i="17"/>
  <c r="F205" i="17" s="1"/>
  <c r="F197" i="17"/>
  <c r="F207" i="17" s="1"/>
  <c r="F198" i="17"/>
  <c r="F208" i="17" s="1"/>
  <c r="F190" i="17"/>
  <c r="F200" i="17" s="1"/>
  <c r="F193" i="17"/>
  <c r="F203" i="17" s="1"/>
  <c r="F196" i="17"/>
  <c r="F206" i="17" s="1"/>
  <c r="F192" i="17"/>
  <c r="F202" i="17" s="1"/>
  <c r="F194" i="17"/>
  <c r="F204" i="17" s="1"/>
  <c r="F191" i="17"/>
  <c r="F201" i="17" s="1"/>
  <c r="H190" i="17"/>
  <c r="H200" i="17" s="1"/>
  <c r="H198" i="17"/>
  <c r="H208" i="17" s="1"/>
  <c r="H195" i="17"/>
  <c r="H205" i="17" s="1"/>
  <c r="H191" i="17"/>
  <c r="H201" i="17" s="1"/>
  <c r="H194" i="17"/>
  <c r="H204" i="17" s="1"/>
  <c r="H197" i="17"/>
  <c r="H207" i="17" s="1"/>
  <c r="H193" i="17"/>
  <c r="H203" i="17" s="1"/>
  <c r="H192" i="17"/>
  <c r="H202" i="17" s="1"/>
  <c r="H196" i="17"/>
  <c r="H206" i="17" s="1"/>
  <c r="H228" i="17"/>
  <c r="H240" i="17"/>
  <c r="C197" i="17"/>
  <c r="C207" i="17" s="1"/>
  <c r="C190" i="17"/>
  <c r="C200" i="17" s="1"/>
  <c r="C194" i="17"/>
  <c r="C204" i="17" s="1"/>
  <c r="C198" i="17"/>
  <c r="C208" i="17" s="1"/>
  <c r="C196" i="17"/>
  <c r="C206" i="17" s="1"/>
  <c r="C192" i="17"/>
  <c r="C202" i="17" s="1"/>
  <c r="C195" i="17"/>
  <c r="C205" i="17" s="1"/>
  <c r="C191" i="17"/>
  <c r="C201" i="17" s="1"/>
  <c r="C193" i="17"/>
  <c r="C203" i="17" s="1"/>
  <c r="AA10" i="8"/>
  <c r="B192" i="17"/>
  <c r="B202" i="17" s="1"/>
  <c r="B190" i="17"/>
  <c r="B200" i="17" s="1"/>
  <c r="B193" i="17"/>
  <c r="B203" i="17" s="1"/>
  <c r="B194" i="17"/>
  <c r="B204" i="17" s="1"/>
  <c r="B195" i="17"/>
  <c r="B205" i="17" s="1"/>
  <c r="B191" i="17"/>
  <c r="B201" i="17" s="1"/>
  <c r="B198" i="17"/>
  <c r="B208" i="17" s="1"/>
  <c r="B196" i="17"/>
  <c r="B197" i="17"/>
  <c r="B207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6" i="17"/>
  <c r="C94" i="17"/>
  <c r="C128" i="17"/>
  <c r="C138" i="17" s="1"/>
  <c r="C149" i="17" s="1"/>
  <c r="B206" i="17"/>
  <c r="K211" i="17"/>
  <c r="I211" i="17"/>
  <c r="J211" i="17"/>
  <c r="J220" i="17" s="1"/>
  <c r="H211" i="17"/>
  <c r="G211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B128" i="17" l="1"/>
  <c r="B94" i="17"/>
  <c r="I91" i="17"/>
  <c r="H222" i="17"/>
  <c r="I222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2" i="17"/>
  <c r="F93" i="17"/>
  <c r="F128" i="17" s="1"/>
  <c r="J222" i="17"/>
  <c r="I220" i="17"/>
  <c r="K215" i="17"/>
  <c r="K217" i="17"/>
  <c r="K219" i="17"/>
  <c r="K218" i="17"/>
  <c r="K213" i="17"/>
  <c r="K214" i="17"/>
  <c r="K216" i="17"/>
  <c r="K220" i="17"/>
  <c r="K221" i="17"/>
  <c r="H93" i="17"/>
  <c r="D128" i="17"/>
  <c r="D94" i="17"/>
  <c r="D186" i="17"/>
  <c r="K222" i="17"/>
  <c r="C228" i="17"/>
  <c r="C240" i="17"/>
  <c r="C211" i="17"/>
  <c r="C222" i="17" s="1"/>
  <c r="E93" i="17"/>
  <c r="G93" i="17"/>
  <c r="G217" i="17"/>
  <c r="G214" i="17"/>
  <c r="G218" i="17"/>
  <c r="G215" i="17"/>
  <c r="G213" i="17"/>
  <c r="G216" i="17"/>
  <c r="G219" i="17"/>
  <c r="G220" i="17"/>
  <c r="H217" i="17"/>
  <c r="H213" i="17"/>
  <c r="H218" i="17"/>
  <c r="H215" i="17"/>
  <c r="H214" i="17"/>
  <c r="H219" i="17"/>
  <c r="H216" i="17"/>
  <c r="H220" i="17"/>
  <c r="J216" i="17"/>
  <c r="J213" i="17"/>
  <c r="J215" i="17"/>
  <c r="J218" i="17"/>
  <c r="J214" i="17"/>
  <c r="J217" i="17"/>
  <c r="J219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186" i="17"/>
  <c r="I218" i="17"/>
  <c r="I213" i="17"/>
  <c r="I219" i="17"/>
  <c r="I214" i="17"/>
  <c r="I216" i="17"/>
  <c r="I215" i="17"/>
  <c r="I217" i="17"/>
  <c r="J138" i="17"/>
  <c r="J149" i="17" s="1"/>
  <c r="J221" i="17"/>
  <c r="J148" i="17"/>
  <c r="K150" i="17"/>
  <c r="F91" i="17"/>
  <c r="H221" i="17"/>
  <c r="H138" i="17"/>
  <c r="H91" i="17"/>
  <c r="I221" i="17"/>
  <c r="I138" i="17"/>
  <c r="I149" i="17" s="1"/>
  <c r="G221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41" i="17" l="1"/>
  <c r="B130" i="17"/>
  <c r="B178" i="4"/>
  <c r="C178" i="4"/>
  <c r="K151" i="17"/>
  <c r="K153" i="17"/>
  <c r="F186" i="17"/>
  <c r="F228" i="17" s="1"/>
  <c r="F94" i="17"/>
  <c r="K223" i="17"/>
  <c r="K224" i="17" s="1"/>
  <c r="K227" i="17" s="1"/>
  <c r="D240" i="17"/>
  <c r="D228" i="17"/>
  <c r="D211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40" i="17"/>
  <c r="B228" i="17"/>
  <c r="B211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3" i="17"/>
  <c r="H224" i="17" s="1"/>
  <c r="H227" i="17" s="1"/>
  <c r="F138" i="17"/>
  <c r="F149" i="17" s="1"/>
  <c r="I223" i="17"/>
  <c r="I224" i="17" s="1"/>
  <c r="I227" i="17" s="1"/>
  <c r="J223" i="17"/>
  <c r="J224" i="17" s="1"/>
  <c r="J227" i="17" s="1"/>
  <c r="E128" i="17"/>
  <c r="E94" i="17"/>
  <c r="E186" i="17"/>
  <c r="G223" i="17"/>
  <c r="G224" i="17" s="1"/>
  <c r="G227" i="17" s="1"/>
  <c r="C213" i="17"/>
  <c r="C216" i="17"/>
  <c r="C217" i="17"/>
  <c r="C218" i="17"/>
  <c r="C214" i="17"/>
  <c r="C215" i="17"/>
  <c r="C220" i="17"/>
  <c r="C219" i="17"/>
  <c r="C221" i="17"/>
  <c r="I153" i="17"/>
  <c r="J153" i="17"/>
  <c r="I151" i="17"/>
  <c r="J151" i="17"/>
  <c r="G149" i="17"/>
  <c r="G153" i="17" s="1"/>
  <c r="G151" i="17"/>
  <c r="H149" i="17"/>
  <c r="H153" i="17" s="1"/>
  <c r="H151" i="17"/>
  <c r="C150" i="17"/>
  <c r="C153" i="17" s="1"/>
  <c r="C151" i="17"/>
  <c r="B87" i="17"/>
  <c r="B77" i="17"/>
  <c r="B66" i="17"/>
  <c r="B133" i="17"/>
  <c r="B144" i="17" s="1"/>
  <c r="B131" i="17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I154" i="17" l="1"/>
  <c r="I152" i="17"/>
  <c r="C154" i="17"/>
  <c r="C152" i="17"/>
  <c r="G154" i="17"/>
  <c r="G152" i="17"/>
  <c r="H154" i="17"/>
  <c r="H152" i="17"/>
  <c r="J154" i="17"/>
  <c r="J152" i="17"/>
  <c r="K154" i="17"/>
  <c r="K152" i="17"/>
  <c r="B142" i="17"/>
  <c r="K155" i="17"/>
  <c r="F211" i="17"/>
  <c r="F218" i="17" s="1"/>
  <c r="F240" i="17"/>
  <c r="F153" i="17"/>
  <c r="C223" i="17"/>
  <c r="C224" i="17" s="1"/>
  <c r="C227" i="17" s="1"/>
  <c r="F151" i="17"/>
  <c r="B213" i="17"/>
  <c r="B214" i="17"/>
  <c r="B215" i="17"/>
  <c r="B217" i="17"/>
  <c r="B216" i="17"/>
  <c r="B219" i="17"/>
  <c r="E240" i="17"/>
  <c r="E228" i="17"/>
  <c r="E211" i="17"/>
  <c r="D141" i="17"/>
  <c r="D153" i="17" s="1"/>
  <c r="D151" i="17"/>
  <c r="D219" i="17"/>
  <c r="D218" i="17"/>
  <c r="D217" i="17"/>
  <c r="D216" i="17"/>
  <c r="D215" i="17"/>
  <c r="D214" i="17"/>
  <c r="D213" i="17"/>
  <c r="D220" i="17"/>
  <c r="D222" i="17"/>
  <c r="D221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B218" i="17"/>
  <c r="I155" i="17"/>
  <c r="J155" i="17"/>
  <c r="C155" i="17"/>
  <c r="G155" i="17"/>
  <c r="H155" i="17"/>
  <c r="B78" i="17"/>
  <c r="B67" i="17"/>
  <c r="B79" i="17" s="1"/>
  <c r="B88" i="17"/>
  <c r="B220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D154" i="17" l="1"/>
  <c r="D152" i="17"/>
  <c r="F154" i="17"/>
  <c r="F152" i="17"/>
  <c r="F216" i="17"/>
  <c r="F221" i="17"/>
  <c r="F222" i="17"/>
  <c r="F220" i="17"/>
  <c r="F213" i="17"/>
  <c r="F214" i="17"/>
  <c r="F219" i="17"/>
  <c r="F217" i="17"/>
  <c r="F215" i="17"/>
  <c r="F155" i="17"/>
  <c r="E218" i="17"/>
  <c r="E215" i="17"/>
  <c r="E219" i="17"/>
  <c r="E214" i="17"/>
  <c r="E213" i="17"/>
  <c r="E217" i="17"/>
  <c r="E216" i="17"/>
  <c r="E220" i="17"/>
  <c r="E221" i="17"/>
  <c r="E222" i="17"/>
  <c r="E141" i="17"/>
  <c r="E153" i="17" s="1"/>
  <c r="E151" i="17"/>
  <c r="T16" i="1"/>
  <c r="U16" i="1" s="1"/>
  <c r="V16" i="1" s="1"/>
  <c r="D223" i="17"/>
  <c r="D224" i="17" s="1"/>
  <c r="D227" i="17" s="1"/>
  <c r="D155" i="17"/>
  <c r="B89" i="17"/>
  <c r="B221" i="17" s="1"/>
  <c r="B90" i="17"/>
  <c r="B222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154" i="17" l="1"/>
  <c r="E152" i="17"/>
  <c r="F223" i="17"/>
  <c r="F224" i="17" s="1"/>
  <c r="F227" i="17" s="1"/>
  <c r="E223" i="17"/>
  <c r="E224" i="17" s="1"/>
  <c r="E227" i="17" s="1"/>
  <c r="E155" i="17"/>
  <c r="T17" i="1"/>
  <c r="B223" i="17"/>
  <c r="B91" i="17"/>
  <c r="B139" i="17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150" i="17" l="1"/>
  <c r="B224" i="17"/>
  <c r="B227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51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4" i="17" l="1"/>
  <c r="B152" i="17"/>
  <c r="B149" i="17"/>
  <c r="B153" i="17" s="1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5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2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1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2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<sst xmlns="http://schemas.openxmlformats.org/spreadsheetml/2006/main" count="1374" uniqueCount="878">
  <si>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</si>
  <si>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</si>
  <si>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</si>
  <si>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</si>
  <si>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</si>
  <si>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</si>
  <si>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</si>
  <si>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</si>
  <si>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</si>
  <si>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</si>
  <si>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</si>
  <si>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</si>
  <si>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</si>
  <si>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</si>
  <si>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</si>
  <si>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</si>
  <si>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</si>
  <si>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</si>
  <si>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</si>
  <si>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</si>
  <si>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</si>
  <si>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</si>
  <si>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</si>
  <si>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</si>
  <si>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</si>
  <si>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</si>
  <si>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</si>
  <si>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</si>
  <si>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</si>
  <si>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</si>
  <si>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</si>
  <si>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</si>
  <si>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</si>
  <si>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</si>
  <si>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</si>
  <si>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</si>
  <si>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</si>
  <si>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</si>
  <si>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</si>
  <si>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</si>
  <si>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</si>
  <si>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</si>
  <si>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</si>
  <si>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</si>
  <si>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</si>
  <si>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</si>
  <si>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</si>
  <si>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</si>
  <si>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</si>
  <si>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</si>
  <si>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</si>
  <si>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</si>
  <si>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</si>
  <si>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</si>
  <si>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</si>
  <si>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</si>
  <si>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</si>
  <si>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</si>
  <si>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</si>
  <si>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</si>
  <si>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</si>
  <si>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</si>
  <si>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</si>
  <si>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</si>
  <si>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</si>
  <si>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</si>
  <si>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</si>
  <si>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</si>
  <si>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</si>
  <si>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</si>
  <si>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</si>
  <si>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</si>
  <si>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</si>
  <si>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</si>
  <si>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</si>
  <si>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</si>
  <si>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</si>
  <si>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</si>
  <si>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</si>
  <si>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</si>
  <si>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</si>
  <si>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</si>
  <si>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</si>
  <si>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</si>
  <si>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</si>
  <si>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</si>
  <si>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</si>
  <si>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</si>
  <si>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</si>
  <si>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</si>
  <si>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</si>
  <si>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</si>
  <si>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</si>
  <si>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</si>
  <si>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</si>
  <si>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</si>
  <si>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</si>
  <si>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</si>
  <si>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</si>
  <si>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</si>
  <si>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</si>
  <si>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</si>
  <si>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</si>
  <si>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</si>
  <si>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</si>
  <si>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</si>
  <si>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</si>
  <si>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</si>
  <si>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</si>
  <si>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</si>
  <si>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</si>
  <si>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</si>
  <si>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</si>
  <si>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</si>
  <si>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</si>
  <si>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</si>
  <si>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</si>
  <si>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</si>
  <si>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</si>
  <si>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</si>
  <si>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</si>
  <si>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</si>
  <si>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</si>
  <si>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</si>
  <si>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</si>
  <si>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</si>
  <si>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</si>
  <si>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</si>
  <si>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</si>
  <si>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</si>
  <si>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</si>
  <si>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</si>
  <si>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</si>
  <si>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</si>
  <si>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</si>
  <si>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</si>
  <si>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</si>
  <si>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</si>
  <si>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</si>
  <si>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</si>
  <si>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</si>
  <si>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</si>
  <si>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</si>
  <si>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</si>
  <si>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</si>
  <si>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</si>
  <si>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</si>
  <si>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</si>
  <si>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</si>
  <si>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</si>
  <si>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</si>
  <si>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</si>
  <si>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</si>
  <si>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</si>
  <si>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</si>
  <si>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</si>
  <si>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</si>
  <si>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</si>
  <si>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</si>
  <si>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</si>
  <si>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</si>
  <si>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</si>
  <si>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</si>
  <si>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</si>
  <si>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</si>
  <si>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</si>
  <si>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</si>
  <si>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</si>
  <si>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</si>
  <si>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</si>
  <si>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</si>
  <si>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</si>
  <si>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</si>
  <si>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</si>
  <si>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</si>
  <si>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</si>
  <si>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</si>
  <si>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</si>
  <si>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</si>
  <si>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</si>
  <si>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</si>
  <si>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</si>
  <si>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</si>
  <si>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</si>
  <si>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</si>
  <si>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</si>
  <si>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</si>
  <si>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</si>
  <si>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</si>
  <si>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</si>
  <si>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</si>
  <si>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</si>
  <si>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</si>
  <si>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</si>
  <si>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</si>
  <si>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</si>
  <si>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</si>
  <si>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</si>
  <si>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</si>
  <si>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</si>
  <si>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</si>
  <si>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</si>
  <si>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</si>
  <si>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</si>
  <si>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</si>
  <si>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</si>
  <si>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</si>
  <si>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</si>
  <si>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</si>
  <si>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</si>
  <si>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</si>
  <si>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</si>
  <si>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</si>
  <si>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</si>
  <si>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</si>
  <si>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</si>
  <si>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</si>
  <si>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</si>
  <si>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</si>
  <si>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</si>
  <si>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</si>
  <si>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</si>
  <si>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</si>
  <si>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</si>
  <si>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</si>
  <si>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</si>
  <si>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</si>
  <si>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</si>
  <si>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</si>
  <si>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</si>
  <si>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</si>
  <si>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</si>
  <si>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</si>
  <si>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</si>
  <si>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</si>
  <si>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</si>
  <si>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</si>
  <si>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</si>
  <si>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</si>
  <si>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</si>
  <si>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</si>
  <si>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</si>
  <si>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</si>
  <si>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</si>
  <si>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</si>
  <si>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</si>
  <si>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</si>
  <si>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</si>
  <si>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</si>
  <si>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</si>
  <si>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</si>
  <si>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</si>
  <si>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</si>
  <si>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</si>
  <si>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</si>
  <si>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</si>
  <si>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</si>
  <si>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</si>
  <si>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</si>
  <si>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</si>
  <si>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</si>
  <si>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</si>
  <si>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</si>
  <si>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</si>
  <si>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</si>
  <si>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</si>
  <si>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</si>
  <si>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</si>
  <si>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</si>
  <si>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</si>
  <si>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</si>
  <si>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</si>
  <si>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</si>
  <si>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</si>
  <si>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</si>
  <si>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</si>
  <si>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</si>
  <si>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</si>
  <si>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</si>
  <si>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</si>
  <si>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</si>
  <si>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</si>
  <si>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</si>
  <si>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</si>
  <si>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</si>
  <si>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</si>
  <si>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</si>
  <si>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</si>
  <si>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</si>
  <si>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</si>
  <si>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</si>
  <si>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</si>
  <si>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</si>
  <si>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</si>
  <si>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</si>
  <si>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</si>
  <si>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</si>
  <si>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</si>
  <si>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</si>
  <si>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</si>
  <si>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</si>
  <si>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</si>
  <si>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</si>
  <si>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</si>
  <si>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</si>
  <si>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</si>
  <si>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</si>
  <si>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</si>
  <si>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</si>
  <si>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</si>
  <si>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</si>
  <si>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</si>
  <si>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</si>
  <si>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</si>
  <si>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</si>
  <si>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</si>
  <si>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</si>
  <si>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</si>
  <si>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</si>
  <si>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</si>
  <si>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</si>
  <si>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</si>
  <si>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</si>
  <si>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</si>
  <si>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</si>
  <si>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</si>
  <si>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</si>
  <si>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</si>
  <si>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</si>
  <si>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</si>
  <si>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</si>
  <si>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</si>
  <si>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</si>
  <si>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</si>
  <si>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</si>
  <si>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</si>
  <si>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</si>
  <si>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</si>
  <si>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</si>
  <si>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</si>
  <si>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</si>
  <si>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</si>
  <si>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</si>
  <si>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</si>
  <si>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</si>
  <si>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</si>
  <si>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</si>
  <si>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</si>
  <si>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</si>
  <si>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</si>
  <si>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</si>
  <si>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</si>
  <si>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</si>
  <si>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</si>
  <si>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</si>
  <si>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</si>
  <si>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</si>
  <si>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</si>
  <si>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</si>
  <si>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</si>
  <si>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</si>
  <si>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</si>
  <si>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</si>
  <si>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</si>
  <si>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</si>
  <si>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</si>
  <si>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</si>
  <si>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</si>
  <si>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</si>
  <si>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</si>
  <si>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</si>
  <si>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</si>
  <si>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</si>
  <si>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</si>
  <si>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</si>
  <si>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</si>
  <si>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</si>
  <si>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</si>
  <si>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</si>
  <si>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</si>
  <si>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</si>
  <si>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</si>
  <si>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</si>
  <si>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</si>
  <si>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</si>
  <si>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</si>
  <si>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</si>
  <si>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</si>
  <si>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</si>
  <si>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</si>
  <si>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</si>
  <si>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</si>
  <si>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</si>
  <si>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</si>
  <si>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</si>
  <si>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</si>
  <si>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</si>
  <si>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</si>
  <si>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</si>
  <si>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</si>
  <si>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</si>
  <si>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</si>
  <si>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</si>
  <si>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</si>
  <si>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</si>
  <si>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</si>
  <si>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</si>
  <si>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</si>
  <si>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</si>
  <si>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</si>
  <si>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</si>
  <si>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</si>
  <si>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</si>
  <si>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</si>
  <si>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</si>
  <si>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</si>
  <si>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</si>
  <si>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</si>
  <si>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</si>
  <si>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</si>
  <si>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</si>
  <si>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</si>
  <si>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</si>
  <si>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</si>
  <si>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</si>
  <si>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</si>
  <si>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</si>
  <si>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</si>
  <si>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</si>
  <si>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</si>
  <si>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</si>
  <si>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</si>
  <si>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</si>
  <si>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</si>
  <si>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</si>
  <si>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</si>
  <si>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</si>
  <si>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</si>
  <si>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</si>
  <si>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</si>
  <si>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</si>
  <si>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</si>
  <si>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</si>
  <si>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</si>
  <si>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</si>
  <si>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</si>
  <si>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</si>
  <si>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</si>
  <si>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</si>
  <si>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</si>
  <si>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</si>
  <si>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</si>
  <si>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</si>
  <si>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</si>
  <si>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</si>
  <si>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</si>
  <si>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</si>
  <si>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</si>
  <si>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</si>
  <si>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</si>
  <si>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</si>
  <si>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</si>
  <si>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</si>
  <si>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</si>
  <si>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</si>
  <si>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</si>
  <si>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</si>
  <si>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</si>
  <si>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</si>
  <si>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</si>
  <si>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</si>
  <si>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</si>
  <si>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</si>
  <si>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</si>
  <si>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</si>
  <si>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</si>
  <si>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</si>
  <si>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</si>
  <si>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</si>
  <si>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</si>
  <si>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</si>
  <si>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</si>
  <si>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</si>
  <si>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</si>
  <si>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</si>
  <si>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</si>
  <si>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</si>
  <si>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</si>
  <si>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</si>
  <si>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</si>
  <si>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</si>
  <si>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</si>
  <si>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</si>
  <si>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</si>
  <si>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</si>
  <si>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</si>
  <si>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</si>
  <si>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</si>
  <si>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</si>
  <si>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</si>
  <si>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</si>
  <si>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</si>
  <si>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</si>
  <si>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</si>
  <si>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</si>
  <si>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</si>
  <si>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</si>
  <si>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</si>
  <si>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</si>
  <si>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</si>
  <si>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</si>
  <si>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</si>
  <si>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</si>
  <si>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</si>
  <si>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</si>
  <si>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</si>
  <si>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</si>
  <si>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</si>
  <si>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</si>
  <si>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</si>
  <si>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</si>
  <si>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</si>
  <si>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</si>
  <si>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</si>
  <si>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</si>
  <si>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</si>
  <si>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</si>
  <si>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</si>
  <si>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</si>
  <si>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</si>
  <si>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</si>
  <si>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</si>
  <si>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</si>
  <si>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</si>
  <si>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</si>
  <si>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</si>
  <si>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</si>
  <si>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</si>
  <si>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</si>
  <si>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</si>
  <si>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</si>
  <si>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</si>
  <si>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</si>
  <si>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</si>
  <si>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</si>
  <si>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</si>
  <si>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</si>
  <si>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</si>
  <si>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</si>
  <si>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</si>
  <si>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</si>
  <si>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</si>
  <si>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</si>
  <si>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</si>
  <si>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</si>
  <si>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</si>
  <si>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</si>
  <si>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</si>
  <si>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</si>
  <si>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</si>
  <si>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</si>
  <si>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</si>
  <si>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</si>
  <si>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</si>
  <si>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</si>
  <si>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</si>
  <si>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</si>
  <si>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</si>
  <si>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</si>
  <si>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</si>
  <si>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</si>
  <si>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</si>
  <si>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</si>
  <si>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</si>
  <si>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</si>
  <si>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</si>
  <si>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</si>
  <si>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</si>
  <si>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</si>
  <si>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</si>
  <si>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</si>
  <si>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</si>
  <si>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</si>
  <si>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</si>
  <si>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</si>
  <si>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</si>
  <si>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</si>
  <si>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</si>
  <si>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</si>
  <si>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</si>
  <si>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</si>
  <si>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</si>
  <si>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</si>
  <si>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</si>
  <si>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</si>
  <si>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</si>
  <si>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</si>
  <si>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</si>
  <si>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</si>
  <si>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</si>
  <si>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</si>
  <si>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</si>
  <si>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</si>
  <si>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</si>
  <si>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</si>
  <si>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</si>
  <si>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</si>
  <si>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</si>
  <si>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</si>
  <si>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</si>
  <si>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</si>
  <si>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</si>
  <si>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</si>
  <si>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</si>
  <si>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</si>
  <si>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</si>
  <si>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</si>
  <si>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</si>
  <si>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</si>
  <si>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</si>
  <si>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</si>
  <si>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</si>
  <si>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</si>
  <si>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</si>
  <si>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</si>
  <si>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</si>
  <si>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</si>
  <si>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</si>
  <si>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</si>
  <si>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</si>
  <si>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</si>
  <si>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</si>
  <si>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</si>
  <si>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</si>
  <si>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</si>
  <si>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</si>
  <si>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</si>
  <si>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</si>
  <si>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</si>
  <si>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</si>
  <si>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</si>
  <si>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</si>
  <si>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</si>
  <si>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</si>
  <si>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</si>
  <si>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</si>
  <si>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</si>
  <si>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</si>
  <si>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</si>
  <si>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</si>
  <si>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</si>
  <si>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</si>
  <si>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</si>
  <si>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</si>
  <si>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</si>
  <si>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</si>
  <si>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</si>
  <si>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</si>
  <si>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</si>
  <si>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</si>
  <si>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</si>
  <si>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</si>
  <si>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</si>
  <si>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</si>
  <si>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</si>
  <si>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</si>
  <si>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</si>
  <si>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</si>
  <si>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</si>
  <si>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</si>
  <si>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</si>
  <si>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</si>
  <si>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</si>
  <si>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</si>
  <si>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</si>
  <si>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</si>
  <si>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</si>
  <si>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</si>
  <si>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</si>
  <si>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</si>
  <si>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</si>
  <si>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</si>
  <si>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</si>
  <si>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</si>
  <si>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</si>
  <si>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</si>
  <si>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</si>
  <si>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</si>
  <si>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</si>
  <si>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</si>
  <si>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</si>
  <si>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</si>
  <si>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</si>
  <si>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</si>
  <si>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</si>
  <si>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</si>
  <si>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</si>
  <si>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</si>
  <si>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</si>
  <si>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</si>
  <si>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</si>
  <si>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</si>
  <si>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</si>
  <si>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</si>
  <si>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</si>
  <si>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</si>
  <si>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</si>
  <si>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</si>
  <si>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</si>
  <si>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</si>
  <si>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</si>
  <si>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</si>
  <si>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</si>
  <si>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</si>
  <si>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</si>
  <si>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</si>
  <si>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</si>
  <si>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</si>
  <si>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</si>
  <si>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</si>
  <si>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</si>
  <si>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</si>
  <si>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</si>
  <si>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</si>
  <si>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</si>
  <si>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</si>
  <si>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</si>
  <si>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</si>
  <si>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</si>
  <si>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</si>
  <si>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</si>
  <si>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</si>
  <si>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</si>
  <si>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</si>
  <si>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</si>
  <si>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</si>
  <si>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</si>
  <si>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</si>
  <si>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</si>
  <si>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</si>
  <si>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</si>
  <si>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</si>
  <si>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</si>
  <si>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</si>
  <si>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</si>
  <si>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</si>
  <si>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</si>
  <si>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</si>
  <si>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</si>
  <si>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</si>
  <si>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</si>
  <si>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</si>
  <si>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</si>
  <si>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</si>
  <si>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</si>
  <si>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εcu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</si>
  <si>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</si>
  <si>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</si>
  <si>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</si>
  <si>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</si>
  <si>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</si>
  <si>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</si>
  <si>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</si>
  <si>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</si>
  <si>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</si>
  <si>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</si>
  <si>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</si>
  <si>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</si>
  <si>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</si>
  <si>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</si>
  <si>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</si>
  <si>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</si>
  <si>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</si>
  <si>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</si>
  <si>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</si>
  <si>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</si>
  <si>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</si>
  <si>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</si>
  <si>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</si>
  <si>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</si>
  <si>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</si>
  <si>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</si>
  <si>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</si>
  <si>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</si>
  <si>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</si>
  <si>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</si>
  <si>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</si>
  <si>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</si>
  <si>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</si>
  <si>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</si>
  <si>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</si>
  <si>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</si>
  <si>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</si>
  <si>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</si>
  <si>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</si>
  <si>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</si>
  <si>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</si>
  <si>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</si>
  <si>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</si>
  <si>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</si>
  <si>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</si>
  <si>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</si>
  <si>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</si>
  <si>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</si>
  <si>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</si>
  <si>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</si>
  <si>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</si>
  <si>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</si>
  <si>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</si>
  <si>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</si>
  <si>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</si>
  <si>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</si>
  <si>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</si>
  <si>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</si>
  <si>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</si>
  <si>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</si>
  <si>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</si>
  <si>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</si>
  <si>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</si>
  <si>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</si>
  <si>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</si>
  <si>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</si>
  <si>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</si>
  <si>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</si>
  <si>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</si>
  <si>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</si>
  <si>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w1</t>
  </si>
  <si>
    <t>w2</t>
  </si>
  <si>
    <t>x1</t>
  </si>
  <si>
    <t>x2</t>
  </si>
  <si>
    <t>Nn</t>
  </si>
  <si>
    <t>Nf</t>
  </si>
  <si>
    <t>Nm</t>
  </si>
  <si>
    <t>V(x1)</t>
  </si>
  <si>
    <t>V(x&gt;x1)</t>
  </si>
  <si>
    <t>x position</t>
  </si>
  <si>
    <t>Shear load</t>
  </si>
  <si>
    <t>Moment</t>
  </si>
  <si>
    <t>Lrocket</t>
  </si>
  <si>
    <t>CG loc</t>
  </si>
  <si>
    <t>Xn</t>
  </si>
  <si>
    <t>Mmax</t>
  </si>
  <si>
    <t>Stress due to bending</t>
  </si>
  <si>
    <t>t</t>
  </si>
  <si>
    <t>mm3</t>
  </si>
  <si>
    <t>Section modulus for tube</t>
  </si>
  <si>
    <t>StressMax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</si>
  <si>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</si>
  <si>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</si>
  <si>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</si>
  <si>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</si>
  <si>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</si>
  <si>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</si>
  <si>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</si>
  <si>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</si>
  <si>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</si>
  <si>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</si>
  <si>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</si>
  <si>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</si>
  <si>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</si>
  <si>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</si>
  <si>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</si>
  <si>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</si>
  <si>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</si>
  <si>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</si>
  <si>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</si>
  <si>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</si>
  <si>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</si>
  <si>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</si>
  <si>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</si>
  <si>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</si>
  <si>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</si>
  <si>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For</t>
  </si>
  <si>
    <t>T</t>
  </si>
  <si>
    <t>C</t>
  </si>
  <si>
    <t>CL per wing-fins 3D</t>
  </si>
  <si>
    <t>TOTAL Lift per fin(Newtons)</t>
  </si>
  <si>
    <t>TOTAL lift wing-fins (Newtons)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</si>
</sst>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0" fillId="2" borderId="34" xfId="0" applyFill="1" applyBorder="1"/>
    <xf numFmtId="9" fontId="0" fillId="0" borderId="34" xfId="2" applyFont="1" applyBorder="1" applyAlignment="1">
      <alignment horizontal="left"/>
    </xf>
    <xf numFmtId="165" fontId="0" fillId="29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4" fillId="3" borderId="0" xfId="0" applyFont="1" applyFill="1"/>
  </cellXfs>
  <cellStyles count="3">
    <cellStyle name="Hyperlink" xfId="1" builtinId="8"/>
    <cellStyle name="Normal" xfId="0" builtinId="0"/>
    <cellStyle name="Percent" xfId="2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392152"/>
        <c:axId val="420470832"/>
      </c:scatterChart>
      <c:valAx>
        <c:axId val="42039215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470832"/>
        <c:crosses val="autoZero"/>
        <c:crossBetween val="midCat"/>
        <c:majorUnit val="0.30000000000000004"/>
        <c:minorUnit val="0.30000000000000004"/>
      </c:valAx>
      <c:valAx>
        <c:axId val="4204708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39215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4248"/>
        <c:axId val="420000024"/>
      </c:scatterChart>
      <c:valAx>
        <c:axId val="2097042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000024"/>
        <c:crossesAt val="0"/>
        <c:crossBetween val="midCat"/>
      </c:valAx>
      <c:valAx>
        <c:axId val="4200000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970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55408"/>
        <c:axId val="421655792"/>
      </c:scatterChart>
      <c:valAx>
        <c:axId val="42165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792"/>
        <c:crosses val="autoZero"/>
        <c:crossBetween val="midCat"/>
      </c:valAx>
      <c:valAx>
        <c:axId val="42165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578984"/>
        <c:axId val="420579368"/>
      </c:scatterChart>
      <c:valAx>
        <c:axId val="420578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9368"/>
        <c:crosses val="autoZero"/>
        <c:crossBetween val="midCat"/>
      </c:valAx>
      <c:valAx>
        <c:axId val="42057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8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3752"/>
        <c:axId val="422614136"/>
      </c:scatterChart>
      <c:valAx>
        <c:axId val="422613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4136"/>
        <c:crosses val="autoZero"/>
        <c:crossBetween val="midCat"/>
      </c:valAx>
      <c:valAx>
        <c:axId val="4226141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3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128"/>
        <c:axId val="213064048"/>
      </c:scatterChart>
      <c:valAx>
        <c:axId val="21306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4048"/>
        <c:crosses val="autoZero"/>
        <c:crossBetween val="midCat"/>
      </c:valAx>
      <c:valAx>
        <c:axId val="21306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6008"/>
        <c:axId val="21305934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21306600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59344"/>
        <c:crosses val="autoZero"/>
        <c:crossBetween val="midCat"/>
      </c:valAx>
      <c:valAx>
        <c:axId val="21305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12816"/>
        <c:axId val="422427624"/>
      </c:scatterChart>
      <c:valAx>
        <c:axId val="21261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7624"/>
        <c:crosses val="autoZero"/>
        <c:crossBetween val="midCat"/>
      </c:valAx>
      <c:valAx>
        <c:axId val="42242762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61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800"/>
        <c:axId val="422433112"/>
      </c:scatterChart>
      <c:valAx>
        <c:axId val="42242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112"/>
        <c:crosses val="autoZero"/>
        <c:crossBetween val="midCat"/>
      </c:valAx>
      <c:valAx>
        <c:axId val="42243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0760"/>
        <c:axId val="422433504"/>
      </c:scatterChart>
      <c:valAx>
        <c:axId val="422430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504"/>
        <c:crosses val="autoZero"/>
        <c:crossBetween val="midCat"/>
      </c:valAx>
      <c:valAx>
        <c:axId val="4224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0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016"/>
        <c:axId val="422431152"/>
      </c:scatterChart>
      <c:valAx>
        <c:axId val="422428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152"/>
        <c:crosses val="autoZero"/>
        <c:crossBetween val="midCat"/>
      </c:valAx>
      <c:valAx>
        <c:axId val="42243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1936"/>
        <c:axId val="422433896"/>
      </c:scatterChart>
      <c:valAx>
        <c:axId val="42243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896"/>
        <c:crosses val="autoZero"/>
        <c:crossBetween val="midCat"/>
      </c:valAx>
      <c:valAx>
        <c:axId val="422433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408"/>
        <c:axId val="422429976"/>
      </c:scatterChart>
      <c:valAx>
        <c:axId val="422428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976"/>
        <c:crosses val="autoZero"/>
        <c:crossBetween val="midCat"/>
      </c:valAx>
      <c:valAx>
        <c:axId val="42242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8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9584"/>
        <c:axId val="422432328"/>
      </c:scatterChart>
      <c:valAx>
        <c:axId val="4224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32328"/>
        <c:crosses val="autoZero"/>
        <c:crossBetween val="midCat"/>
      </c:valAx>
      <c:valAx>
        <c:axId val="422432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SimpleComposites!$L$116:$L$121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SimpleComposites!$M$116:$M$121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2088"/>
        <c:axId val="213058952"/>
      </c:scatterChart>
      <c:valAx>
        <c:axId val="21306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58952"/>
        <c:crosses val="autoZero"/>
        <c:crossBetween val="midCat"/>
      </c:valAx>
      <c:valAx>
        <c:axId val="213058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SimpleComposites!$L$128:$L$130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SimpleComposites!$M$128:$M$130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912"/>
        <c:axId val="213061304"/>
      </c:scatterChart>
      <c:valAx>
        <c:axId val="21306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1304"/>
        <c:crosses val="autoZero"/>
        <c:crossBetween val="midCat"/>
      </c:valAx>
      <c:valAx>
        <c:axId val="213061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SimpleComposites!$C$256</c:f>
              <c:strCache>
                <c:ptCount val="1"/>
                <c:pt idx="0">
                  <c:v>Shear load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SimpleComposites!$C$257:$C$265</c:f>
              <c:numCache>
                <c:formatCode>General</c:formatCode>
                <c:ptCount val="9"/>
                <c:pt idx="0">
                  <c:v>15</c:v>
                </c:pt>
                <c:pt idx="1">
                  <c:v>43.03894015754414</c:v>
                </c:pt>
                <c:pt idx="2">
                  <c:v>63.655807920444254</c:v>
                </c:pt>
                <c:pt idx="3">
                  <c:v>84.27267568334436</c:v>
                </c:pt>
                <c:pt idx="4">
                  <c:v>104.88954344624449</c:v>
                </c:pt>
                <c:pt idx="5">
                  <c:v>-26.24920453099142</c:v>
                </c:pt>
                <c:pt idx="6">
                  <c:v>-157.38795250822727</c:v>
                </c:pt>
                <c:pt idx="7">
                  <c:v>-288.5267004854631</c:v>
                </c:pt>
                <c:pt idx="8">
                  <c:v>-407.42583198482396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90-42A9-BEB7-32B00628C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119680"/>
        <c:axId val="1349118240"/>
      </c:scatterChart>
      <c:valAx>
        <c:axId val="13491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8240"/>
        <c:crosses val="autoZero"/>
        <c:crossBetween val="midCat"/>
      </c:valAx>
      <c:valAx>
        <c:axId val="13491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SimpleComposites!$D$256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SimpleComposites!$D$257:$D$265</c:f>
              <c:numCache>
                <c:formatCode>General</c:formatCode>
                <c:ptCount val="9"/>
                <c:pt idx="0">
                  <c:v>12.174054245314897</c:v>
                </c:pt>
                <c:pt idx="1">
                  <c:v>16.254054245314897</c:v>
                </c:pt>
                <c:pt idx="2">
                  <c:v>19.254054245314897</c:v>
                </c:pt>
                <c:pt idx="3">
                  <c:v>22.254054245314897</c:v>
                </c:pt>
                <c:pt idx="4">
                  <c:v>25.254054245314897</c:v>
                </c:pt>
                <c:pt idx="5">
                  <c:v>58.169866361206687</c:v>
                </c:pt>
                <c:pt idx="6">
                  <c:v>44.397079583265395</c:v>
                </c:pt>
                <c:pt idx="7">
                  <c:v>10.953480608738573</c:v>
                </c:pt>
                <c:pt idx="8">
                  <c:v>-36.371291599241204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B9-438A-AB6F-5EE59A34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119680"/>
        <c:axId val="1349118240"/>
      </c:scatterChart>
      <c:valAx>
        <c:axId val="13491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8240"/>
        <c:crosses val="autoZero"/>
        <c:crossBetween val="midCat"/>
      </c:valAx>
      <c:valAx>
        <c:axId val="13491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2.0'!$A$173:$A$182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2.0'!$B$173:$B$182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1024"/>
        <c:axId val="424479064"/>
      </c:scatterChart>
      <c:valAx>
        <c:axId val="42448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064"/>
        <c:crosses val="autoZero"/>
        <c:crossBetween val="midCat"/>
      </c:valAx>
      <c:valAx>
        <c:axId val="42447906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2.0'!$A$229:$A$238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2.0'!$B$229:$B$238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7888"/>
        <c:axId val="424478672"/>
      </c:scatterChart>
      <c:valAx>
        <c:axId val="42447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672"/>
        <c:crosses val="autoZero"/>
        <c:crossBetween val="midCat"/>
      </c:valAx>
      <c:valAx>
        <c:axId val="4244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2.0'!$A$241:$A$250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2.0'!$B$241:$B$250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0240"/>
        <c:axId val="424475536"/>
      </c:scatterChart>
      <c:valAx>
        <c:axId val="42448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536"/>
        <c:crosses val="autoZero"/>
        <c:crossBetween val="midCat"/>
      </c:valAx>
      <c:valAx>
        <c:axId val="4244755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8280"/>
        <c:axId val="424474752"/>
      </c:scatterChart>
      <c:valAx>
        <c:axId val="4244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4752"/>
        <c:crosses val="autoZero"/>
        <c:crossBetween val="midCat"/>
      </c:valAx>
      <c:valAx>
        <c:axId val="42447475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5144"/>
        <c:axId val="424481808"/>
      </c:scatterChart>
      <c:valAx>
        <c:axId val="42447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808"/>
        <c:crosses val="autoZero"/>
        <c:crossBetween val="midCat"/>
      </c:valAx>
      <c:valAx>
        <c:axId val="4244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9456"/>
        <c:axId val="424475928"/>
      </c:scatterChart>
      <c:valAx>
        <c:axId val="42447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928"/>
        <c:crosses val="autoZero"/>
        <c:crossBetween val="midCat"/>
      </c:valAx>
      <c:valAx>
        <c:axId val="424475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1688"/>
        <c:axId val="421868552"/>
      </c:scatterChart>
      <c:valAx>
        <c:axId val="42187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552"/>
        <c:crosses val="autoZero"/>
        <c:crossBetween val="midCat"/>
      </c:valAx>
      <c:valAx>
        <c:axId val="42186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66200"/>
        <c:axId val="421867376"/>
      </c:scatterChart>
      <c:valAx>
        <c:axId val="42186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376"/>
        <c:crosses val="autoZero"/>
        <c:crossBetween val="midCat"/>
      </c:valAx>
      <c:valAx>
        <c:axId val="4218673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0120"/>
        <c:axId val="421872864"/>
      </c:scatterChart>
      <c:valAx>
        <c:axId val="42187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864"/>
        <c:crosses val="autoZero"/>
        <c:crossBetween val="midCat"/>
      </c:valAx>
      <c:valAx>
        <c:axId val="4218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0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7768"/>
        <c:axId val="42187364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8944"/>
        <c:axId val="421868160"/>
      </c:lineChart>
      <c:catAx>
        <c:axId val="42186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3648"/>
        <c:crosses val="autoZero"/>
        <c:auto val="1"/>
        <c:lblAlgn val="ctr"/>
        <c:lblOffset val="100"/>
        <c:noMultiLvlLbl val="0"/>
      </c:catAx>
      <c:valAx>
        <c:axId val="42187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768"/>
        <c:crosses val="autoZero"/>
        <c:crossBetween val="between"/>
      </c:valAx>
      <c:valAx>
        <c:axId val="4218681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944"/>
        <c:crosses val="max"/>
        <c:crossBetween val="between"/>
      </c:valAx>
      <c:catAx>
        <c:axId val="421868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186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2080"/>
        <c:axId val="421869336"/>
      </c:scatterChart>
      <c:valAx>
        <c:axId val="42187208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9336"/>
        <c:crosses val="autoZero"/>
        <c:crossBetween val="midCat"/>
      </c:valAx>
      <c:valAx>
        <c:axId val="421869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18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12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0" Type="http://schemas.openxmlformats.org/officeDocument/2006/relationships/image" Target="../media/image10.gif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4.xml"/><Relationship Id="rId7" Type="http://schemas.openxmlformats.org/officeDocument/2006/relationships/image" Target="../media/image15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8.xml"/><Relationship Id="rId7" Type="http://schemas.openxmlformats.org/officeDocument/2006/relationships/image" Target="../media/image23.png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9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168088</xdr:colOff>
      <xdr:row>20</xdr:row>
      <xdr:rowOff>3734</xdr:rowOff>
    </xdr:from>
    <xdr:to>
      <xdr:col>18</xdr:col>
      <xdr:colOff>302402</xdr:colOff>
      <xdr:row>38</xdr:row>
      <xdr:rowOff>146706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3029" y="2132852"/>
          <a:ext cx="4975255" cy="3504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138204</xdr:colOff>
      <xdr:row>31</xdr:row>
      <xdr:rowOff>34737</xdr:rowOff>
    </xdr:from>
    <xdr:to>
      <xdr:col>5</xdr:col>
      <xdr:colOff>306295</xdr:colOff>
      <xdr:row>46</xdr:row>
      <xdr:rowOff>110938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32</xdr:row>
      <xdr:rowOff>11206</xdr:rowOff>
    </xdr:from>
    <xdr:to>
      <xdr:col>9</xdr:col>
      <xdr:colOff>762000</xdr:colOff>
      <xdr:row>48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68</xdr:row>
      <xdr:rowOff>167340</xdr:rowOff>
    </xdr:from>
    <xdr:to>
      <xdr:col>8</xdr:col>
      <xdr:colOff>657411</xdr:colOff>
      <xdr:row>71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70995" y="11068173"/>
          <a:ext cx="5319472" cy="412876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62</xdr:row>
      <xdr:rowOff>0</xdr:rowOff>
    </xdr:from>
    <xdr:to>
      <xdr:col>16</xdr:col>
      <xdr:colOff>9730</xdr:colOff>
      <xdr:row>74</xdr:row>
      <xdr:rowOff>140468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68</xdr:row>
      <xdr:rowOff>97116</xdr:rowOff>
    </xdr:from>
    <xdr:to>
      <xdr:col>19</xdr:col>
      <xdr:colOff>131381</xdr:colOff>
      <xdr:row>80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113</xdr:row>
      <xdr:rowOff>17930</xdr:rowOff>
    </xdr:from>
    <xdr:to>
      <xdr:col>7</xdr:col>
      <xdr:colOff>549088</xdr:colOff>
      <xdr:row>127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72</xdr:row>
      <xdr:rowOff>144904</xdr:rowOff>
    </xdr:from>
    <xdr:to>
      <xdr:col>5</xdr:col>
      <xdr:colOff>30011</xdr:colOff>
      <xdr:row>74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71</xdr:row>
      <xdr:rowOff>77929</xdr:rowOff>
    </xdr:from>
    <xdr:to>
      <xdr:col>5</xdr:col>
      <xdr:colOff>323417</xdr:colOff>
      <xdr:row>76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72</xdr:row>
      <xdr:rowOff>167317</xdr:rowOff>
    </xdr:from>
    <xdr:to>
      <xdr:col>4</xdr:col>
      <xdr:colOff>728382</xdr:colOff>
      <xdr:row>74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70</xdr:row>
      <xdr:rowOff>5846</xdr:rowOff>
    </xdr:from>
    <xdr:to>
      <xdr:col>1</xdr:col>
      <xdr:colOff>537882</xdr:colOff>
      <xdr:row>73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69</xdr:row>
      <xdr:rowOff>177248</xdr:rowOff>
    </xdr:from>
    <xdr:to>
      <xdr:col>8</xdr:col>
      <xdr:colOff>373269</xdr:colOff>
      <xdr:row>73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66</xdr:row>
      <xdr:rowOff>156882</xdr:rowOff>
    </xdr:from>
    <xdr:to>
      <xdr:col>5</xdr:col>
      <xdr:colOff>224116</xdr:colOff>
      <xdr:row>70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128</xdr:row>
      <xdr:rowOff>67236</xdr:rowOff>
    </xdr:from>
    <xdr:to>
      <xdr:col>7</xdr:col>
      <xdr:colOff>537882</xdr:colOff>
      <xdr:row>143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91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95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100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66</xdr:row>
      <xdr:rowOff>179294</xdr:rowOff>
    </xdr:from>
    <xdr:to>
      <xdr:col>3</xdr:col>
      <xdr:colOff>638734</xdr:colOff>
      <xdr:row>70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67</xdr:row>
      <xdr:rowOff>0</xdr:rowOff>
    </xdr:from>
    <xdr:to>
      <xdr:col>4</xdr:col>
      <xdr:colOff>537882</xdr:colOff>
      <xdr:row>70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66</xdr:row>
      <xdr:rowOff>189038</xdr:rowOff>
    </xdr:from>
    <xdr:to>
      <xdr:col>8</xdr:col>
      <xdr:colOff>147624</xdr:colOff>
      <xdr:row>70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68</xdr:row>
      <xdr:rowOff>82153</xdr:rowOff>
    </xdr:from>
    <xdr:to>
      <xdr:col>9</xdr:col>
      <xdr:colOff>714703</xdr:colOff>
      <xdr:row>71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587868" y="10982986"/>
          <a:ext cx="630168" cy="577720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186765</xdr:colOff>
      <xdr:row>249</xdr:row>
      <xdr:rowOff>123106</xdr:rowOff>
    </xdr:from>
    <xdr:to>
      <xdr:col>15</xdr:col>
      <xdr:colOff>170364</xdr:colOff>
      <xdr:row>270</xdr:row>
      <xdr:rowOff>171822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EF3524-37E8-E441-96E2-6EBAF48A0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1706" y="45992518"/>
          <a:ext cx="3076423" cy="39707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433295</xdr:colOff>
      <xdr:row>250</xdr:row>
      <xdr:rowOff>44824</xdr:rowOff>
    </xdr:from>
    <xdr:to>
      <xdr:col>19</xdr:col>
      <xdr:colOff>541212</xdr:colOff>
      <xdr:row>257</xdr:row>
      <xdr:rowOff>128316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F91A5ED-87A6-3300-8947-4D05A30A0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91060" y="46101000"/>
          <a:ext cx="2438740" cy="1390844"/>
        </a:xfrm>
        <a:prstGeom prst="rect">
          <a:avLst/>
        </a:prstGeom>
      </xdr:spPr>
    </xdr:pic>
    <xdr:clientData/>
  </xdr:twoCellAnchor>
  <xdr:twoCellAnchor>
    <xdr:from>
      <xdr:col>4</xdr:col>
      <xdr:colOff>41088</xdr:colOff>
      <xdr:row>241</xdr:row>
      <xdr:rowOff>100105</xdr:rowOff>
    </xdr:from>
    <xdr:to>
      <xdr:col>9</xdr:col>
      <xdr:colOff>687293</xdr:colOff>
      <xdr:row>255</xdr:row>
      <xdr:rowOff>179294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48EA33C-1D53-A21F-6465-A03FB9D20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44823</xdr:colOff>
      <xdr:row>256</xdr:row>
      <xdr:rowOff>22412</xdr:rowOff>
    </xdr:from>
    <xdr:to>
      <xdr:col>9</xdr:col>
      <xdr:colOff>691028</xdr:colOff>
      <xdr:row>270</xdr:row>
      <xdr:rowOff>101600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67EB3F-5085-4AB8-BFB4-EA3BC66B6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171</xdr:row>
      <xdr:rowOff>14941</xdr:rowOff>
    </xdr:from>
    <xdr:to>
      <xdr:col>10</xdr:col>
      <xdr:colOff>709705</xdr:colOff>
      <xdr:row>182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228</xdr:row>
      <xdr:rowOff>33617</xdr:rowOff>
    </xdr:from>
    <xdr:to>
      <xdr:col>9</xdr:col>
      <xdr:colOff>907676</xdr:colOff>
      <xdr:row>238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240</xdr:row>
      <xdr:rowOff>56030</xdr:rowOff>
    </xdr:from>
    <xdr:to>
      <xdr:col>9</xdr:col>
      <xdr:colOff>907676</xdr:colOff>
      <xdr:row>250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10" dataDxfId="9">
  <autoFilter ref="B76:G81" xr:uid="{00000000-0009-0000-0100-000001000000}"/>
  <tableColumns count="6">
    <tableColumn id="1" xr3:uid="{00000000-0010-0000-0000-000001000000}" name="Fin type" dataDxfId="8"/>
    <tableColumn id="2" xr3:uid="{00000000-0010-0000-0000-000002000000}" name="Sweeped" dataDxfId="7">
      <calculatedColumnFormula>I64</calculatedColumnFormula>
    </tableColumn>
    <tableColumn id="3" xr3:uid="{00000000-0010-0000-0000-000003000000}" name="Tapered 1/4" dataDxfId="6">
      <calculatedColumnFormula>K64</calculatedColumnFormula>
    </tableColumn>
    <tableColumn id="4" xr3:uid="{00000000-0010-0000-0000-000004000000}" name="Tapered sweeped" dataDxfId="5"/>
    <tableColumn id="5" xr3:uid="{00000000-0010-0000-0000-000005000000}" name="Column4" dataDxfId="4"/>
    <tableColumn id="6" xr3:uid="{00000000-0010-0000-0000-000006000000}" name="Column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7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7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7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80" t="s">
        <v>113</v>
      </c>
      <c r="D243" s="381"/>
      <c r="E243" s="381"/>
      <c r="F243" s="381"/>
      <c r="G243" s="38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80" t="s">
        <v>123</v>
      </c>
      <c r="D247" s="381"/>
      <c r="E247" s="381"/>
      <c r="F247" s="381"/>
      <c r="G247" s="38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4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7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79"/>
      <c r="B264" s="158" t="s">
        <v>136</v>
      </c>
      <c r="L264" s="149"/>
    </row>
    <row r="265" spans="1:12" ht="13" thickBot="1">
      <c r="A265" s="37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03" t="s">
        <v>182</v>
      </c>
      <c r="C2" s="405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5" t="s">
        <v>185</v>
      </c>
      <c r="D12" s="386"/>
      <c r="E12" s="386"/>
      <c r="F12" s="386"/>
      <c r="G12" s="387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5" t="s">
        <v>189</v>
      </c>
      <c r="P12" s="386"/>
      <c r="Q12" s="386"/>
      <c r="R12" s="386"/>
      <c r="S12" s="387"/>
      <c r="T12" s="1" t="s">
        <v>186</v>
      </c>
      <c r="U12" s="1" t="s">
        <v>187</v>
      </c>
      <c r="V12" s="1" t="s">
        <v>188</v>
      </c>
    </row>
    <row r="13" spans="2:22">
      <c r="B13" s="400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0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1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01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01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01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01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01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01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01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01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01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01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01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01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01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01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01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01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420" t="s">
        <v>191</v>
      </c>
      <c r="C23" s="65"/>
      <c r="D23" s="64" t="s">
        <v>186</v>
      </c>
      <c r="E23" s="64"/>
      <c r="F23" s="64"/>
      <c r="G23" s="64"/>
      <c r="K23" s="398"/>
      <c r="N23" s="419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20"/>
      <c r="C24" s="66" t="s">
        <v>193</v>
      </c>
      <c r="D24" s="1">
        <f>(F25/2)/(F26)</f>
        <v>0.13333333333333333</v>
      </c>
      <c r="K24" s="398"/>
      <c r="N24" s="420"/>
      <c r="O24" s="66" t="s">
        <v>193</v>
      </c>
      <c r="P24" s="1" t="s">
        <v>194</v>
      </c>
    </row>
    <row r="25" spans="2:22">
      <c r="B25" s="420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8"/>
      <c r="N25" s="420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420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8"/>
      <c r="N26" s="420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88" t="s">
        <v>200</v>
      </c>
      <c r="D27" s="388"/>
      <c r="E27" s="388"/>
      <c r="F27" s="388"/>
      <c r="G27" s="388"/>
      <c r="L27" s="63"/>
      <c r="M27" s="63"/>
      <c r="N27" s="2" t="s">
        <v>199</v>
      </c>
      <c r="O27" s="388" t="s">
        <v>200</v>
      </c>
      <c r="P27" s="388"/>
      <c r="Q27" s="388"/>
      <c r="R27" s="388"/>
      <c r="S27" s="388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0" t="s">
        <v>203</v>
      </c>
      <c r="C31" s="403"/>
      <c r="D31" s="404"/>
      <c r="E31" s="404"/>
      <c r="F31" s="404"/>
      <c r="G31" s="405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01"/>
      <c r="C32" s="406"/>
      <c r="D32" s="395"/>
      <c r="E32" s="395"/>
      <c r="F32" s="395"/>
      <c r="G32" s="40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01"/>
      <c r="C33" s="406"/>
      <c r="D33" s="395"/>
      <c r="E33" s="395"/>
      <c r="F33" s="395"/>
      <c r="G33" s="40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01"/>
      <c r="C34" s="406"/>
      <c r="D34" s="395"/>
      <c r="E34" s="395"/>
      <c r="F34" s="395"/>
      <c r="G34" s="40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01"/>
      <c r="C35" s="406"/>
      <c r="D35" s="395"/>
      <c r="E35" s="395"/>
      <c r="F35" s="395"/>
      <c r="G35" s="40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01"/>
      <c r="C36" s="406"/>
      <c r="D36" s="395"/>
      <c r="E36" s="395"/>
      <c r="F36" s="395"/>
      <c r="G36" s="40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01"/>
      <c r="C37" s="406"/>
      <c r="D37" s="395"/>
      <c r="E37" s="395"/>
      <c r="F37" s="395"/>
      <c r="G37" s="40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01"/>
      <c r="C38" s="406"/>
      <c r="D38" s="395"/>
      <c r="E38" s="395"/>
      <c r="F38" s="395"/>
      <c r="G38" s="40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401"/>
      <c r="C39" s="406"/>
      <c r="D39" s="395"/>
      <c r="E39" s="395"/>
      <c r="F39" s="395"/>
      <c r="G39" s="40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2"/>
      <c r="C40" s="408"/>
      <c r="D40" s="409"/>
      <c r="E40" s="409"/>
      <c r="F40" s="409"/>
      <c r="G40" s="41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88" t="s">
        <v>191</v>
      </c>
      <c r="C41" s="1" t="s">
        <v>204</v>
      </c>
      <c r="H41" s="12"/>
    </row>
    <row r="42" spans="2:24">
      <c r="B42" s="39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5" t="s">
        <v>206</v>
      </c>
      <c r="D44" s="395"/>
      <c r="E44" s="395"/>
      <c r="F44" s="395"/>
      <c r="G44" s="395"/>
    </row>
    <row r="45" spans="2:24">
      <c r="B45" s="395" t="s">
        <v>201</v>
      </c>
    </row>
    <row r="46" spans="2:24">
      <c r="B46" s="395"/>
    </row>
    <row r="47" spans="2:24" ht="15" thickBot="1">
      <c r="B47" s="395"/>
    </row>
    <row r="48" spans="2:24" ht="15" customHeight="1" thickBot="1">
      <c r="K48" s="396" t="s">
        <v>207</v>
      </c>
      <c r="L48" s="397"/>
      <c r="W48" s="398" t="s">
        <v>207</v>
      </c>
      <c r="X48" s="398"/>
    </row>
    <row r="49" spans="2:24" ht="15" thickBot="1">
      <c r="B49" s="8" t="s">
        <v>184</v>
      </c>
      <c r="C49" s="396" t="s">
        <v>208</v>
      </c>
      <c r="D49" s="399"/>
      <c r="E49" s="399"/>
      <c r="F49" s="399"/>
      <c r="G49" s="397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6" t="s">
        <v>212</v>
      </c>
      <c r="P49" s="399"/>
      <c r="Q49" s="399"/>
      <c r="R49" s="399"/>
      <c r="S49" s="397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0" t="s">
        <v>214</v>
      </c>
      <c r="C50" s="403"/>
      <c r="D50" s="404"/>
      <c r="E50" s="404"/>
      <c r="F50" s="404"/>
      <c r="G50" s="405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0" t="s">
        <v>214</v>
      </c>
      <c r="O50" s="403"/>
      <c r="P50" s="404"/>
      <c r="Q50" s="404"/>
      <c r="R50" s="404"/>
      <c r="S50" s="405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01"/>
      <c r="C51" s="406"/>
      <c r="D51" s="395"/>
      <c r="E51" s="395"/>
      <c r="F51" s="395"/>
      <c r="G51" s="40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01"/>
      <c r="O51" s="406"/>
      <c r="P51" s="395"/>
      <c r="Q51" s="395"/>
      <c r="R51" s="395"/>
      <c r="S51" s="40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01"/>
      <c r="C52" s="406"/>
      <c r="D52" s="395"/>
      <c r="E52" s="395"/>
      <c r="F52" s="395"/>
      <c r="G52" s="40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01"/>
      <c r="O52" s="406"/>
      <c r="P52" s="395"/>
      <c r="Q52" s="395"/>
      <c r="R52" s="395"/>
      <c r="S52" s="40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01"/>
      <c r="C53" s="406"/>
      <c r="D53" s="395"/>
      <c r="E53" s="395"/>
      <c r="F53" s="395"/>
      <c r="G53" s="40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01"/>
      <c r="O53" s="406"/>
      <c r="P53" s="395"/>
      <c r="Q53" s="395"/>
      <c r="R53" s="395"/>
      <c r="S53" s="40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01"/>
      <c r="C54" s="406"/>
      <c r="D54" s="395"/>
      <c r="E54" s="395"/>
      <c r="F54" s="395"/>
      <c r="G54" s="40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01"/>
      <c r="O54" s="406"/>
      <c r="P54" s="395"/>
      <c r="Q54" s="395"/>
      <c r="R54" s="395"/>
      <c r="S54" s="40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01"/>
      <c r="C55" s="406"/>
      <c r="D55" s="395"/>
      <c r="E55" s="395"/>
      <c r="F55" s="395"/>
      <c r="G55" s="40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01"/>
      <c r="O55" s="406"/>
      <c r="P55" s="395"/>
      <c r="Q55" s="395"/>
      <c r="R55" s="395"/>
      <c r="S55" s="40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01"/>
      <c r="C56" s="406"/>
      <c r="D56" s="395"/>
      <c r="E56" s="395"/>
      <c r="F56" s="395"/>
      <c r="G56" s="40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01"/>
      <c r="O56" s="406"/>
      <c r="P56" s="395"/>
      <c r="Q56" s="395"/>
      <c r="R56" s="395"/>
      <c r="S56" s="40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01"/>
      <c r="C57" s="406"/>
      <c r="D57" s="395"/>
      <c r="E57" s="395"/>
      <c r="F57" s="395"/>
      <c r="G57" s="40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01"/>
      <c r="O57" s="406"/>
      <c r="P57" s="395"/>
      <c r="Q57" s="395"/>
      <c r="R57" s="395"/>
      <c r="S57" s="40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01"/>
      <c r="C58" s="406"/>
      <c r="D58" s="395"/>
      <c r="E58" s="395"/>
      <c r="F58" s="395"/>
      <c r="G58" s="40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01"/>
      <c r="O58" s="406"/>
      <c r="P58" s="395"/>
      <c r="Q58" s="395"/>
      <c r="R58" s="395"/>
      <c r="S58" s="40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2"/>
      <c r="C59" s="411"/>
      <c r="D59" s="412"/>
      <c r="E59" s="412"/>
      <c r="F59" s="412"/>
      <c r="G59" s="413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2"/>
      <c r="O59" s="408"/>
      <c r="P59" s="409"/>
      <c r="Q59" s="409"/>
      <c r="R59" s="409"/>
      <c r="S59" s="41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4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9" t="s">
        <v>218</v>
      </c>
      <c r="I60" s="390"/>
      <c r="J60" s="391"/>
      <c r="K60" s="81" t="s">
        <v>219</v>
      </c>
      <c r="L60" s="57">
        <f>K67^2/K68</f>
        <v>1.1707317073170729</v>
      </c>
      <c r="N60" s="388" t="s">
        <v>191</v>
      </c>
      <c r="O60" s="1" t="s">
        <v>220</v>
      </c>
    </row>
    <row r="61" spans="2:24" ht="16.149999999999999" customHeight="1" thickBot="1">
      <c r="B61" s="415"/>
      <c r="C61" s="80" t="s">
        <v>221</v>
      </c>
      <c r="D61" s="82">
        <f>-I50+D60*H50</f>
        <v>23.499999999999979</v>
      </c>
      <c r="E61" s="77"/>
      <c r="F61" s="61"/>
      <c r="G61" s="62"/>
      <c r="H61" s="392"/>
      <c r="I61" s="393"/>
      <c r="J61" s="394"/>
      <c r="K61" s="80"/>
      <c r="L61" s="62"/>
      <c r="N61" s="388"/>
    </row>
    <row r="62" spans="2:24" ht="27.65" customHeight="1">
      <c r="B62" s="415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8"/>
    </row>
    <row r="63" spans="2:24" ht="27.65" customHeight="1">
      <c r="B63" s="415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8"/>
    </row>
    <row r="64" spans="2:24">
      <c r="B64" s="416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8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7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7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5"/>
    </row>
    <row r="67" spans="2:19">
      <c r="B67" s="417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18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88" t="s">
        <v>237</v>
      </c>
      <c r="D69" s="388"/>
      <c r="E69" s="388"/>
      <c r="F69" s="388"/>
      <c r="G69" s="388"/>
      <c r="N69" s="2" t="s">
        <v>199</v>
      </c>
      <c r="O69" s="395" t="s">
        <v>238</v>
      </c>
      <c r="P69" s="395"/>
      <c r="Q69" s="395"/>
      <c r="R69" s="395"/>
      <c r="S69" s="395"/>
    </row>
    <row r="70" spans="2:19">
      <c r="B70" s="395" t="s">
        <v>201</v>
      </c>
      <c r="C70" s="65"/>
      <c r="D70" s="64"/>
      <c r="E70" s="64"/>
      <c r="F70" s="64"/>
      <c r="G70" s="93"/>
      <c r="N70" s="395" t="s">
        <v>201</v>
      </c>
    </row>
    <row r="71" spans="2:19">
      <c r="B71" s="395"/>
      <c r="C71" s="66"/>
      <c r="G71" s="94"/>
      <c r="N71" s="395"/>
    </row>
    <row r="72" spans="2:19">
      <c r="B72" s="395"/>
      <c r="C72" s="67"/>
      <c r="D72" s="68"/>
      <c r="E72" s="68"/>
      <c r="F72" s="68"/>
      <c r="G72" s="95"/>
      <c r="N72" s="395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0" t="s">
        <v>246</v>
      </c>
      <c r="C88" s="403"/>
      <c r="D88" s="404"/>
      <c r="E88" s="404"/>
      <c r="F88" s="404"/>
      <c r="G88" s="405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01"/>
      <c r="C89" s="406"/>
      <c r="D89" s="395"/>
      <c r="E89" s="395"/>
      <c r="F89" s="395"/>
      <c r="G89" s="40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01"/>
      <c r="C90" s="406"/>
      <c r="D90" s="395"/>
      <c r="E90" s="395"/>
      <c r="F90" s="395"/>
      <c r="G90" s="40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01"/>
      <c r="C91" s="406"/>
      <c r="D91" s="395"/>
      <c r="E91" s="395"/>
      <c r="F91" s="395"/>
      <c r="G91" s="40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01"/>
      <c r="C92" s="406"/>
      <c r="D92" s="395"/>
      <c r="E92" s="395"/>
      <c r="F92" s="395"/>
      <c r="G92" s="40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01"/>
      <c r="C93" s="406"/>
      <c r="D93" s="395"/>
      <c r="E93" s="395"/>
      <c r="F93" s="395"/>
      <c r="G93" s="40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01"/>
      <c r="C94" s="406"/>
      <c r="D94" s="395"/>
      <c r="E94" s="395"/>
      <c r="F94" s="395"/>
      <c r="G94" s="40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01"/>
      <c r="C95" s="406"/>
      <c r="D95" s="395"/>
      <c r="E95" s="395"/>
      <c r="F95" s="395"/>
      <c r="G95" s="40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01"/>
      <c r="C96" s="406"/>
      <c r="D96" s="395"/>
      <c r="E96" s="395"/>
      <c r="F96" s="395"/>
      <c r="G96" s="40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2"/>
      <c r="C97" s="408"/>
      <c r="D97" s="409"/>
      <c r="E97" s="409"/>
      <c r="F97" s="409"/>
      <c r="G97" s="41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88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9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95" t="s">
        <v>249</v>
      </c>
      <c r="D101" s="395"/>
      <c r="E101" s="395"/>
      <c r="F101" s="395"/>
      <c r="G101" s="395"/>
    </row>
    <row r="102" spans="2:10">
      <c r="B102" s="395" t="s">
        <v>201</v>
      </c>
    </row>
    <row r="103" spans="2:10">
      <c r="B103" s="395"/>
    </row>
    <row r="104" spans="2:10">
      <c r="B104" s="395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4" t="s">
        <v>252</v>
      </c>
      <c r="U15" s="425"/>
      <c r="V15" s="426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7" t="s">
        <v>252</v>
      </c>
      <c r="U23" s="428"/>
      <c r="V23" s="42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30" t="s">
        <v>712</v>
      </c>
      <c r="L33" s="431"/>
      <c r="M33" s="431"/>
      <c r="N33" s="431"/>
      <c r="O33" s="431"/>
      <c r="P33" s="431"/>
      <c r="Q33" s="431"/>
      <c r="R33" s="431"/>
      <c r="S33" s="43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30" t="s">
        <v>713</v>
      </c>
      <c r="L44" s="431"/>
      <c r="M44" s="431"/>
      <c r="N44" s="431"/>
      <c r="O44" s="431"/>
      <c r="P44" s="431"/>
      <c r="Q44" s="431"/>
      <c r="R44" s="431"/>
      <c r="S44" s="432"/>
    </row>
    <row r="45" spans="2:19" ht="15" thickBot="1">
      <c r="B45" s="421" t="s">
        <v>311</v>
      </c>
      <c r="C45" s="422"/>
      <c r="D45" s="422"/>
      <c r="E45" s="422"/>
      <c r="F45" s="42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282"/>
  <sheetViews>
    <sheetView tabSelected="1" view="pageBreakPreview" topLeftCell="A264" zoomScale="90" zoomScaleNormal="100" zoomScaleSheetLayoutView="90" workbookViewId="0">
      <selection activeCell="I276" sqref="I276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714</v>
      </c>
      <c r="F2" s="351"/>
    </row>
    <row r="3" spans="2:13">
      <c r="E3" s="433" t="s">
        <v>728</v>
      </c>
      <c r="F3" s="433"/>
      <c r="G3" s="433"/>
      <c r="H3" s="433"/>
    </row>
    <row r="4" spans="2:13">
      <c r="E4" s="433"/>
      <c r="F4" s="433"/>
      <c r="G4" s="433"/>
      <c r="H4" s="433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758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748</v>
      </c>
    </row>
    <row r="17" spans="2:13">
      <c r="B17" s="358" t="s">
        <v>743</v>
      </c>
      <c r="C17" s="186"/>
      <c r="D17" s="186"/>
      <c r="H17" t="s">
        <v>731</v>
      </c>
      <c r="J17" t="s">
        <v>732</v>
      </c>
    </row>
    <row r="18" spans="2:13">
      <c r="B18" t="s">
        <v>716</v>
      </c>
      <c r="D18" s="14">
        <v>1790</v>
      </c>
      <c r="E18" t="s">
        <v>314</v>
      </c>
      <c r="F18" s="359">
        <v>0.55000000000000004</v>
      </c>
      <c r="G18" t="s">
        <v>856</v>
      </c>
      <c r="H18">
        <v>219</v>
      </c>
      <c r="I18" t="s">
        <v>729</v>
      </c>
      <c r="J18" s="362">
        <v>1.4999999999999999E-2</v>
      </c>
      <c r="L18" t="s">
        <v>847</v>
      </c>
      <c r="M18" t="s">
        <v>851</v>
      </c>
    </row>
    <row r="19" spans="2:13">
      <c r="B19" s="186" t="s">
        <v>717</v>
      </c>
      <c r="C19" s="186"/>
      <c r="D19" s="376">
        <v>1090</v>
      </c>
      <c r="E19" s="186" t="s">
        <v>314</v>
      </c>
      <c r="F19" s="377">
        <f>1-F18</f>
        <v>0.44999999999999996</v>
      </c>
      <c r="G19" s="186" t="s">
        <v>857</v>
      </c>
      <c r="H19" s="186"/>
      <c r="I19" s="186" t="s">
        <v>755</v>
      </c>
      <c r="J19" s="186"/>
      <c r="L19" t="s">
        <v>848</v>
      </c>
      <c r="M19" t="s">
        <v>850</v>
      </c>
    </row>
    <row r="20" spans="2:13">
      <c r="B20" t="s">
        <v>863</v>
      </c>
      <c r="D20" s="190">
        <f>(H18/J18)/1000</f>
        <v>14.6</v>
      </c>
      <c r="E20" t="s">
        <v>749</v>
      </c>
      <c r="F20" s="357"/>
      <c r="G20" t="s">
        <v>858</v>
      </c>
      <c r="H20">
        <v>1.34</v>
      </c>
      <c r="I20" t="s">
        <v>730</v>
      </c>
      <c r="J20" s="363">
        <v>1.9E-2</v>
      </c>
      <c r="L20" t="s">
        <v>849</v>
      </c>
      <c r="M20" t="s">
        <v>852</v>
      </c>
    </row>
    <row r="21" spans="2:13">
      <c r="B21" s="186" t="s">
        <v>864</v>
      </c>
      <c r="C21" s="186"/>
      <c r="D21" s="277">
        <f>(H21/J21)/1000</f>
        <v>0.155</v>
      </c>
      <c r="E21" s="186" t="s">
        <v>749</v>
      </c>
      <c r="G21" t="s">
        <v>859</v>
      </c>
      <c r="H21">
        <v>4.34</v>
      </c>
      <c r="I21" t="s">
        <v>741</v>
      </c>
      <c r="J21" s="363">
        <f>2.8/100</f>
        <v>2.7999999999999997E-2</v>
      </c>
    </row>
    <row r="22" spans="2:13">
      <c r="B22" t="s">
        <v>865</v>
      </c>
      <c r="D22" s="378">
        <v>0</v>
      </c>
      <c r="E22" t="s">
        <v>749</v>
      </c>
      <c r="G22" t="s">
        <v>860</v>
      </c>
      <c r="H22">
        <v>12.39</v>
      </c>
      <c r="I22" t="s">
        <v>742</v>
      </c>
      <c r="J22" s="363">
        <f>0.4/100</f>
        <v>4.0000000000000001E-3</v>
      </c>
    </row>
    <row r="23" spans="2:13">
      <c r="B23" t="s">
        <v>866</v>
      </c>
      <c r="D23" s="190">
        <f>(H22/J22)/1000</f>
        <v>3.0975000000000001</v>
      </c>
      <c r="E23" t="s">
        <v>749</v>
      </c>
    </row>
    <row r="25" spans="2:13">
      <c r="B25" s="186" t="s">
        <v>727</v>
      </c>
      <c r="C25" s="186"/>
      <c r="D25" s="186"/>
      <c r="G25" s="186" t="s">
        <v>733</v>
      </c>
      <c r="H25" s="186"/>
    </row>
    <row r="26" spans="2:13">
      <c r="B26" t="s">
        <v>718</v>
      </c>
      <c r="D26">
        <f>D18*(F18)+D19*(F19)</f>
        <v>1475</v>
      </c>
      <c r="E26" t="s">
        <v>314</v>
      </c>
      <c r="G26" t="s">
        <v>736</v>
      </c>
      <c r="H26" s="281">
        <f>H27/(H28+H27)</f>
        <v>0.8771929824561403</v>
      </c>
    </row>
    <row r="27" spans="2:13">
      <c r="B27" t="s">
        <v>867</v>
      </c>
      <c r="D27">
        <f>D20*F18+D21*F19</f>
        <v>8.099750000000002</v>
      </c>
      <c r="E27" t="s">
        <v>749</v>
      </c>
      <c r="G27" t="s">
        <v>734</v>
      </c>
      <c r="H27" s="281">
        <v>100</v>
      </c>
      <c r="I27" t="s">
        <v>737</v>
      </c>
    </row>
    <row r="28" spans="2:13">
      <c r="B28" t="s">
        <v>853</v>
      </c>
      <c r="D28">
        <f>IF(J20=J18,C34,IF(J20&lt;J18,B34,D34))</f>
        <v>121.49625</v>
      </c>
      <c r="E28" t="s">
        <v>731</v>
      </c>
      <c r="G28" t="s">
        <v>735</v>
      </c>
      <c r="H28" s="281">
        <v>14</v>
      </c>
      <c r="I28" t="s">
        <v>737</v>
      </c>
    </row>
    <row r="29" spans="2:13">
      <c r="B29" t="s">
        <v>854</v>
      </c>
      <c r="D29">
        <f>H18*F18+H21*F19</f>
        <v>122.40300000000001</v>
      </c>
      <c r="E29" t="s">
        <v>731</v>
      </c>
      <c r="G29" s="263" t="s">
        <v>738</v>
      </c>
      <c r="H29" s="360">
        <v>1000</v>
      </c>
      <c r="I29" s="263" t="s">
        <v>737</v>
      </c>
      <c r="J29" s="263"/>
    </row>
    <row r="30" spans="2:13">
      <c r="B30" t="s">
        <v>869</v>
      </c>
      <c r="D30">
        <f>D31*0.45</f>
        <v>2.508975</v>
      </c>
      <c r="E30" t="s">
        <v>870</v>
      </c>
      <c r="H30" s="361">
        <f>H29*H26</f>
        <v>877.19298245614027</v>
      </c>
      <c r="I30" t="s">
        <v>739</v>
      </c>
    </row>
    <row r="31" spans="2:13">
      <c r="B31" t="s">
        <v>855</v>
      </c>
      <c r="D31">
        <f>IF(J20=J18,C35,IF(J20&lt;J18,B35,D35))</f>
        <v>5.5754999999999999</v>
      </c>
      <c r="E31" t="s">
        <v>731</v>
      </c>
      <c r="H31" s="361">
        <f>H29-H30</f>
        <v>122.80701754385973</v>
      </c>
      <c r="I31" t="s">
        <v>740</v>
      </c>
    </row>
    <row r="33" spans="2:5">
      <c r="B33" t="s">
        <v>754</v>
      </c>
    </row>
    <row r="34" spans="2:5">
      <c r="B34">
        <f>(F18*(D20/D21)+(1-F18))*H20</f>
        <v>70.023645161290332</v>
      </c>
      <c r="C34">
        <f>F18*H18+F19*H20</f>
        <v>121.053</v>
      </c>
      <c r="D34">
        <f>(F18+F19*(D21/D20))*H18</f>
        <v>121.49625</v>
      </c>
      <c r="E34" t="s">
        <v>861</v>
      </c>
    </row>
    <row r="35" spans="2:5">
      <c r="B35">
        <f>(F18*(D22/D23)+(1-F18))*H22</f>
        <v>5.5754999999999999</v>
      </c>
      <c r="C35">
        <f>F18*H19+F19*H22</f>
        <v>5.5754999999999999</v>
      </c>
      <c r="D35">
        <f>C35</f>
        <v>5.5754999999999999</v>
      </c>
      <c r="E35" t="s">
        <v>862</v>
      </c>
    </row>
    <row r="36" spans="2:5">
      <c r="B36" s="363">
        <f>J20</f>
        <v>1.9E-2</v>
      </c>
      <c r="C36" s="365">
        <f>F18*J18+F19*J20</f>
        <v>1.6799999999999999E-2</v>
      </c>
      <c r="D36" s="363">
        <f>J18</f>
        <v>1.4999999999999999E-2</v>
      </c>
    </row>
    <row r="37" spans="2:5">
      <c r="B37" t="s">
        <v>750</v>
      </c>
      <c r="C37" t="s">
        <v>751</v>
      </c>
      <c r="D37" t="s">
        <v>752</v>
      </c>
    </row>
    <row r="38" spans="2:5">
      <c r="B38" t="s">
        <v>254</v>
      </c>
      <c r="C38" t="s">
        <v>255</v>
      </c>
    </row>
    <row r="39" spans="2:5">
      <c r="B39" s="364">
        <v>0</v>
      </c>
      <c r="C39">
        <v>0</v>
      </c>
      <c r="D39" t="s">
        <v>744</v>
      </c>
    </row>
    <row r="40" spans="2:5">
      <c r="B40" s="364">
        <f>J18</f>
        <v>1.4999999999999999E-2</v>
      </c>
      <c r="C40">
        <f>H18</f>
        <v>219</v>
      </c>
    </row>
    <row r="41" spans="2:5">
      <c r="B41" s="364">
        <v>0</v>
      </c>
      <c r="C41">
        <v>0</v>
      </c>
      <c r="D41" t="s">
        <v>745</v>
      </c>
    </row>
    <row r="42" spans="2:5">
      <c r="B42" s="364">
        <f>J20</f>
        <v>1.9E-2</v>
      </c>
      <c r="C42">
        <f>H20</f>
        <v>1.34</v>
      </c>
      <c r="D42" t="s">
        <v>746</v>
      </c>
    </row>
    <row r="43" spans="2:5">
      <c r="B43" s="364">
        <f>J21</f>
        <v>2.7999999999999997E-2</v>
      </c>
      <c r="C43">
        <f>H21</f>
        <v>4.34</v>
      </c>
      <c r="D43" t="s">
        <v>747</v>
      </c>
    </row>
    <row r="44" spans="2:5">
      <c r="B44" s="364">
        <v>0</v>
      </c>
      <c r="C44">
        <v>0</v>
      </c>
      <c r="D44" t="s">
        <v>753</v>
      </c>
    </row>
    <row r="45" spans="2:5">
      <c r="B45" s="364">
        <f>IF(J20=J18,C36,IF(J20&lt;J18,B36,D36))</f>
        <v>1.4999999999999999E-2</v>
      </c>
      <c r="C45">
        <f>D28</f>
        <v>121.49625</v>
      </c>
    </row>
    <row r="49" spans="2:4">
      <c r="B49" s="186" t="s">
        <v>756</v>
      </c>
      <c r="C49" s="186"/>
      <c r="D49" s="186"/>
    </row>
    <row r="50" spans="2:4">
      <c r="B50">
        <f>D28</f>
        <v>121.49625</v>
      </c>
      <c r="C50" t="s">
        <v>853</v>
      </c>
    </row>
    <row r="51" spans="2:4">
      <c r="B51">
        <f>D30</f>
        <v>2.508975</v>
      </c>
      <c r="C51" t="s">
        <v>869</v>
      </c>
    </row>
    <row r="52" spans="2:4">
      <c r="B52">
        <f>D31</f>
        <v>5.5754999999999999</v>
      </c>
      <c r="C52" t="s">
        <v>868</v>
      </c>
    </row>
    <row r="63" spans="2:4">
      <c r="B63" s="186" t="s">
        <v>706</v>
      </c>
      <c r="C63" s="186"/>
      <c r="D63" s="186"/>
    </row>
    <row r="64" spans="2:4">
      <c r="B64" t="s">
        <v>803</v>
      </c>
    </row>
    <row r="65" spans="2:10">
      <c r="D65" s="368"/>
    </row>
    <row r="66" spans="2:10">
      <c r="D66" s="368"/>
    </row>
    <row r="67" spans="2:10">
      <c r="D67" s="368"/>
    </row>
    <row r="68" spans="2:10">
      <c r="D68" s="368"/>
    </row>
    <row r="76" spans="2:10">
      <c r="B76" s="306" t="s">
        <v>784</v>
      </c>
      <c r="G76" s="306" t="s">
        <v>785</v>
      </c>
    </row>
    <row r="77" spans="2:10">
      <c r="B77" t="s">
        <v>775</v>
      </c>
      <c r="D77">
        <v>3.5</v>
      </c>
      <c r="E77" t="s">
        <v>759</v>
      </c>
      <c r="G77" t="s">
        <v>205</v>
      </c>
      <c r="I77">
        <v>1620</v>
      </c>
      <c r="J77" t="s">
        <v>227</v>
      </c>
    </row>
    <row r="78" spans="2:10">
      <c r="D78" s="281">
        <f>D77*25.4</f>
        <v>88.899999999999991</v>
      </c>
      <c r="E78" t="s">
        <v>227</v>
      </c>
      <c r="G78" t="s">
        <v>226</v>
      </c>
      <c r="I78">
        <v>1.8</v>
      </c>
      <c r="J78" t="s">
        <v>227</v>
      </c>
    </row>
    <row r="79" spans="2:10">
      <c r="B79" t="s">
        <v>776</v>
      </c>
      <c r="D79" t="s">
        <v>763</v>
      </c>
      <c r="G79" t="s">
        <v>707</v>
      </c>
      <c r="I79">
        <f>I80+2*2</f>
        <v>77.024999999999991</v>
      </c>
      <c r="J79" t="s">
        <v>227</v>
      </c>
    </row>
    <row r="80" spans="2:10">
      <c r="B80" t="s">
        <v>783</v>
      </c>
      <c r="D80">
        <v>20</v>
      </c>
      <c r="E80" t="s">
        <v>780</v>
      </c>
      <c r="G80" t="s">
        <v>708</v>
      </c>
      <c r="I80">
        <f>25.4*2.875</f>
        <v>73.024999999999991</v>
      </c>
      <c r="J80" t="s">
        <v>227</v>
      </c>
    </row>
    <row r="81" spans="2:12">
      <c r="B81" t="s">
        <v>779</v>
      </c>
      <c r="D81">
        <v>100</v>
      </c>
      <c r="E81" t="s">
        <v>780</v>
      </c>
      <c r="G81" t="s">
        <v>709</v>
      </c>
      <c r="I81">
        <f>(I79+I80)*0.5</f>
        <v>75.024999999999991</v>
      </c>
      <c r="J81" t="s">
        <v>227</v>
      </c>
    </row>
    <row r="82" spans="2:12">
      <c r="D82">
        <f>CONVERT(D81,"C","F")</f>
        <v>212</v>
      </c>
      <c r="E82" t="s">
        <v>781</v>
      </c>
      <c r="G82" t="s">
        <v>323</v>
      </c>
      <c r="I82">
        <f>1620/2</f>
        <v>810</v>
      </c>
      <c r="J82" t="s">
        <v>227</v>
      </c>
      <c r="L82" t="s">
        <v>799</v>
      </c>
    </row>
    <row r="83" spans="2:12">
      <c r="B83" t="s">
        <v>777</v>
      </c>
      <c r="D83">
        <f>VLOOKUP(D79,B228:C234,2,)</f>
        <v>23.2</v>
      </c>
      <c r="E83" t="s">
        <v>782</v>
      </c>
      <c r="G83" t="s">
        <v>757</v>
      </c>
      <c r="I83">
        <f>((PI()*I79^2)/4)-((PI()*I80^2)/4)</f>
        <v>471.39597767114901</v>
      </c>
      <c r="L83" t="s">
        <v>800</v>
      </c>
    </row>
    <row r="84" spans="2:12">
      <c r="B84" t="s">
        <v>778</v>
      </c>
      <c r="D84">
        <f>D78+((D81-D80)*(D83/1000))</f>
        <v>90.755999999999986</v>
      </c>
      <c r="E84" t="s">
        <v>227</v>
      </c>
      <c r="L84" t="s">
        <v>801</v>
      </c>
    </row>
    <row r="85" spans="2:12">
      <c r="G85" t="s">
        <v>825</v>
      </c>
    </row>
    <row r="88" spans="2:12">
      <c r="L88" t="s">
        <v>802</v>
      </c>
    </row>
    <row r="89" spans="2:12">
      <c r="B89" s="306" t="s">
        <v>786</v>
      </c>
    </row>
    <row r="90" spans="2:12">
      <c r="B90" s="186" t="s">
        <v>805</v>
      </c>
      <c r="C90" s="186" t="s">
        <v>804</v>
      </c>
      <c r="D90" s="186" t="s">
        <v>788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787</v>
      </c>
      <c r="D91" t="s">
        <v>789</v>
      </c>
      <c r="E91" t="s">
        <v>790</v>
      </c>
      <c r="L91" t="s">
        <v>816</v>
      </c>
    </row>
    <row r="92" spans="2:12">
      <c r="B92">
        <v>6</v>
      </c>
      <c r="D92">
        <v>0</v>
      </c>
      <c r="E92" t="s">
        <v>791</v>
      </c>
    </row>
    <row r="93" spans="2:12">
      <c r="B93">
        <f>2.5*9.81</f>
        <v>24.525000000000002</v>
      </c>
      <c r="D93">
        <v>0</v>
      </c>
      <c r="E93" t="s">
        <v>792</v>
      </c>
      <c r="I93" s="306" t="s">
        <v>817</v>
      </c>
      <c r="J93" s="306">
        <v>4.62</v>
      </c>
    </row>
    <row r="94" spans="2:12">
      <c r="E94" t="s">
        <v>793</v>
      </c>
      <c r="I94" s="306" t="s">
        <v>817</v>
      </c>
      <c r="J94" s="306">
        <v>4.62</v>
      </c>
    </row>
    <row r="95" spans="2:12">
      <c r="E95" t="s">
        <v>794</v>
      </c>
      <c r="I95" s="306" t="s">
        <v>817</v>
      </c>
      <c r="J95" s="306">
        <v>4.62</v>
      </c>
      <c r="K95" t="s">
        <v>88</v>
      </c>
      <c r="L95" t="s">
        <v>818</v>
      </c>
    </row>
    <row r="96" spans="2:12">
      <c r="D96" t="s">
        <v>88</v>
      </c>
      <c r="E96" t="s">
        <v>795</v>
      </c>
    </row>
    <row r="98" spans="2:10">
      <c r="B98" s="186" t="s">
        <v>806</v>
      </c>
      <c r="C98" s="186" t="s">
        <v>804</v>
      </c>
      <c r="D98" s="186" t="s">
        <v>234</v>
      </c>
      <c r="E98" s="186" t="s">
        <v>409</v>
      </c>
      <c r="F98" s="186"/>
      <c r="G98" s="186"/>
      <c r="H98" s="186"/>
      <c r="I98" s="186"/>
      <c r="J98" s="186"/>
    </row>
    <row r="99" spans="2:10">
      <c r="B99" t="s">
        <v>787</v>
      </c>
      <c r="C99" t="s">
        <v>810</v>
      </c>
      <c r="D99" t="s">
        <v>789</v>
      </c>
      <c r="E99" t="s">
        <v>790</v>
      </c>
    </row>
    <row r="100" spans="2:10">
      <c r="B100" s="281">
        <v>2</v>
      </c>
      <c r="C100" s="371" t="s">
        <v>809</v>
      </c>
      <c r="D100">
        <v>87</v>
      </c>
      <c r="E100" t="s">
        <v>796</v>
      </c>
    </row>
    <row r="101" spans="2:10">
      <c r="B101" s="281">
        <f>J101*J102</f>
        <v>7</v>
      </c>
      <c r="C101" s="369" t="s">
        <v>194</v>
      </c>
      <c r="D101">
        <f>I82</f>
        <v>810</v>
      </c>
      <c r="E101" t="s">
        <v>798</v>
      </c>
      <c r="I101" s="306" t="s">
        <v>820</v>
      </c>
      <c r="J101" s="306">
        <v>4.62</v>
      </c>
    </row>
    <row r="102" spans="2:10">
      <c r="B102" s="281">
        <v>5</v>
      </c>
      <c r="C102" s="372" t="s">
        <v>809</v>
      </c>
      <c r="D102">
        <v>1500</v>
      </c>
      <c r="E102" t="s">
        <v>797</v>
      </c>
      <c r="I102" s="375" t="s">
        <v>819</v>
      </c>
      <c r="J102" s="281">
        <f>(B102+B100)/J101</f>
        <v>1.5151515151515151</v>
      </c>
    </row>
    <row r="103" spans="2:10">
      <c r="C103" s="374" t="s">
        <v>194</v>
      </c>
      <c r="E103" t="s">
        <v>813</v>
      </c>
      <c r="I103" s="306" t="s">
        <v>817</v>
      </c>
      <c r="J103" s="306">
        <v>0.2</v>
      </c>
    </row>
    <row r="104" spans="2:10">
      <c r="C104" s="370" t="s">
        <v>194</v>
      </c>
      <c r="E104" t="s">
        <v>814</v>
      </c>
      <c r="I104" s="306" t="s">
        <v>817</v>
      </c>
      <c r="J104" s="306">
        <v>1.1000000000000001</v>
      </c>
    </row>
    <row r="105" spans="2:10">
      <c r="C105" s="373" t="s">
        <v>194</v>
      </c>
      <c r="E105" t="s">
        <v>815</v>
      </c>
      <c r="I105" s="306" t="s">
        <v>817</v>
      </c>
      <c r="J105" s="306">
        <v>1.2</v>
      </c>
    </row>
    <row r="107" spans="2:10">
      <c r="B107" t="s">
        <v>823</v>
      </c>
    </row>
    <row r="108" spans="2:10">
      <c r="B108">
        <f>(-B100*(D101-D100))+(B102*(D102-D101))</f>
        <v>2004</v>
      </c>
      <c r="C108" t="s">
        <v>824</v>
      </c>
    </row>
    <row r="114" spans="12:14">
      <c r="L114" t="s">
        <v>811</v>
      </c>
    </row>
    <row r="115" spans="12:14">
      <c r="L115" t="s">
        <v>807</v>
      </c>
      <c r="M115" t="s">
        <v>822</v>
      </c>
    </row>
    <row r="116" spans="12:14">
      <c r="L116">
        <f>D100</f>
        <v>87</v>
      </c>
      <c r="M116">
        <v>0</v>
      </c>
    </row>
    <row r="117" spans="12:14">
      <c r="L117">
        <f>L116</f>
        <v>87</v>
      </c>
      <c r="M117">
        <f>B100</f>
        <v>2</v>
      </c>
      <c r="N117" t="s">
        <v>808</v>
      </c>
    </row>
    <row r="118" spans="12:14">
      <c r="L118">
        <f>D101</f>
        <v>810</v>
      </c>
      <c r="M118">
        <f>M117</f>
        <v>2</v>
      </c>
    </row>
    <row r="119" spans="12:14">
      <c r="L119">
        <f>L118</f>
        <v>810</v>
      </c>
      <c r="M119">
        <f>M118-B101</f>
        <v>-5</v>
      </c>
    </row>
    <row r="120" spans="12:14">
      <c r="L120">
        <f>D102</f>
        <v>1500</v>
      </c>
      <c r="M120">
        <f>M119</f>
        <v>-5</v>
      </c>
    </row>
    <row r="121" spans="12:14">
      <c r="L121">
        <f>L120</f>
        <v>1500</v>
      </c>
      <c r="M121">
        <f>M119+B102</f>
        <v>0</v>
      </c>
    </row>
    <row r="126" spans="12:14">
      <c r="L126" t="s">
        <v>812</v>
      </c>
    </row>
    <row r="127" spans="12:14">
      <c r="L127" t="s">
        <v>807</v>
      </c>
      <c r="M127" t="s">
        <v>821</v>
      </c>
    </row>
    <row r="128" spans="12:14">
      <c r="L128">
        <f>L116</f>
        <v>87</v>
      </c>
      <c r="M128">
        <f>M116</f>
        <v>0</v>
      </c>
    </row>
    <row r="129" spans="12:13">
      <c r="L129">
        <f>L118</f>
        <v>810</v>
      </c>
      <c r="M129">
        <f>(L129-L128)*M118</f>
        <v>1446</v>
      </c>
    </row>
    <row r="130" spans="12:13">
      <c r="L130">
        <f>L120</f>
        <v>1500</v>
      </c>
      <c r="M130">
        <f>M129-(L130-L129)*M119</f>
        <v>4896</v>
      </c>
    </row>
    <row r="164" spans="2:6">
      <c r="B164" s="186" t="s">
        <v>715</v>
      </c>
      <c r="C164" s="186"/>
      <c r="D164" s="186"/>
      <c r="E164" s="186"/>
      <c r="F164" s="186"/>
    </row>
    <row r="165" spans="2:6">
      <c r="D165" s="14"/>
      <c r="F165" s="356"/>
    </row>
    <row r="166" spans="2:6">
      <c r="D166" s="14"/>
      <c r="F166" s="356"/>
    </row>
    <row r="167" spans="2:6">
      <c r="F167" s="357"/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197</v>
      </c>
    </row>
    <row r="176" spans="2:6">
      <c r="B176" t="s">
        <v>722</v>
      </c>
      <c r="E176" t="s">
        <v>223</v>
      </c>
    </row>
    <row r="177" spans="2:5">
      <c r="B177" t="s">
        <v>723</v>
      </c>
      <c r="E177" t="s">
        <v>724</v>
      </c>
    </row>
    <row r="178" spans="2:5">
      <c r="B178" t="s">
        <v>725</v>
      </c>
    </row>
    <row r="179" spans="2:5">
      <c r="B179" t="s">
        <v>726</v>
      </c>
    </row>
    <row r="183" spans="2:5">
      <c r="B183" t="s">
        <v>710</v>
      </c>
    </row>
    <row r="199" spans="2:2">
      <c r="B199" t="s">
        <v>711</v>
      </c>
    </row>
    <row r="211" spans="2:9">
      <c r="B211" s="291" t="s">
        <v>687</v>
      </c>
      <c r="C211" s="186"/>
      <c r="D211" s="186"/>
      <c r="E211" s="186"/>
    </row>
    <row r="212" spans="2:9" ht="43.5">
      <c r="B212" t="s">
        <v>690</v>
      </c>
      <c r="C212" t="s">
        <v>688</v>
      </c>
      <c r="D212" t="s">
        <v>691</v>
      </c>
      <c r="E212" t="s">
        <v>692</v>
      </c>
      <c r="F212" s="353" t="s">
        <v>696</v>
      </c>
      <c r="G212" t="s">
        <v>689</v>
      </c>
      <c r="H212" t="s">
        <v>694</v>
      </c>
      <c r="I212" t="s">
        <v>695</v>
      </c>
    </row>
    <row r="213" spans="2:9">
      <c r="B213">
        <v>2</v>
      </c>
      <c r="C213">
        <v>2.375</v>
      </c>
      <c r="D213">
        <f>C213-2*E213</f>
        <v>2.0670000000000002</v>
      </c>
      <c r="E213">
        <v>0.154</v>
      </c>
      <c r="F213" t="s">
        <v>697</v>
      </c>
      <c r="G213">
        <f>C213*25.4</f>
        <v>60.324999999999996</v>
      </c>
      <c r="H213">
        <f t="shared" ref="H213:I213" si="0">D213*25.4</f>
        <v>52.501800000000003</v>
      </c>
      <c r="I213">
        <f t="shared" si="0"/>
        <v>3.9115999999999995</v>
      </c>
    </row>
    <row r="214" spans="2:9">
      <c r="B214">
        <v>2</v>
      </c>
      <c r="C214">
        <v>2.375</v>
      </c>
      <c r="D214">
        <f t="shared" ref="D214:D222" si="1">C214-2*E214</f>
        <v>1.9390000000000001</v>
      </c>
      <c r="E214">
        <v>0.218</v>
      </c>
      <c r="F214" t="s">
        <v>698</v>
      </c>
      <c r="G214">
        <f t="shared" ref="G214:G222" si="2">C214*25.4</f>
        <v>60.324999999999996</v>
      </c>
      <c r="H214">
        <f t="shared" ref="H214:H222" si="3">D214*25.4</f>
        <v>49.250599999999999</v>
      </c>
      <c r="I214">
        <f t="shared" ref="I214:I222" si="4">E214*25.4</f>
        <v>5.5371999999999995</v>
      </c>
    </row>
    <row r="215" spans="2:9">
      <c r="B215">
        <v>2.5</v>
      </c>
      <c r="C215">
        <v>2.875</v>
      </c>
      <c r="D215">
        <f t="shared" si="1"/>
        <v>2.4689999999999999</v>
      </c>
      <c r="E215">
        <v>0.20300000000000001</v>
      </c>
      <c r="F215" t="s">
        <v>697</v>
      </c>
      <c r="G215">
        <f t="shared" si="2"/>
        <v>73.024999999999991</v>
      </c>
      <c r="H215">
        <f t="shared" si="3"/>
        <v>62.712599999999995</v>
      </c>
      <c r="I215">
        <f t="shared" si="4"/>
        <v>5.1562000000000001</v>
      </c>
    </row>
    <row r="216" spans="2:9">
      <c r="B216">
        <v>2.5</v>
      </c>
      <c r="C216">
        <v>2.875</v>
      </c>
      <c r="D216">
        <f t="shared" si="1"/>
        <v>2.323</v>
      </c>
      <c r="E216">
        <v>0.27600000000000002</v>
      </c>
      <c r="F216" t="s">
        <v>698</v>
      </c>
      <c r="G216">
        <f t="shared" si="2"/>
        <v>73.024999999999991</v>
      </c>
      <c r="H216">
        <f t="shared" si="3"/>
        <v>59.004199999999997</v>
      </c>
      <c r="I216">
        <f t="shared" si="4"/>
        <v>7.0104000000000006</v>
      </c>
    </row>
    <row r="217" spans="2:9">
      <c r="B217">
        <v>3</v>
      </c>
      <c r="C217">
        <v>3.5</v>
      </c>
      <c r="D217">
        <f t="shared" si="1"/>
        <v>3.0680000000000001</v>
      </c>
      <c r="E217">
        <v>0.216</v>
      </c>
      <c r="F217" t="s">
        <v>697</v>
      </c>
      <c r="G217">
        <f t="shared" si="2"/>
        <v>88.899999999999991</v>
      </c>
      <c r="H217">
        <f t="shared" si="3"/>
        <v>77.927199999999999</v>
      </c>
      <c r="I217">
        <f t="shared" si="4"/>
        <v>5.4863999999999997</v>
      </c>
    </row>
    <row r="218" spans="2:9">
      <c r="B218">
        <v>3</v>
      </c>
      <c r="C218">
        <v>3.5</v>
      </c>
      <c r="D218">
        <f t="shared" si="1"/>
        <v>2.9</v>
      </c>
      <c r="E218">
        <v>0.3</v>
      </c>
      <c r="F218" t="s">
        <v>698</v>
      </c>
      <c r="G218">
        <f t="shared" si="2"/>
        <v>88.899999999999991</v>
      </c>
      <c r="H218">
        <f t="shared" si="3"/>
        <v>73.66</v>
      </c>
      <c r="I218">
        <f t="shared" si="4"/>
        <v>7.6199999999999992</v>
      </c>
    </row>
    <row r="219" spans="2:9">
      <c r="B219">
        <v>3.5</v>
      </c>
      <c r="C219">
        <v>4</v>
      </c>
      <c r="D219">
        <f t="shared" si="1"/>
        <v>3.548</v>
      </c>
      <c r="E219">
        <v>0.22600000000000001</v>
      </c>
      <c r="F219" t="s">
        <v>697</v>
      </c>
      <c r="G219">
        <f t="shared" si="2"/>
        <v>101.6</v>
      </c>
      <c r="H219">
        <f t="shared" si="3"/>
        <v>90.119199999999992</v>
      </c>
      <c r="I219">
        <f t="shared" si="4"/>
        <v>5.7404000000000002</v>
      </c>
    </row>
    <row r="220" spans="2:9">
      <c r="B220">
        <v>3.5</v>
      </c>
      <c r="C220">
        <v>4</v>
      </c>
      <c r="D220">
        <f t="shared" si="1"/>
        <v>3.3639999999999999</v>
      </c>
      <c r="E220">
        <v>0.318</v>
      </c>
      <c r="F220" t="s">
        <v>698</v>
      </c>
      <c r="G220">
        <f t="shared" si="2"/>
        <v>101.6</v>
      </c>
      <c r="H220">
        <f t="shared" si="3"/>
        <v>85.445599999999999</v>
      </c>
      <c r="I220">
        <f t="shared" si="4"/>
        <v>8.0771999999999995</v>
      </c>
    </row>
    <row r="221" spans="2:9">
      <c r="B221">
        <v>4</v>
      </c>
      <c r="C221">
        <v>4.5</v>
      </c>
      <c r="D221">
        <f t="shared" si="1"/>
        <v>4.0259999999999998</v>
      </c>
      <c r="E221">
        <v>0.23699999999999999</v>
      </c>
      <c r="F221" t="s">
        <v>697</v>
      </c>
      <c r="G221">
        <f t="shared" si="2"/>
        <v>114.3</v>
      </c>
      <c r="H221">
        <f t="shared" si="3"/>
        <v>102.26039999999999</v>
      </c>
      <c r="I221">
        <f t="shared" si="4"/>
        <v>6.0197999999999992</v>
      </c>
    </row>
    <row r="222" spans="2:9">
      <c r="B222">
        <v>4</v>
      </c>
      <c r="C222">
        <v>4.5</v>
      </c>
      <c r="D222">
        <f t="shared" si="1"/>
        <v>3.8260000000000001</v>
      </c>
      <c r="E222">
        <v>0.33700000000000002</v>
      </c>
      <c r="F222" t="s">
        <v>698</v>
      </c>
      <c r="G222">
        <f t="shared" si="2"/>
        <v>114.3</v>
      </c>
      <c r="H222">
        <f t="shared" si="3"/>
        <v>97.180399999999992</v>
      </c>
      <c r="I222">
        <f t="shared" si="4"/>
        <v>8.5597999999999992</v>
      </c>
    </row>
    <row r="224" spans="2:9">
      <c r="B224" t="s">
        <v>693</v>
      </c>
      <c r="C224" t="s">
        <v>699</v>
      </c>
    </row>
    <row r="225" spans="2:4">
      <c r="B225" t="s">
        <v>704</v>
      </c>
      <c r="C225" t="s">
        <v>700</v>
      </c>
    </row>
    <row r="227" spans="2:4" ht="72.5">
      <c r="B227" s="353" t="s">
        <v>760</v>
      </c>
      <c r="C227" s="353" t="s">
        <v>871</v>
      </c>
      <c r="D227" t="s">
        <v>409</v>
      </c>
    </row>
    <row r="228" spans="2:4" ht="29">
      <c r="B228" s="63" t="s">
        <v>761</v>
      </c>
      <c r="C228" s="63">
        <v>23.6</v>
      </c>
      <c r="D228" s="367" t="s">
        <v>762</v>
      </c>
    </row>
    <row r="229" spans="2:4">
      <c r="B229" s="63" t="s">
        <v>763</v>
      </c>
      <c r="C229" s="63">
        <v>23.2</v>
      </c>
      <c r="D229" s="367" t="s">
        <v>764</v>
      </c>
    </row>
    <row r="230" spans="2:4">
      <c r="B230" s="63" t="s">
        <v>765</v>
      </c>
      <c r="C230" s="63">
        <v>22</v>
      </c>
      <c r="D230" s="367" t="s">
        <v>766</v>
      </c>
    </row>
    <row r="231" spans="2:4">
      <c r="B231" s="63" t="s">
        <v>767</v>
      </c>
      <c r="C231" s="63">
        <v>23.6</v>
      </c>
      <c r="D231" s="367" t="s">
        <v>768</v>
      </c>
    </row>
    <row r="232" spans="2:4">
      <c r="B232" s="63" t="s">
        <v>769</v>
      </c>
      <c r="C232" s="63">
        <v>23.5</v>
      </c>
      <c r="D232" s="367" t="s">
        <v>770</v>
      </c>
    </row>
    <row r="233" spans="2:4" ht="29">
      <c r="B233" s="63" t="s">
        <v>771</v>
      </c>
      <c r="C233" s="63">
        <v>21.5</v>
      </c>
      <c r="D233" s="367" t="s">
        <v>772</v>
      </c>
    </row>
    <row r="234" spans="2:4" ht="29">
      <c r="B234" s="63" t="s">
        <v>773</v>
      </c>
      <c r="C234" s="63">
        <v>21.5</v>
      </c>
      <c r="D234" s="367" t="s">
        <v>774</v>
      </c>
    </row>
    <row r="241" spans="2:4">
      <c r="B241" t="s">
        <v>838</v>
      </c>
      <c r="C241">
        <v>1.62</v>
      </c>
    </row>
    <row r="242" spans="2:4">
      <c r="B242" t="s">
        <v>840</v>
      </c>
      <c r="C242">
        <v>0.1</v>
      </c>
    </row>
    <row r="243" spans="2:4">
      <c r="B243" t="s">
        <v>839</v>
      </c>
      <c r="C243">
        <f>C241*0.6</f>
        <v>0.97199999999999998</v>
      </c>
    </row>
    <row r="244" spans="2:4">
      <c r="B244" t="s">
        <v>403</v>
      </c>
      <c r="C244">
        <f>C247+C248</f>
        <v>1.3580000000000001</v>
      </c>
      <c r="D244" t="s">
        <v>197</v>
      </c>
    </row>
    <row r="245" spans="2:4">
      <c r="B245" t="s">
        <v>831</v>
      </c>
      <c r="C245">
        <v>320</v>
      </c>
      <c r="D245" t="s">
        <v>724</v>
      </c>
    </row>
    <row r="246" spans="2:4">
      <c r="B246" t="s">
        <v>830</v>
      </c>
      <c r="C246">
        <v>15</v>
      </c>
      <c r="D246" t="s">
        <v>724</v>
      </c>
    </row>
    <row r="247" spans="2:4">
      <c r="B247" t="s">
        <v>828</v>
      </c>
      <c r="C247">
        <f>C243-C242</f>
        <v>0.872</v>
      </c>
    </row>
    <row r="248" spans="2:4">
      <c r="B248" t="s">
        <v>829</v>
      </c>
      <c r="C248">
        <f>C241*0.9-C243</f>
        <v>0.48600000000000021</v>
      </c>
    </row>
    <row r="249" spans="2:4">
      <c r="B249" t="s">
        <v>827</v>
      </c>
      <c r="C249">
        <f>(C245*(2*C248+C247)-C246*C247)/(C248^2+C247*C248)</f>
        <v>874.25831984823935</v>
      </c>
      <c r="D249" t="s">
        <v>832</v>
      </c>
    </row>
    <row r="250" spans="2:4">
      <c r="B250" t="s">
        <v>826</v>
      </c>
      <c r="C250">
        <f>(C245+C246-C249*C248)/C247</f>
        <v>-103.08433881450055</v>
      </c>
      <c r="D250" t="s">
        <v>832</v>
      </c>
    </row>
    <row r="252" spans="2:4">
      <c r="B252" t="s">
        <v>836</v>
      </c>
    </row>
    <row r="253" spans="2:4">
      <c r="B253" t="s">
        <v>833</v>
      </c>
      <c r="C253">
        <f>$C$246-$C$250*C247</f>
        <v>104.88954344624449</v>
      </c>
    </row>
    <row r="254" spans="2:4">
      <c r="B254" t="s">
        <v>834</v>
      </c>
    </row>
    <row r="256" spans="2:4">
      <c r="B256" t="s">
        <v>835</v>
      </c>
      <c r="C256" t="s">
        <v>836</v>
      </c>
      <c r="D256" t="s">
        <v>837</v>
      </c>
    </row>
    <row r="257" spans="2:7">
      <c r="B257">
        <v>0</v>
      </c>
      <c r="C257">
        <f>$C$246-$C$250*B257</f>
        <v>15</v>
      </c>
      <c r="D257">
        <f>$C$246*B257-$C$250*($C$248^2)*0.5</f>
        <v>12.174054245314897</v>
      </c>
    </row>
    <row r="258" spans="2:7">
      <c r="B258">
        <f t="shared" ref="B258:B259" si="5">B259-0.2</f>
        <v>0.27199999999999991</v>
      </c>
      <c r="C258">
        <f>$C$246-$C$250*B258</f>
        <v>43.03894015754414</v>
      </c>
      <c r="D258">
        <f>$C$246*B258-$C$250*($C$248^2)*0.5</f>
        <v>16.254054245314897</v>
      </c>
    </row>
    <row r="259" spans="2:7">
      <c r="B259">
        <f t="shared" si="5"/>
        <v>0.47199999999999992</v>
      </c>
      <c r="C259">
        <f>$C$246-$C$250*B259</f>
        <v>63.655807920444254</v>
      </c>
      <c r="D259">
        <f>$C$246*B259-$C$250*($C$248^2)*0.5</f>
        <v>19.254054245314897</v>
      </c>
    </row>
    <row r="260" spans="2:7">
      <c r="B260">
        <f>B261-0.2</f>
        <v>0.67199999999999993</v>
      </c>
      <c r="C260">
        <f>$C$246-$C$250*B260</f>
        <v>84.27267568334436</v>
      </c>
      <c r="D260">
        <f>$C$246*B260-$C$250*($C$248^2)*0.5</f>
        <v>22.254054245314897</v>
      </c>
    </row>
    <row r="261" spans="2:7">
      <c r="B261">
        <f>C247</f>
        <v>0.872</v>
      </c>
      <c r="C261">
        <f>$C$246-$C$250*B261</f>
        <v>104.88954344624449</v>
      </c>
      <c r="D261">
        <f>$C$246*B261-$C$250*($C$248^2)*0.5</f>
        <v>25.254054245314897</v>
      </c>
    </row>
    <row r="262" spans="2:7">
      <c r="B262">
        <f>B261+0.15</f>
        <v>1.022</v>
      </c>
      <c r="C262">
        <f>$C$261-$C$249*(B262-$B$261)</f>
        <v>-26.24920453099142</v>
      </c>
      <c r="D262">
        <f>$C$261*B262+$C$249*($C$247*B262+0.5*($C$244^2)-0.5*(B262^2))-$C$244*($C$261+$C$249*$C$247)</f>
        <v>58.169866361206687</v>
      </c>
    </row>
    <row r="263" spans="2:7">
      <c r="B263">
        <f t="shared" ref="B263" si="6">B262+0.15</f>
        <v>1.1719999999999999</v>
      </c>
      <c r="C263">
        <f t="shared" ref="C263:C265" si="7">$C$261-$C$249*(B263-$B$261)</f>
        <v>-157.38795250822727</v>
      </c>
      <c r="D263">
        <f>$C$261*B263+$C$249*($C$247*B263+0.5*($C$244^2)-0.5*(B263^2))-$C$244*($C$261+$C$249*$C$247)</f>
        <v>44.397079583265395</v>
      </c>
    </row>
    <row r="264" spans="2:7">
      <c r="B264">
        <f>B263+0.15</f>
        <v>1.3219999999999998</v>
      </c>
      <c r="C264">
        <f t="shared" si="7"/>
        <v>-288.5267004854631</v>
      </c>
      <c r="D264">
        <f>$C$261*B264+$C$249*($C$247*B264+0.5*($C$244^2)-0.5*(B264^2))-$C$244*($C$261+$C$249*$C$247)</f>
        <v>10.953480608738573</v>
      </c>
    </row>
    <row r="265" spans="2:7">
      <c r="B265">
        <f>C248+C243</f>
        <v>1.4580000000000002</v>
      </c>
      <c r="C265">
        <f t="shared" si="7"/>
        <v>-407.42583198482396</v>
      </c>
      <c r="D265">
        <f>$C$261*B265+$C$249*($C$247*B265+0.5*($C$244^2)-0.5*(B265^2))-$C$244*($C$261+$C$249*$C$247)</f>
        <v>-36.371291599241204</v>
      </c>
    </row>
    <row r="272" spans="2:7">
      <c r="C272" t="s">
        <v>832</v>
      </c>
      <c r="D272" t="s">
        <v>824</v>
      </c>
      <c r="E272" t="s">
        <v>234</v>
      </c>
      <c r="G272" t="s">
        <v>842</v>
      </c>
    </row>
    <row r="273" spans="2:9">
      <c r="B273" t="s">
        <v>841</v>
      </c>
      <c r="C273">
        <f>(C246^2)/(2*C250)</f>
        <v>-1.0913393954288522</v>
      </c>
      <c r="D273">
        <f>C273*1000</f>
        <v>-1091.3393954288522</v>
      </c>
      <c r="E273">
        <f>(C246/C250)</f>
        <v>-0.14551191939051364</v>
      </c>
      <c r="G273" t="s">
        <v>846</v>
      </c>
      <c r="H273">
        <f>D274/C276</f>
        <v>4.6091854750571573</v>
      </c>
      <c r="I273" t="s">
        <v>731</v>
      </c>
    </row>
    <row r="274" spans="2:9">
      <c r="B274" t="s">
        <v>841</v>
      </c>
      <c r="C274">
        <f>(C253^2/(2*C249))-C253*(C244-C247)+C249*(0.5*C244^2+0.5*C247^2-C244*C247)</f>
        <v>58.563926516464463</v>
      </c>
      <c r="D274">
        <f>C274*1000</f>
        <v>58563.92651646446</v>
      </c>
      <c r="E274">
        <f>(C253/C249)+C247</f>
        <v>0.99197545927209707</v>
      </c>
    </row>
    <row r="275" spans="2:9">
      <c r="B275" t="s">
        <v>845</v>
      </c>
      <c r="G275" t="s">
        <v>872</v>
      </c>
    </row>
    <row r="276" spans="2:9">
      <c r="B276" t="s">
        <v>477</v>
      </c>
      <c r="C276">
        <f>(PI()/(32*C277))*((C277^4)-C278^4)</f>
        <v>12705.916659979544</v>
      </c>
      <c r="D276" t="s">
        <v>844</v>
      </c>
      <c r="G276" t="s">
        <v>873</v>
      </c>
      <c r="H276">
        <f>StyComp</f>
        <v>121.49625</v>
      </c>
      <c r="I276" t="s">
        <v>731</v>
      </c>
    </row>
    <row r="277" spans="2:9">
      <c r="B277" t="s">
        <v>707</v>
      </c>
      <c r="C277">
        <f>C278+C279*2</f>
        <v>92.9</v>
      </c>
      <c r="D277" t="s">
        <v>227</v>
      </c>
      <c r="G277" t="s">
        <v>874</v>
      </c>
      <c r="H277">
        <f>ScyComp</f>
        <v>2.508975</v>
      </c>
      <c r="I277" t="s">
        <v>731</v>
      </c>
    </row>
    <row r="278" spans="2:9">
      <c r="B278" t="s">
        <v>708</v>
      </c>
      <c r="C278">
        <v>88.9</v>
      </c>
      <c r="D278" t="s">
        <v>227</v>
      </c>
    </row>
    <row r="279" spans="2:9">
      <c r="B279" t="s">
        <v>843</v>
      </c>
      <c r="C279">
        <v>2</v>
      </c>
      <c r="D279" t="s">
        <v>227</v>
      </c>
    </row>
    <row r="282" spans="2:9">
      <c r="B282">
        <v>4</v>
      </c>
    </row>
  </sheetData>
  <mergeCells count="1">
    <mergeCell ref="E3:H4"/>
  </mergeCells>
  <conditionalFormatting sqref="H276:H277">
    <cfRule type="cellIs" dxfId="2" priority="1" operator="greaterThan">
      <formula>$H$273</formula>
    </cfRule>
  </conditionalFormatting>
  <dataValidations disablePrompts="1" count="2">
    <dataValidation type="list" allowBlank="1" showInputMessage="1" showErrorMessage="1" sqref="D77" xr:uid="{00000000-0002-0000-0400-000000000000}">
      <formula1>$C$213:$C$222</formula1>
    </dataValidation>
    <dataValidation type="list" allowBlank="1" showInputMessage="1" showErrorMessage="1" sqref="D79" xr:uid="{00000000-0002-0000-0400-000001000000}">
      <formula1>$B$228:$B$234</formula1>
    </dataValidation>
  </dataValidations>
  <hyperlinks>
    <hyperlink ref="B13" r:id="rId1" xr:uid="{00000000-0004-0000-0400-000000000000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50"/>
  <sheetViews>
    <sheetView zoomScale="85" zoomScaleNormal="85" workbookViewId="0">
      <pane ySplit="10" topLeftCell="A11" activePane="bottomLeft" state="frozen"/>
      <selection pane="bottomLeft" activeCell="C13" sqref="C13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170.08703654305933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164.29146131391354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44.021764382392163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0.5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0.5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101325*(B17/288.08)^5.1</f>
        <v>101181.57778355022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1.2241286510785694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1.4991533789235716E-5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17.886441140114158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3.1355684427654356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0.31217728935916045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5.4725993247888224E-2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17706.77611212129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v>8.89</v>
      </c>
      <c r="C33" s="190">
        <f t="shared" ref="C33:K33" si="49">DiameterRocket</f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8.8900000000000007E-2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17.2225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0.17222499999999999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3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0.03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40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14.445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0.14445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10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1.9661450625E-2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1.2500000000000001E-2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2.1225089539902653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9.0909090909090922E-3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-0.5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4.5454545454545461E-3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1.3636363636363637E-2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2.2727272727272728E-2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3.1818181818181822E-2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4.0909090909090916E-2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5.000000000000001E-2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5.9090909090909104E-2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6.8181818181818191E-2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7.7272727272727285E-2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8.6363636363636379E-2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9.5454545454545472E-2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outlineLevel="1">
      <c r="A69">
        <v>1</v>
      </c>
      <c r="B69" s="260">
        <f>(B57*B$55)+B$38</f>
        <v>0.14772727272727273</v>
      </c>
      <c r="C69" s="260">
        <f t="shared" ref="C69:I69" si="118">(C57*C$55)+C$38</f>
        <v>0.14772727272727273</v>
      </c>
      <c r="D69" s="260">
        <f t="shared" si="118"/>
        <v>0.14772727272727273</v>
      </c>
      <c r="E69" s="260">
        <f t="shared" si="118"/>
        <v>0.14772727272727273</v>
      </c>
      <c r="F69" s="260">
        <f t="shared" si="118"/>
        <v>0.14772727272727273</v>
      </c>
      <c r="G69" s="260">
        <f t="shared" si="118"/>
        <v>0.14772727272727273</v>
      </c>
      <c r="H69" s="260">
        <f t="shared" si="118"/>
        <v>0.14772727272727273</v>
      </c>
      <c r="I69" s="260">
        <f t="shared" si="118"/>
        <v>0.14772727272727273</v>
      </c>
      <c r="J69" s="260">
        <f t="shared" ref="J69:K69" si="119">(J57*J$55)+J$38</f>
        <v>0.14772727272727273</v>
      </c>
      <c r="K69" s="260">
        <f t="shared" si="119"/>
        <v>0.14772727272727273</v>
      </c>
    </row>
    <row r="70" spans="1:11" ht="14.5" outlineLevel="1">
      <c r="A70">
        <v>2</v>
      </c>
      <c r="B70" s="260">
        <f t="shared" ref="B70" si="120">(B58*B$55)+B$38</f>
        <v>0.14318181818181819</v>
      </c>
      <c r="C70" s="260">
        <f t="shared" ref="C70:I70" si="121">(C58*C$55)+C$38</f>
        <v>0.14318181818181819</v>
      </c>
      <c r="D70" s="260">
        <f t="shared" si="121"/>
        <v>0.14318181818181819</v>
      </c>
      <c r="E70" s="260">
        <f t="shared" si="121"/>
        <v>0.14318181818181819</v>
      </c>
      <c r="F70" s="260">
        <f t="shared" si="121"/>
        <v>0.14318181818181819</v>
      </c>
      <c r="G70" s="260">
        <f t="shared" si="121"/>
        <v>0.14318181818181819</v>
      </c>
      <c r="H70" s="260">
        <f t="shared" si="121"/>
        <v>0.14318181818181819</v>
      </c>
      <c r="I70" s="260">
        <f t="shared" si="121"/>
        <v>0.14318181818181819</v>
      </c>
      <c r="J70" s="260">
        <f t="shared" ref="J70:K70" si="122">(J58*J$55)+J$38</f>
        <v>0.14318181818181819</v>
      </c>
      <c r="K70" s="260">
        <f t="shared" si="122"/>
        <v>0.14318181818181819</v>
      </c>
    </row>
    <row r="71" spans="1:11" ht="14.5" outlineLevel="1">
      <c r="A71">
        <v>3</v>
      </c>
      <c r="B71" s="260">
        <f t="shared" ref="B71" si="123">(B59*B$55)+B$38</f>
        <v>0.13863636363636364</v>
      </c>
      <c r="C71" s="260">
        <f t="shared" ref="C71:I71" si="124">(C59*C$55)+C$38</f>
        <v>0.13863636363636364</v>
      </c>
      <c r="D71" s="260">
        <f t="shared" si="124"/>
        <v>0.13863636363636364</v>
      </c>
      <c r="E71" s="260">
        <f t="shared" si="124"/>
        <v>0.13863636363636364</v>
      </c>
      <c r="F71" s="260">
        <f t="shared" si="124"/>
        <v>0.13863636363636364</v>
      </c>
      <c r="G71" s="260">
        <f t="shared" si="124"/>
        <v>0.13863636363636364</v>
      </c>
      <c r="H71" s="260">
        <f t="shared" si="124"/>
        <v>0.13863636363636364</v>
      </c>
      <c r="I71" s="260">
        <f t="shared" si="124"/>
        <v>0.13863636363636364</v>
      </c>
      <c r="J71" s="260">
        <f t="shared" ref="J71:K71" si="125">(J59*J$55)+J$38</f>
        <v>0.13863636363636364</v>
      </c>
      <c r="K71" s="260">
        <f t="shared" si="125"/>
        <v>0.13863636363636364</v>
      </c>
    </row>
    <row r="72" spans="1:11" ht="14.5" outlineLevel="1">
      <c r="A72">
        <v>4</v>
      </c>
      <c r="B72" s="260">
        <f t="shared" ref="B72" si="126">(B60*B$55)+B$38</f>
        <v>0.13409090909090909</v>
      </c>
      <c r="C72" s="260">
        <f t="shared" ref="C72:I72" si="127">(C60*C$55)+C$38</f>
        <v>0.13409090909090909</v>
      </c>
      <c r="D72" s="260">
        <f t="shared" si="127"/>
        <v>0.13409090909090909</v>
      </c>
      <c r="E72" s="260">
        <f t="shared" si="127"/>
        <v>0.13409090909090909</v>
      </c>
      <c r="F72" s="260">
        <f t="shared" si="127"/>
        <v>0.13409090909090909</v>
      </c>
      <c r="G72" s="260">
        <f t="shared" si="127"/>
        <v>0.13409090909090909</v>
      </c>
      <c r="H72" s="260">
        <f t="shared" si="127"/>
        <v>0.13409090909090909</v>
      </c>
      <c r="I72" s="260">
        <f t="shared" si="127"/>
        <v>0.13409090909090909</v>
      </c>
      <c r="J72" s="260">
        <f t="shared" ref="J72:K72" si="128">(J60*J$55)+J$38</f>
        <v>0.13409090909090909</v>
      </c>
      <c r="K72" s="260">
        <f t="shared" si="128"/>
        <v>0.13409090909090909</v>
      </c>
    </row>
    <row r="73" spans="1:11" ht="14.5" outlineLevel="1">
      <c r="A73">
        <v>5</v>
      </c>
      <c r="B73" s="260">
        <f t="shared" ref="B73" si="129">(B61*B$55)+B$38</f>
        <v>0.12954545454545455</v>
      </c>
      <c r="C73" s="260">
        <f t="shared" ref="C73:I73" si="130">(C61*C$55)+C$38</f>
        <v>0.12954545454545455</v>
      </c>
      <c r="D73" s="260">
        <f t="shared" si="130"/>
        <v>0.12954545454545455</v>
      </c>
      <c r="E73" s="260">
        <f t="shared" si="130"/>
        <v>0.12954545454545455</v>
      </c>
      <c r="F73" s="260">
        <f t="shared" si="130"/>
        <v>0.12954545454545455</v>
      </c>
      <c r="G73" s="260">
        <f t="shared" si="130"/>
        <v>0.12954545454545455</v>
      </c>
      <c r="H73" s="260">
        <f t="shared" si="130"/>
        <v>0.12954545454545455</v>
      </c>
      <c r="I73" s="260">
        <f t="shared" si="130"/>
        <v>0.12954545454545455</v>
      </c>
      <c r="J73" s="260">
        <f t="shared" ref="J73:K73" si="131">(J61*J$55)+J$38</f>
        <v>0.12954545454545455</v>
      </c>
      <c r="K73" s="260">
        <f t="shared" si="131"/>
        <v>0.12954545454545455</v>
      </c>
    </row>
    <row r="74" spans="1:11" ht="14.5" outlineLevel="1">
      <c r="A74">
        <v>6</v>
      </c>
      <c r="B74" s="260">
        <f t="shared" ref="B74" si="132">(B62*B$55)+B$38</f>
        <v>0.12499999999999999</v>
      </c>
      <c r="C74" s="260">
        <f t="shared" ref="C74:I74" si="133">(C62*C$55)+C$38</f>
        <v>0.125</v>
      </c>
      <c r="D74" s="260">
        <f t="shared" si="133"/>
        <v>0.125</v>
      </c>
      <c r="E74" s="260">
        <f t="shared" si="133"/>
        <v>0.125</v>
      </c>
      <c r="F74" s="260">
        <f t="shared" si="133"/>
        <v>0.125</v>
      </c>
      <c r="G74" s="260">
        <f t="shared" si="133"/>
        <v>0.125</v>
      </c>
      <c r="H74" s="260">
        <f t="shared" si="133"/>
        <v>0.125</v>
      </c>
      <c r="I74" s="260">
        <f t="shared" si="133"/>
        <v>0.125</v>
      </c>
      <c r="J74" s="260">
        <f t="shared" ref="J74:K74" si="134">(J62*J$55)+J$38</f>
        <v>0.125</v>
      </c>
      <c r="K74" s="260">
        <f t="shared" si="134"/>
        <v>0.125</v>
      </c>
    </row>
    <row r="75" spans="1:11" ht="14.5" outlineLevel="1">
      <c r="A75">
        <v>7</v>
      </c>
      <c r="B75" s="260">
        <f t="shared" ref="B75" si="135">(B63*B$55)+B$38</f>
        <v>0.12045454545454544</v>
      </c>
      <c r="C75" s="260">
        <f t="shared" ref="C75:I75" si="136">(C63*C$55)+C$38</f>
        <v>0.12045454545454545</v>
      </c>
      <c r="D75" s="260">
        <f t="shared" si="136"/>
        <v>0.12045454545454545</v>
      </c>
      <c r="E75" s="260">
        <f t="shared" si="136"/>
        <v>0.12045454545454545</v>
      </c>
      <c r="F75" s="260">
        <f t="shared" si="136"/>
        <v>0.12045454545454545</v>
      </c>
      <c r="G75" s="260">
        <f t="shared" si="136"/>
        <v>0.12045454545454545</v>
      </c>
      <c r="H75" s="260">
        <f t="shared" si="136"/>
        <v>0.12045454545454545</v>
      </c>
      <c r="I75" s="260">
        <f t="shared" si="136"/>
        <v>0.12045454545454545</v>
      </c>
      <c r="J75" s="260">
        <f t="shared" ref="J75:K75" si="137">(J63*J$55)+J$38</f>
        <v>0.12045454545454545</v>
      </c>
      <c r="K75" s="260">
        <f t="shared" si="137"/>
        <v>0.12045454545454545</v>
      </c>
    </row>
    <row r="76" spans="1:11" ht="14.5" outlineLevel="1">
      <c r="A76">
        <v>8</v>
      </c>
      <c r="B76" s="260">
        <f t="shared" ref="B76" si="138">(B64*B$55)+B$38</f>
        <v>0.11590909090909091</v>
      </c>
      <c r="C76" s="260">
        <f t="shared" ref="C76:I76" si="139">(C64*C$55)+C$38</f>
        <v>0.11590909090909091</v>
      </c>
      <c r="D76" s="260">
        <f t="shared" si="139"/>
        <v>0.11590909090909091</v>
      </c>
      <c r="E76" s="260">
        <f t="shared" si="139"/>
        <v>0.11590909090909091</v>
      </c>
      <c r="F76" s="260">
        <f t="shared" si="139"/>
        <v>0.11590909090909091</v>
      </c>
      <c r="G76" s="260">
        <f t="shared" si="139"/>
        <v>0.11590909090909091</v>
      </c>
      <c r="H76" s="260">
        <f t="shared" si="139"/>
        <v>0.11590909090909091</v>
      </c>
      <c r="I76" s="260">
        <f t="shared" si="139"/>
        <v>0.11590909090909091</v>
      </c>
      <c r="J76" s="260">
        <f t="shared" ref="J76:K76" si="140">(J64*J$55)+J$38</f>
        <v>0.11590909090909091</v>
      </c>
      <c r="K76" s="260">
        <f t="shared" si="140"/>
        <v>0.11590909090909091</v>
      </c>
    </row>
    <row r="77" spans="1:11" ht="14.5" outlineLevel="1">
      <c r="A77">
        <v>9</v>
      </c>
      <c r="B77" s="260">
        <f t="shared" ref="B77" si="141">(B65*B$55)+B$38</f>
        <v>0.11136363636363636</v>
      </c>
      <c r="C77" s="260">
        <f t="shared" ref="C77:I77" si="142">(C65*C$55)+C$38</f>
        <v>0.11136363636363636</v>
      </c>
      <c r="D77" s="260">
        <f t="shared" si="142"/>
        <v>0.11136363636363636</v>
      </c>
      <c r="E77" s="260">
        <f t="shared" si="142"/>
        <v>0.11136363636363636</v>
      </c>
      <c r="F77" s="260">
        <f t="shared" si="142"/>
        <v>0.11136363636363636</v>
      </c>
      <c r="G77" s="260">
        <f t="shared" si="142"/>
        <v>0.11136363636363636</v>
      </c>
      <c r="H77" s="260">
        <f t="shared" si="142"/>
        <v>0.11136363636363636</v>
      </c>
      <c r="I77" s="260">
        <f t="shared" si="142"/>
        <v>0.11136363636363636</v>
      </c>
      <c r="J77" s="260">
        <f t="shared" ref="J77:K77" si="143">(J65*J$55)+J$38</f>
        <v>0.11136363636363636</v>
      </c>
      <c r="K77" s="260">
        <f t="shared" si="143"/>
        <v>0.11136363636363636</v>
      </c>
    </row>
    <row r="78" spans="1:11" ht="14.5" outlineLevel="1">
      <c r="A78">
        <v>10</v>
      </c>
      <c r="B78" s="260">
        <f t="shared" ref="B78" si="144">(B66*B$55)+B$38</f>
        <v>0.10681818181818181</v>
      </c>
      <c r="C78" s="260">
        <f t="shared" ref="C78:I78" si="145">(C66*C$55)+C$38</f>
        <v>0.10681818181818181</v>
      </c>
      <c r="D78" s="260">
        <f t="shared" si="145"/>
        <v>0.10681818181818181</v>
      </c>
      <c r="E78" s="260">
        <f t="shared" si="145"/>
        <v>0.10681818181818181</v>
      </c>
      <c r="F78" s="260">
        <f t="shared" si="145"/>
        <v>0.10681818181818181</v>
      </c>
      <c r="G78" s="260">
        <f t="shared" si="145"/>
        <v>0.10681818181818181</v>
      </c>
      <c r="H78" s="260">
        <f t="shared" si="145"/>
        <v>0.10681818181818181</v>
      </c>
      <c r="I78" s="260">
        <f t="shared" si="145"/>
        <v>0.10681818181818181</v>
      </c>
      <c r="J78" s="260">
        <f t="shared" ref="J78:K78" si="146">(J66*J$55)+J$38</f>
        <v>0.10681818181818181</v>
      </c>
      <c r="K78" s="260">
        <f t="shared" si="146"/>
        <v>0.10681818181818181</v>
      </c>
    </row>
    <row r="79" spans="1:11" ht="14.5" outlineLevel="1">
      <c r="A79">
        <v>11</v>
      </c>
      <c r="B79" s="260">
        <f t="shared" ref="B79" si="147">(B67*B$55)+B$38</f>
        <v>0.10227272727272727</v>
      </c>
      <c r="C79" s="260">
        <f t="shared" ref="C79:I79" si="148">(C67*C$55)+C$38</f>
        <v>0.10227272727272727</v>
      </c>
      <c r="D79" s="260">
        <f t="shared" si="148"/>
        <v>0.10227272727272727</v>
      </c>
      <c r="E79" s="260">
        <f t="shared" si="148"/>
        <v>0.10227272727272727</v>
      </c>
      <c r="F79" s="260">
        <f t="shared" si="148"/>
        <v>0.10227272727272727</v>
      </c>
      <c r="G79" s="260">
        <f t="shared" si="148"/>
        <v>0.10227272727272727</v>
      </c>
      <c r="H79" s="260">
        <f t="shared" si="148"/>
        <v>0.10227272727272727</v>
      </c>
      <c r="I79" s="260">
        <f t="shared" si="148"/>
        <v>0.10227272727272727</v>
      </c>
      <c r="J79" s="260">
        <f t="shared" ref="J79:K79" si="149">(J67*J$55)+J$38</f>
        <v>0.10227272727272727</v>
      </c>
      <c r="K79" s="260">
        <f t="shared" si="149"/>
        <v>0.10227272727272727</v>
      </c>
    </row>
    <row r="80" spans="1:11" ht="14.5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0">(B69+B70)*B$54/2</f>
        <v>1.322314049586777E-3</v>
      </c>
      <c r="C81" s="261">
        <f t="shared" ref="C81:I81" si="151">(C69+C70)*C$54/2</f>
        <v>1.9834710743801649E-3</v>
      </c>
      <c r="D81" s="261">
        <f t="shared" si="151"/>
        <v>1.9834710743801649E-3</v>
      </c>
      <c r="E81" s="261">
        <f t="shared" si="151"/>
        <v>1.9834710743801649E-3</v>
      </c>
      <c r="F81" s="261">
        <f t="shared" si="151"/>
        <v>1.9834710743801649E-3</v>
      </c>
      <c r="G81" s="261">
        <f t="shared" si="151"/>
        <v>1.9834710743801649E-3</v>
      </c>
      <c r="H81" s="261">
        <f t="shared" si="151"/>
        <v>1.9834710743801649E-3</v>
      </c>
      <c r="I81" s="261">
        <f t="shared" si="151"/>
        <v>1.9834710743801649E-3</v>
      </c>
      <c r="J81" s="261">
        <f t="shared" ref="J81:K81" si="152">(J69+J70)*J$54/2</f>
        <v>1.9834710743801649E-3</v>
      </c>
      <c r="K81" s="261">
        <f t="shared" si="152"/>
        <v>1.9834710743801649E-3</v>
      </c>
    </row>
    <row r="82" spans="1:11" ht="14.5" hidden="1" outlineLevel="1">
      <c r="A82">
        <v>2</v>
      </c>
      <c r="B82" s="261">
        <f t="shared" ref="B82:B89" si="153">(B70+B71)*B$54/2</f>
        <v>1.2809917355371904E-3</v>
      </c>
      <c r="C82" s="261">
        <f t="shared" ref="C82:I82" si="154">(C70+C71)*C$54/2</f>
        <v>1.9214876033057853E-3</v>
      </c>
      <c r="D82" s="261">
        <f t="shared" si="154"/>
        <v>1.9214876033057853E-3</v>
      </c>
      <c r="E82" s="261">
        <f t="shared" si="154"/>
        <v>1.9214876033057853E-3</v>
      </c>
      <c r="F82" s="261">
        <f t="shared" si="154"/>
        <v>1.9214876033057853E-3</v>
      </c>
      <c r="G82" s="261">
        <f t="shared" si="154"/>
        <v>1.9214876033057853E-3</v>
      </c>
      <c r="H82" s="261">
        <f t="shared" si="154"/>
        <v>1.9214876033057853E-3</v>
      </c>
      <c r="I82" s="261">
        <f t="shared" si="154"/>
        <v>1.9214876033057853E-3</v>
      </c>
      <c r="J82" s="261">
        <f t="shared" ref="J82:K82" si="155">(J70+J71)*J$54/2</f>
        <v>1.9214876033057853E-3</v>
      </c>
      <c r="K82" s="261">
        <f t="shared" si="155"/>
        <v>1.9214876033057853E-3</v>
      </c>
    </row>
    <row r="83" spans="1:11" ht="14.5" hidden="1" outlineLevel="1">
      <c r="A83">
        <v>3</v>
      </c>
      <c r="B83" s="261">
        <f t="shared" si="153"/>
        <v>1.2396694214876034E-3</v>
      </c>
      <c r="C83" s="261">
        <f t="shared" ref="C83:I83" si="156">(C71+C72)*C$54/2</f>
        <v>1.8595041322314048E-3</v>
      </c>
      <c r="D83" s="261">
        <f t="shared" si="156"/>
        <v>1.8595041322314048E-3</v>
      </c>
      <c r="E83" s="261">
        <f t="shared" si="156"/>
        <v>1.8595041322314048E-3</v>
      </c>
      <c r="F83" s="261">
        <f t="shared" si="156"/>
        <v>1.8595041322314048E-3</v>
      </c>
      <c r="G83" s="261">
        <f t="shared" si="156"/>
        <v>1.8595041322314048E-3</v>
      </c>
      <c r="H83" s="261">
        <f t="shared" si="156"/>
        <v>1.8595041322314048E-3</v>
      </c>
      <c r="I83" s="261">
        <f t="shared" si="156"/>
        <v>1.8595041322314048E-3</v>
      </c>
      <c r="J83" s="261">
        <f t="shared" ref="J83:K83" si="157">(J71+J72)*J$54/2</f>
        <v>1.8595041322314048E-3</v>
      </c>
      <c r="K83" s="261">
        <f t="shared" si="157"/>
        <v>1.8595041322314048E-3</v>
      </c>
    </row>
    <row r="84" spans="1:11" ht="14.5" hidden="1" outlineLevel="1">
      <c r="A84">
        <v>4</v>
      </c>
      <c r="B84" s="261">
        <f t="shared" si="153"/>
        <v>1.1983471074380168E-3</v>
      </c>
      <c r="C84" s="261">
        <f t="shared" ref="C84:I84" si="158">(C72+C73)*C$54/2</f>
        <v>1.7975206611570249E-3</v>
      </c>
      <c r="D84" s="261">
        <f t="shared" si="158"/>
        <v>1.7975206611570249E-3</v>
      </c>
      <c r="E84" s="261">
        <f t="shared" si="158"/>
        <v>1.7975206611570249E-3</v>
      </c>
      <c r="F84" s="261">
        <f t="shared" si="158"/>
        <v>1.7975206611570249E-3</v>
      </c>
      <c r="G84" s="261">
        <f t="shared" si="158"/>
        <v>1.7975206611570249E-3</v>
      </c>
      <c r="H84" s="261">
        <f t="shared" si="158"/>
        <v>1.7975206611570249E-3</v>
      </c>
      <c r="I84" s="261">
        <f t="shared" si="158"/>
        <v>1.7975206611570249E-3</v>
      </c>
      <c r="J84" s="261">
        <f t="shared" ref="J84:K84" si="159">(J72+J73)*J$54/2</f>
        <v>1.7975206611570249E-3</v>
      </c>
      <c r="K84" s="261">
        <f t="shared" si="159"/>
        <v>1.7975206611570249E-3</v>
      </c>
    </row>
    <row r="85" spans="1:11" ht="14.5" hidden="1" outlineLevel="1">
      <c r="A85">
        <v>5</v>
      </c>
      <c r="B85" s="261">
        <f t="shared" si="153"/>
        <v>1.1570247933884298E-3</v>
      </c>
      <c r="C85" s="261">
        <f t="shared" ref="C85:I85" si="160">(C73+C74)*C$54/2</f>
        <v>1.7355371900826444E-3</v>
      </c>
      <c r="D85" s="261">
        <f t="shared" si="160"/>
        <v>1.7355371900826444E-3</v>
      </c>
      <c r="E85" s="261">
        <f t="shared" si="160"/>
        <v>1.7355371900826444E-3</v>
      </c>
      <c r="F85" s="261">
        <f t="shared" si="160"/>
        <v>1.7355371900826444E-3</v>
      </c>
      <c r="G85" s="261">
        <f t="shared" si="160"/>
        <v>1.7355371900826444E-3</v>
      </c>
      <c r="H85" s="261">
        <f t="shared" si="160"/>
        <v>1.7355371900826444E-3</v>
      </c>
      <c r="I85" s="261">
        <f t="shared" si="160"/>
        <v>1.7355371900826444E-3</v>
      </c>
      <c r="J85" s="261">
        <f t="shared" ref="J85:K85" si="161">(J73+J74)*J$54/2</f>
        <v>1.7355371900826444E-3</v>
      </c>
      <c r="K85" s="261">
        <f t="shared" si="161"/>
        <v>1.7355371900826444E-3</v>
      </c>
    </row>
    <row r="86" spans="1:11" ht="14.5" hidden="1" outlineLevel="1">
      <c r="A86">
        <v>6</v>
      </c>
      <c r="B86" s="261">
        <f t="shared" si="153"/>
        <v>1.115702479338843E-3</v>
      </c>
      <c r="C86" s="261">
        <f t="shared" ref="C86:I86" si="162">(C74+C75)*C$54/2</f>
        <v>1.6735537190082643E-3</v>
      </c>
      <c r="D86" s="261">
        <f t="shared" si="162"/>
        <v>1.6735537190082643E-3</v>
      </c>
      <c r="E86" s="261">
        <f t="shared" si="162"/>
        <v>1.6735537190082643E-3</v>
      </c>
      <c r="F86" s="261">
        <f t="shared" si="162"/>
        <v>1.6735537190082643E-3</v>
      </c>
      <c r="G86" s="261">
        <f t="shared" si="162"/>
        <v>1.6735537190082643E-3</v>
      </c>
      <c r="H86" s="261">
        <f t="shared" si="162"/>
        <v>1.6735537190082643E-3</v>
      </c>
      <c r="I86" s="261">
        <f t="shared" si="162"/>
        <v>1.6735537190082643E-3</v>
      </c>
      <c r="J86" s="261">
        <f t="shared" ref="J86:K86" si="163">(J74+J75)*J$54/2</f>
        <v>1.6735537190082643E-3</v>
      </c>
      <c r="K86" s="261">
        <f t="shared" si="163"/>
        <v>1.6735537190082643E-3</v>
      </c>
    </row>
    <row r="87" spans="1:11" ht="14.5" hidden="1" outlineLevel="1">
      <c r="A87">
        <v>7</v>
      </c>
      <c r="B87" s="261">
        <f t="shared" si="153"/>
        <v>1.0743801652892562E-3</v>
      </c>
      <c r="C87" s="261">
        <f t="shared" ref="C87:I87" si="164">(C75+C76)*C$54/2</f>
        <v>1.6115702479338842E-3</v>
      </c>
      <c r="D87" s="261">
        <f t="shared" si="164"/>
        <v>1.6115702479338842E-3</v>
      </c>
      <c r="E87" s="261">
        <f t="shared" si="164"/>
        <v>1.6115702479338842E-3</v>
      </c>
      <c r="F87" s="261">
        <f t="shared" si="164"/>
        <v>1.6115702479338842E-3</v>
      </c>
      <c r="G87" s="261">
        <f t="shared" si="164"/>
        <v>1.6115702479338842E-3</v>
      </c>
      <c r="H87" s="261">
        <f t="shared" si="164"/>
        <v>1.6115702479338842E-3</v>
      </c>
      <c r="I87" s="261">
        <f t="shared" si="164"/>
        <v>1.6115702479338842E-3</v>
      </c>
      <c r="J87" s="261">
        <f t="shared" ref="J87:K87" si="165">(J75+J76)*J$54/2</f>
        <v>1.6115702479338842E-3</v>
      </c>
      <c r="K87" s="261">
        <f t="shared" si="165"/>
        <v>1.6115702479338842E-3</v>
      </c>
    </row>
    <row r="88" spans="1:11" ht="14.5" hidden="1" outlineLevel="1">
      <c r="A88">
        <v>8</v>
      </c>
      <c r="B88" s="261">
        <f t="shared" si="153"/>
        <v>1.0330578512396695E-3</v>
      </c>
      <c r="C88" s="261">
        <f t="shared" ref="C88:I88" si="166">(C76+C77)*C$54/2</f>
        <v>1.549586776859504E-3</v>
      </c>
      <c r="D88" s="261">
        <f t="shared" si="166"/>
        <v>1.549586776859504E-3</v>
      </c>
      <c r="E88" s="261">
        <f t="shared" si="166"/>
        <v>1.549586776859504E-3</v>
      </c>
      <c r="F88" s="261">
        <f t="shared" si="166"/>
        <v>1.549586776859504E-3</v>
      </c>
      <c r="G88" s="261">
        <f t="shared" si="166"/>
        <v>1.549586776859504E-3</v>
      </c>
      <c r="H88" s="261">
        <f t="shared" si="166"/>
        <v>1.549586776859504E-3</v>
      </c>
      <c r="I88" s="261">
        <f t="shared" si="166"/>
        <v>1.549586776859504E-3</v>
      </c>
      <c r="J88" s="261">
        <f t="shared" ref="J88:K88" si="167">(J76+J77)*J$54/2</f>
        <v>1.549586776859504E-3</v>
      </c>
      <c r="K88" s="261">
        <f t="shared" si="167"/>
        <v>1.549586776859504E-3</v>
      </c>
    </row>
    <row r="89" spans="1:11" ht="14.5" hidden="1" outlineLevel="1">
      <c r="A89">
        <v>9</v>
      </c>
      <c r="B89" s="261">
        <f t="shared" si="153"/>
        <v>9.9173553719008266E-4</v>
      </c>
      <c r="C89" s="261">
        <f t="shared" ref="C89:I89" si="168">(C77+C78)*C$54/2</f>
        <v>1.4876033057851239E-3</v>
      </c>
      <c r="D89" s="261">
        <f t="shared" si="168"/>
        <v>1.4876033057851239E-3</v>
      </c>
      <c r="E89" s="261">
        <f t="shared" si="168"/>
        <v>1.4876033057851239E-3</v>
      </c>
      <c r="F89" s="261">
        <f t="shared" si="168"/>
        <v>1.4876033057851239E-3</v>
      </c>
      <c r="G89" s="261">
        <f t="shared" si="168"/>
        <v>1.4876033057851239E-3</v>
      </c>
      <c r="H89" s="261">
        <f t="shared" si="168"/>
        <v>1.4876033057851239E-3</v>
      </c>
      <c r="I89" s="261">
        <f t="shared" si="168"/>
        <v>1.4876033057851239E-3</v>
      </c>
      <c r="J89" s="261">
        <f t="shared" ref="J89:K89" si="169">(J77+J78)*J$54/2</f>
        <v>1.4876033057851239E-3</v>
      </c>
      <c r="K89" s="261">
        <f t="shared" si="169"/>
        <v>1.4876033057851239E-3</v>
      </c>
    </row>
    <row r="90" spans="1:11" ht="14.5" hidden="1" outlineLevel="1">
      <c r="A90">
        <v>10</v>
      </c>
      <c r="B90" s="261">
        <f>(B78+B79)*B$54/2</f>
        <v>9.5041322314049599E-4</v>
      </c>
      <c r="C90" s="261">
        <f t="shared" ref="C90:I90" si="170">(C78+C79)*C$54/2</f>
        <v>1.4256198347107436E-3</v>
      </c>
      <c r="D90" s="261">
        <f t="shared" si="170"/>
        <v>1.4256198347107436E-3</v>
      </c>
      <c r="E90" s="261">
        <f t="shared" si="170"/>
        <v>1.4256198347107436E-3</v>
      </c>
      <c r="F90" s="261">
        <f t="shared" si="170"/>
        <v>1.4256198347107436E-3</v>
      </c>
      <c r="G90" s="261">
        <f t="shared" si="170"/>
        <v>1.4256198347107436E-3</v>
      </c>
      <c r="H90" s="261">
        <f t="shared" si="170"/>
        <v>1.4256198347107436E-3</v>
      </c>
      <c r="I90" s="261">
        <f t="shared" si="170"/>
        <v>1.4256198347107436E-3</v>
      </c>
      <c r="J90" s="261">
        <f t="shared" ref="J90:K90" si="171">(J78+J79)*J$54/2</f>
        <v>1.4256198347107436E-3</v>
      </c>
      <c r="K90" s="261">
        <f t="shared" si="171"/>
        <v>1.4256198347107436E-3</v>
      </c>
    </row>
    <row r="91" spans="1:11" ht="14.5" collapsed="1">
      <c r="A91" t="s">
        <v>490</v>
      </c>
      <c r="B91" s="260">
        <f>SUM(B81:B90)</f>
        <v>1.1363636363636366E-2</v>
      </c>
      <c r="C91" s="260">
        <f t="shared" ref="C91:I91" si="172">SUM(C81:C90)</f>
        <v>1.7045454545454544E-2</v>
      </c>
      <c r="D91" s="260">
        <f t="shared" si="172"/>
        <v>1.7045454545454544E-2</v>
      </c>
      <c r="E91" s="260">
        <f t="shared" si="172"/>
        <v>1.7045454545454544E-2</v>
      </c>
      <c r="F91" s="260">
        <f t="shared" si="172"/>
        <v>1.7045454545454544E-2</v>
      </c>
      <c r="G91" s="260">
        <f t="shared" si="172"/>
        <v>1.7045454545454544E-2</v>
      </c>
      <c r="H91" s="260">
        <f t="shared" si="172"/>
        <v>1.7045454545454544E-2</v>
      </c>
      <c r="I91" s="260">
        <f t="shared" si="172"/>
        <v>1.7045454545454544E-2</v>
      </c>
      <c r="J91" s="260">
        <f t="shared" ref="J91" si="173">SUM(J81:J90)</f>
        <v>1.7045454545454544E-2</v>
      </c>
      <c r="K91" s="260">
        <f t="shared" ref="K91" si="174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1.951405929863677</v>
      </c>
      <c r="C93" s="287">
        <f t="shared" ref="C93:I93" si="175">IF(C7&lt;1,(C95/(C96+C97))/SQRT(1-C7^2),(C95/(C96+C97))/SQRT(1-0.99^2))</f>
        <v>1.7516574184821574</v>
      </c>
      <c r="D93" s="287">
        <f t="shared" si="175"/>
        <v>1.8270316629357042</v>
      </c>
      <c r="E93" s="287">
        <f t="shared" si="175"/>
        <v>2.0125011551487666</v>
      </c>
      <c r="F93" s="287">
        <f t="shared" si="175"/>
        <v>2.4405161277517413</v>
      </c>
      <c r="G93" s="287">
        <f t="shared" si="175"/>
        <v>12.354928369089945</v>
      </c>
      <c r="H93" s="287">
        <f t="shared" si="175"/>
        <v>12.354928369089945</v>
      </c>
      <c r="I93" s="287">
        <f t="shared" si="175"/>
        <v>12.354928369089945</v>
      </c>
      <c r="J93" s="287">
        <f t="shared" ref="J93:K93" si="176">IF(J7&lt;1,(J95/(J96+J97))/SQRT(1-J7^2),(J95/(J96+J97))/SQRT(1-0.99^2))</f>
        <v>12.354928369089945</v>
      </c>
      <c r="K93" s="287">
        <f t="shared" si="176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1.951405929863677</v>
      </c>
      <c r="C94" s="287">
        <f t="shared" ref="C94:I94" si="177">IF(C6&lt;1,C93,IF(C6&gt;1,(4)/SQRT(C6^2-1),(4)/SQRT((1.01)^2-1)))</f>
        <v>1.7516574184821574</v>
      </c>
      <c r="D94" s="287">
        <f t="shared" si="177"/>
        <v>1.8270316629357042</v>
      </c>
      <c r="E94" s="287">
        <f t="shared" si="177"/>
        <v>2.0125011551487666</v>
      </c>
      <c r="F94" s="287">
        <f t="shared" si="177"/>
        <v>2.4405161277517413</v>
      </c>
      <c r="G94" s="287">
        <f t="shared" si="177"/>
        <v>28.213824634343929</v>
      </c>
      <c r="H94" s="287">
        <f t="shared" si="177"/>
        <v>3.5777087639996634</v>
      </c>
      <c r="I94" s="287">
        <f t="shared" si="177"/>
        <v>2.3094010767585034</v>
      </c>
      <c r="J94" s="287">
        <f t="shared" ref="J94" si="178">IF(J6&lt;1,J93,IF(J6&gt;1,(4)/SQRT(J6^2-1),(4)/SQRT((1.01)^2-1)))</f>
        <v>1.4142135623730949</v>
      </c>
      <c r="K94" s="287">
        <f t="shared" ref="K94" si="179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2.4065995948258654</v>
      </c>
      <c r="C95" s="190">
        <f t="shared" ref="C95:I95" si="180">PI()*COS(RADIANS(C43))</f>
        <v>2.2214414690791831</v>
      </c>
      <c r="D95" s="190">
        <f t="shared" si="180"/>
        <v>2.2214414690791831</v>
      </c>
      <c r="E95" s="190">
        <f t="shared" si="180"/>
        <v>2.2214414690791831</v>
      </c>
      <c r="F95" s="190">
        <f t="shared" si="180"/>
        <v>2.2214414690791831</v>
      </c>
      <c r="G95" s="190">
        <f t="shared" si="180"/>
        <v>2.2214414690791831</v>
      </c>
      <c r="H95" s="190">
        <f t="shared" si="180"/>
        <v>2.2214414690791831</v>
      </c>
      <c r="I95" s="190">
        <f t="shared" si="180"/>
        <v>2.2214414690791831</v>
      </c>
      <c r="J95" s="190">
        <f t="shared" ref="J95:K95" si="181">PI()*COS(RADIANS(J43))</f>
        <v>2.2214414690791831</v>
      </c>
      <c r="K95" s="190">
        <f t="shared" si="181"/>
        <v>2.2214414690791831</v>
      </c>
    </row>
    <row r="96" spans="1:11" ht="14.5" hidden="1" outlineLevel="1">
      <c r="A96" t="s">
        <v>374</v>
      </c>
      <c r="B96" s="190">
        <f>SQRT(1+((B95/(PI()*B51))^2))</f>
        <v>1.0631365572251734</v>
      </c>
      <c r="C96" s="190">
        <f t="shared" ref="C96:I96" si="182">SQRT(1+((C95/(PI()*C51))^2))</f>
        <v>1.0295766535643616</v>
      </c>
      <c r="D96" s="190">
        <f t="shared" si="182"/>
        <v>1.0295766535643616</v>
      </c>
      <c r="E96" s="190">
        <f t="shared" si="182"/>
        <v>1.0295766535643616</v>
      </c>
      <c r="F96" s="190">
        <f t="shared" si="182"/>
        <v>1.0295766535643616</v>
      </c>
      <c r="G96" s="190">
        <f t="shared" si="182"/>
        <v>1.0295766535643616</v>
      </c>
      <c r="H96" s="190">
        <f t="shared" si="182"/>
        <v>1.0295766535643616</v>
      </c>
      <c r="I96" s="190">
        <f t="shared" si="182"/>
        <v>1.0295766535643616</v>
      </c>
      <c r="J96" s="190">
        <f t="shared" ref="J96" si="183">SQRT(1+((J95/(PI()*J51))^2))</f>
        <v>1.0295766535643616</v>
      </c>
      <c r="K96" s="190">
        <f t="shared" ref="K96" si="184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0.36091458727598441</v>
      </c>
      <c r="C97" s="190">
        <f t="shared" ref="C97:I97" si="185">C95/(PI()*C51)</f>
        <v>0.24500629699007567</v>
      </c>
      <c r="D97" s="190">
        <f t="shared" si="185"/>
        <v>0.24500629699007567</v>
      </c>
      <c r="E97" s="190">
        <f t="shared" si="185"/>
        <v>0.24500629699007567</v>
      </c>
      <c r="F97" s="190">
        <f t="shared" si="185"/>
        <v>0.24500629699007567</v>
      </c>
      <c r="G97" s="190">
        <f t="shared" si="185"/>
        <v>0.24500629699007567</v>
      </c>
      <c r="H97" s="190">
        <f t="shared" si="185"/>
        <v>0.24500629699007567</v>
      </c>
      <c r="I97" s="190">
        <f t="shared" si="185"/>
        <v>0.24500629699007567</v>
      </c>
      <c r="J97" s="190">
        <f t="shared" ref="J97:K97" si="186">J95/(PI()*J51)</f>
        <v>0.24500629699007567</v>
      </c>
      <c r="K97" s="190">
        <f t="shared" si="186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1643842.4208990422</v>
      </c>
      <c r="C99" s="185">
        <f t="shared" ref="C99:I99" si="187">(C16*C3*C38)/C19</f>
        <v>341245.90030331042</v>
      </c>
      <c r="D99" s="185">
        <f t="shared" si="187"/>
        <v>1023737.7009099312</v>
      </c>
      <c r="E99" s="185">
        <f t="shared" si="187"/>
        <v>1706229.5015165519</v>
      </c>
      <c r="F99" s="185">
        <f t="shared" si="187"/>
        <v>2388721.3021231727</v>
      </c>
      <c r="G99" s="185">
        <f t="shared" si="187"/>
        <v>3412459.0030331039</v>
      </c>
      <c r="H99" s="185">
        <f t="shared" si="187"/>
        <v>5118688.5045496561</v>
      </c>
      <c r="I99" s="185">
        <f t="shared" si="187"/>
        <v>6824918.0060662078</v>
      </c>
      <c r="J99" s="185">
        <f t="shared" ref="J99:K99" si="188">(J16*J3*J38)/J19</f>
        <v>10237377.009099312</v>
      </c>
      <c r="K99" s="185">
        <f t="shared" si="188"/>
        <v>17062295.015165523</v>
      </c>
    </row>
    <row r="100" spans="1:11" ht="14.5">
      <c r="A100" t="s">
        <v>377</v>
      </c>
      <c r="B100" s="185">
        <f>(B16*B3*B39)/B19</f>
        <v>109589494.72660282</v>
      </c>
      <c r="C100" s="185">
        <f t="shared" ref="C100:I100" si="189">(C16*C3*C39)/C19</f>
        <v>22749726.686887365</v>
      </c>
      <c r="D100" s="185">
        <f t="shared" si="189"/>
        <v>68249180.060662091</v>
      </c>
      <c r="E100" s="185">
        <f t="shared" si="189"/>
        <v>113748633.4344368</v>
      </c>
      <c r="F100" s="185">
        <f t="shared" si="189"/>
        <v>159248086.80821151</v>
      </c>
      <c r="G100" s="185">
        <f t="shared" si="189"/>
        <v>227497266.8688736</v>
      </c>
      <c r="H100" s="185">
        <f t="shared" si="189"/>
        <v>341245900.30331039</v>
      </c>
      <c r="I100" s="185">
        <f t="shared" si="189"/>
        <v>454994533.73774719</v>
      </c>
      <c r="J100" s="185">
        <f t="shared" ref="J100:K100" si="190">(J16*J3*J39)/J19</f>
        <v>682491800.60662079</v>
      </c>
      <c r="K100" s="185">
        <f t="shared" si="190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1">C101/1000</f>
        <v>1.0835747058992552E-6</v>
      </c>
      <c r="D102" s="185">
        <f t="shared" si="191"/>
        <v>1.0835747058992552E-6</v>
      </c>
      <c r="E102" s="185">
        <f t="shared" si="191"/>
        <v>1.0835747058992552E-6</v>
      </c>
      <c r="F102" s="185">
        <f t="shared" si="191"/>
        <v>1.0835747058992552E-6</v>
      </c>
      <c r="G102" s="185">
        <f t="shared" si="191"/>
        <v>1.0835747058992552E-6</v>
      </c>
      <c r="H102" s="185">
        <f t="shared" si="191"/>
        <v>1.0835747058992552E-6</v>
      </c>
      <c r="I102" s="185">
        <f t="shared" si="191"/>
        <v>1.0835747058992552E-6</v>
      </c>
      <c r="J102" s="185">
        <f t="shared" ref="J102" si="192">J101/1000</f>
        <v>1.0835747058992552E-6</v>
      </c>
      <c r="K102" s="185">
        <f t="shared" ref="K102" si="193">K101/1000</f>
        <v>1.0835747058992552E-6</v>
      </c>
    </row>
    <row r="103" spans="1:11" ht="14.5">
      <c r="A103" t="s">
        <v>488</v>
      </c>
      <c r="B103" s="190">
        <f>(B102*B3)/B19</f>
        <v>166.19760893838935</v>
      </c>
      <c r="C103" s="190">
        <f t="shared" ref="C103:I103" si="194">(C102*C3)/C19</f>
        <v>2.0082038518447769</v>
      </c>
      <c r="D103" s="190">
        <f t="shared" si="194"/>
        <v>6.0246115555343307</v>
      </c>
      <c r="E103" s="190">
        <f t="shared" si="194"/>
        <v>10.041019259223885</v>
      </c>
      <c r="F103" s="190">
        <f t="shared" si="194"/>
        <v>14.057426962913439</v>
      </c>
      <c r="G103" s="190">
        <f t="shared" si="194"/>
        <v>20.082038518447771</v>
      </c>
      <c r="H103" s="190">
        <f t="shared" si="194"/>
        <v>30.123057777671651</v>
      </c>
      <c r="I103" s="190">
        <f t="shared" si="194"/>
        <v>40.164077036895542</v>
      </c>
      <c r="J103" s="190">
        <f t="shared" ref="J103" si="195">(J102*J3)/J19</f>
        <v>60.246115555343302</v>
      </c>
      <c r="K103" s="190">
        <f t="shared" ref="K103" si="196">(K102*K3)/K19</f>
        <v>100.41019259223886</v>
      </c>
    </row>
    <row r="104" spans="1:11" s="186" customFormat="1" ht="14.5">
      <c r="A104" s="271" t="s">
        <v>493</v>
      </c>
      <c r="B104" s="277">
        <f>B116</f>
        <v>6.7411656147686205</v>
      </c>
      <c r="C104" s="277">
        <f t="shared" ref="C104:I104" si="197">C116</f>
        <v>8.1455051248784244E-2</v>
      </c>
      <c r="D104" s="277">
        <f t="shared" si="197"/>
        <v>0.24436515374635276</v>
      </c>
      <c r="E104" s="277">
        <f t="shared" si="197"/>
        <v>0.4072752562439213</v>
      </c>
      <c r="F104" s="277">
        <f t="shared" si="197"/>
        <v>0.57018535874148979</v>
      </c>
      <c r="G104" s="277">
        <f t="shared" si="197"/>
        <v>0.8145505124878426</v>
      </c>
      <c r="H104" s="277">
        <f t="shared" si="197"/>
        <v>1.2218257687317635</v>
      </c>
      <c r="I104" s="277">
        <f t="shared" si="197"/>
        <v>1.6291010249756852</v>
      </c>
      <c r="J104" s="277">
        <f t="shared" ref="J104:K104" si="198">J116</f>
        <v>2.443651537463527</v>
      </c>
      <c r="K104" s="277">
        <f t="shared" si="198"/>
        <v>4.0727525624392129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199">C38/$A110</f>
        <v>0.03</v>
      </c>
      <c r="D105" s="190">
        <f t="shared" si="199"/>
        <v>0.03</v>
      </c>
      <c r="E105" s="190">
        <f t="shared" si="199"/>
        <v>0.03</v>
      </c>
      <c r="F105" s="190">
        <f t="shared" si="199"/>
        <v>0.03</v>
      </c>
      <c r="G105" s="190">
        <f t="shared" si="199"/>
        <v>0.03</v>
      </c>
      <c r="H105" s="190">
        <f t="shared" si="199"/>
        <v>0.03</v>
      </c>
      <c r="I105" s="190">
        <f t="shared" si="199"/>
        <v>0.03</v>
      </c>
      <c r="J105" s="190">
        <f t="shared" ref="J105:K105" si="200">J38/$A110</f>
        <v>0.03</v>
      </c>
      <c r="K105" s="190">
        <f t="shared" si="200"/>
        <v>0.03</v>
      </c>
    </row>
    <row r="106" spans="1:11" ht="14.5" hidden="1" outlineLevel="1">
      <c r="A106">
        <v>1</v>
      </c>
      <c r="B106" s="185">
        <f>(B$16*B$3*($A106*B$105))/B$19</f>
        <v>328768.48417980847</v>
      </c>
      <c r="C106" s="185">
        <f t="shared" ref="C106:K110" si="201">(C$16*C$3*($A106*C$105))/C$19</f>
        <v>68249.180060662082</v>
      </c>
      <c r="D106" s="185">
        <f t="shared" si="201"/>
        <v>204747.54018198623</v>
      </c>
      <c r="E106" s="185">
        <f t="shared" si="201"/>
        <v>341245.90030331037</v>
      </c>
      <c r="F106" s="185">
        <f t="shared" si="201"/>
        <v>477744.26042463456</v>
      </c>
      <c r="G106" s="185">
        <f t="shared" si="201"/>
        <v>682491.80060662073</v>
      </c>
      <c r="H106" s="185">
        <f t="shared" si="201"/>
        <v>1023737.7009099312</v>
      </c>
      <c r="I106" s="185">
        <f t="shared" si="201"/>
        <v>1364983.6012132415</v>
      </c>
      <c r="J106" s="185">
        <f t="shared" si="201"/>
        <v>2047475.4018198624</v>
      </c>
      <c r="K106" s="185">
        <f t="shared" si="201"/>
        <v>3412459.0030331044</v>
      </c>
    </row>
    <row r="107" spans="1:11" ht="14.5" hidden="1" outlineLevel="1">
      <c r="A107">
        <v>2</v>
      </c>
      <c r="B107" s="185">
        <f>(B$16*B$3*($A107*B$105))/B$19</f>
        <v>657536.96835961693</v>
      </c>
      <c r="C107" s="185">
        <f t="shared" si="201"/>
        <v>136498.36012132416</v>
      </c>
      <c r="D107" s="185">
        <f t="shared" si="201"/>
        <v>409495.08036397246</v>
      </c>
      <c r="E107" s="185">
        <f t="shared" si="201"/>
        <v>682491.80060662073</v>
      </c>
      <c r="F107" s="185">
        <f t="shared" si="201"/>
        <v>955488.52084926912</v>
      </c>
      <c r="G107" s="185">
        <f t="shared" si="201"/>
        <v>1364983.6012132415</v>
      </c>
      <c r="H107" s="185">
        <f t="shared" si="201"/>
        <v>2047475.4018198624</v>
      </c>
      <c r="I107" s="185">
        <f t="shared" si="201"/>
        <v>2729967.2024264829</v>
      </c>
      <c r="J107" s="185">
        <f t="shared" si="201"/>
        <v>4094950.8036397249</v>
      </c>
      <c r="K107" s="185">
        <f t="shared" si="201"/>
        <v>6824918.0060662087</v>
      </c>
    </row>
    <row r="108" spans="1:11" ht="14.5" hidden="1" outlineLevel="1">
      <c r="A108">
        <v>3</v>
      </c>
      <c r="B108" s="185">
        <f>(B$16*B$3*($A108*B$105))/B$19</f>
        <v>986305.45253942534</v>
      </c>
      <c r="C108" s="185">
        <f t="shared" si="201"/>
        <v>204747.54018198623</v>
      </c>
      <c r="D108" s="185">
        <f t="shared" si="201"/>
        <v>614242.62054595875</v>
      </c>
      <c r="E108" s="185">
        <f t="shared" si="201"/>
        <v>1023737.7009099312</v>
      </c>
      <c r="F108" s="185">
        <f t="shared" si="201"/>
        <v>1433232.7812739036</v>
      </c>
      <c r="G108" s="185">
        <f t="shared" si="201"/>
        <v>2047475.4018198624</v>
      </c>
      <c r="H108" s="185">
        <f t="shared" si="201"/>
        <v>3071213.1027297936</v>
      </c>
      <c r="I108" s="185">
        <f t="shared" si="201"/>
        <v>4094950.8036397249</v>
      </c>
      <c r="J108" s="185">
        <f t="shared" si="201"/>
        <v>6142426.2054595873</v>
      </c>
      <c r="K108" s="185">
        <f t="shared" si="201"/>
        <v>10237377.009099314</v>
      </c>
    </row>
    <row r="109" spans="1:11" ht="14.5" hidden="1" outlineLevel="1">
      <c r="A109">
        <v>4</v>
      </c>
      <c r="B109" s="185">
        <f>(B$16*B$3*($A109*B$105))/B$19</f>
        <v>1315073.9367192339</v>
      </c>
      <c r="C109" s="185">
        <f t="shared" si="201"/>
        <v>272996.72024264833</v>
      </c>
      <c r="D109" s="185">
        <f t="shared" si="201"/>
        <v>818990.16072794492</v>
      </c>
      <c r="E109" s="185">
        <f t="shared" si="201"/>
        <v>1364983.6012132415</v>
      </c>
      <c r="F109" s="185">
        <f t="shared" si="201"/>
        <v>1910977.0416985382</v>
      </c>
      <c r="G109" s="185">
        <f t="shared" si="201"/>
        <v>2729967.2024264829</v>
      </c>
      <c r="H109" s="185">
        <f t="shared" si="201"/>
        <v>4094950.8036397249</v>
      </c>
      <c r="I109" s="185">
        <f t="shared" si="201"/>
        <v>5459934.4048529658</v>
      </c>
      <c r="J109" s="185">
        <f t="shared" si="201"/>
        <v>8189901.6072794497</v>
      </c>
      <c r="K109" s="185">
        <f t="shared" si="201"/>
        <v>13649836.012132417</v>
      </c>
    </row>
    <row r="110" spans="1:11" ht="14.5" hidden="1" outlineLevel="1">
      <c r="A110">
        <v>5</v>
      </c>
      <c r="B110" s="185">
        <f>(B$16*B$3*($A110*B$105))/B$19</f>
        <v>1643842.4208990422</v>
      </c>
      <c r="C110" s="185">
        <f t="shared" si="201"/>
        <v>341245.90030331042</v>
      </c>
      <c r="D110" s="185">
        <f t="shared" si="201"/>
        <v>1023737.7009099312</v>
      </c>
      <c r="E110" s="185">
        <f t="shared" si="201"/>
        <v>1706229.5015165519</v>
      </c>
      <c r="F110" s="185">
        <f t="shared" si="201"/>
        <v>2388721.3021231727</v>
      </c>
      <c r="G110" s="185">
        <f t="shared" si="201"/>
        <v>3412459.0030331039</v>
      </c>
      <c r="H110" s="185">
        <f t="shared" si="201"/>
        <v>5118688.5045496561</v>
      </c>
      <c r="I110" s="185">
        <f t="shared" si="201"/>
        <v>6824918.0060662078</v>
      </c>
      <c r="J110" s="185">
        <f t="shared" si="201"/>
        <v>10237377.009099312</v>
      </c>
      <c r="K110" s="185">
        <f t="shared" si="201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7.9183008296008124</v>
      </c>
      <c r="C112" s="185">
        <f t="shared" ref="C112:I112" si="202">C$103*(SQRT(0.0576/(2*($B106^(1/5)))))</f>
        <v>9.567864620702736E-2</v>
      </c>
      <c r="D112" s="185">
        <f t="shared" si="202"/>
        <v>0.28703593862108207</v>
      </c>
      <c r="E112" s="185">
        <f t="shared" si="202"/>
        <v>0.47839323103513687</v>
      </c>
      <c r="F112" s="185">
        <f t="shared" si="202"/>
        <v>0.66975052344919161</v>
      </c>
      <c r="G112" s="185">
        <f t="shared" si="202"/>
        <v>0.95678646207027374</v>
      </c>
      <c r="H112" s="185">
        <f t="shared" si="202"/>
        <v>1.4351796931054104</v>
      </c>
      <c r="I112" s="185">
        <f t="shared" si="202"/>
        <v>1.9135729241405475</v>
      </c>
      <c r="J112" s="185">
        <f t="shared" ref="J112:K112" si="203">J$103*(SQRT(0.0576/(2*($B106^(1/5)))))</f>
        <v>2.8703593862108208</v>
      </c>
      <c r="K112" s="185">
        <f t="shared" si="203"/>
        <v>4.7839323103513687</v>
      </c>
    </row>
    <row r="113" spans="1:11" ht="14.5" hidden="1" outlineLevel="1">
      <c r="A113">
        <v>2</v>
      </c>
      <c r="B113" s="185">
        <f t="shared" ref="B113:B116" si="204">B$103*(SQRT(0.0576/(2*($B107^(1/5)))))</f>
        <v>7.3880359109308289</v>
      </c>
      <c r="C113" s="185">
        <f t="shared" ref="C113:I113" si="205">C$103*(SQRT(0.0576/(2*($B107^(1/5)))))</f>
        <v>8.9271333496734537E-2</v>
      </c>
      <c r="D113" s="185">
        <f t="shared" si="205"/>
        <v>0.26781400049020365</v>
      </c>
      <c r="E113" s="185">
        <f t="shared" si="205"/>
        <v>0.44635666748367275</v>
      </c>
      <c r="F113" s="185">
        <f t="shared" si="205"/>
        <v>0.62489933447714185</v>
      </c>
      <c r="G113" s="185">
        <f t="shared" si="205"/>
        <v>0.89271333496734551</v>
      </c>
      <c r="H113" s="185">
        <f t="shared" si="205"/>
        <v>1.339070002451018</v>
      </c>
      <c r="I113" s="185">
        <f t="shared" si="205"/>
        <v>1.785426669934691</v>
      </c>
      <c r="J113" s="185">
        <f t="shared" ref="J113:K113" si="206">J$103*(SQRT(0.0576/(2*($B107^(1/5)))))</f>
        <v>2.6781400049020361</v>
      </c>
      <c r="K113" s="185">
        <f t="shared" si="206"/>
        <v>4.463566674836728</v>
      </c>
    </row>
    <row r="114" spans="1:11" ht="14.5" hidden="1" outlineLevel="1">
      <c r="A114">
        <v>3</v>
      </c>
      <c r="B114" s="185">
        <f t="shared" si="204"/>
        <v>7.0944686158449741</v>
      </c>
      <c r="C114" s="185">
        <f t="shared" ref="C114:I114" si="207">C$103*(SQRT(0.0576/(2*($B108^(1/5)))))</f>
        <v>8.572409249529743E-2</v>
      </c>
      <c r="D114" s="185">
        <f t="shared" si="207"/>
        <v>0.25717227748589228</v>
      </c>
      <c r="E114" s="185">
        <f t="shared" si="207"/>
        <v>0.42862046247648722</v>
      </c>
      <c r="F114" s="185">
        <f t="shared" si="207"/>
        <v>0.60006864746708211</v>
      </c>
      <c r="G114" s="185">
        <f t="shared" si="207"/>
        <v>0.85724092495297444</v>
      </c>
      <c r="H114" s="185">
        <f t="shared" si="207"/>
        <v>1.2858613874294613</v>
      </c>
      <c r="I114" s="185">
        <f t="shared" si="207"/>
        <v>1.7144818499059489</v>
      </c>
      <c r="J114" s="185">
        <f t="shared" ref="J114:K114" si="208">J$103*(SQRT(0.0576/(2*($B108^(1/5)))))</f>
        <v>2.5717227748589226</v>
      </c>
      <c r="K114" s="185">
        <f t="shared" si="208"/>
        <v>4.2862046247648724</v>
      </c>
    </row>
    <row r="115" spans="1:11" ht="14.5" hidden="1" outlineLevel="1">
      <c r="A115">
        <v>4</v>
      </c>
      <c r="B115" s="185">
        <f t="shared" si="204"/>
        <v>6.8932812475571534</v>
      </c>
      <c r="C115" s="185">
        <f t="shared" ref="C115:I115" si="209">C$103*(SQRT(0.0576/(2*($B109^(1/5)))))</f>
        <v>8.3293099350938232E-2</v>
      </c>
      <c r="D115" s="185">
        <f t="shared" si="209"/>
        <v>0.2498792980528147</v>
      </c>
      <c r="E115" s="185">
        <f t="shared" si="209"/>
        <v>0.41646549675469119</v>
      </c>
      <c r="F115" s="185">
        <f t="shared" si="209"/>
        <v>0.58305169545656765</v>
      </c>
      <c r="G115" s="185">
        <f t="shared" si="209"/>
        <v>0.83293099350938238</v>
      </c>
      <c r="H115" s="185">
        <f t="shared" si="209"/>
        <v>1.2493964902640733</v>
      </c>
      <c r="I115" s="185">
        <f t="shared" si="209"/>
        <v>1.6658619870187648</v>
      </c>
      <c r="J115" s="185">
        <f t="shared" ref="J115:K115" si="210">J$103*(SQRT(0.0576/(2*($B109^(1/5)))))</f>
        <v>2.4987929805281466</v>
      </c>
      <c r="K115" s="185">
        <f t="shared" si="210"/>
        <v>4.1646549675469124</v>
      </c>
    </row>
    <row r="116" spans="1:11" ht="14.5" hidden="1" outlineLevel="1">
      <c r="A116">
        <v>5</v>
      </c>
      <c r="B116" s="185">
        <f t="shared" si="204"/>
        <v>6.7411656147686205</v>
      </c>
      <c r="C116" s="185">
        <f t="shared" ref="C116:I116" si="211">C$103*(SQRT(0.0576/(2*($B110^(1/5)))))</f>
        <v>8.1455051248784244E-2</v>
      </c>
      <c r="D116" s="185">
        <f t="shared" si="211"/>
        <v>0.24436515374635276</v>
      </c>
      <c r="E116" s="185">
        <f t="shared" si="211"/>
        <v>0.4072752562439213</v>
      </c>
      <c r="F116" s="185">
        <f t="shared" si="211"/>
        <v>0.57018535874148979</v>
      </c>
      <c r="G116" s="185">
        <f t="shared" si="211"/>
        <v>0.8145505124878426</v>
      </c>
      <c r="H116" s="185">
        <f t="shared" si="211"/>
        <v>1.2218257687317635</v>
      </c>
      <c r="I116" s="185">
        <f t="shared" si="211"/>
        <v>1.6291010249756852</v>
      </c>
      <c r="J116" s="185">
        <f t="shared" ref="J116:K116" si="212">J$103*(SQRT(0.0576/(2*($B110^(1/5)))))</f>
        <v>2.443651537463527</v>
      </c>
      <c r="K116" s="185">
        <f t="shared" si="212"/>
        <v>4.0727525624392129</v>
      </c>
    </row>
    <row r="117" spans="1:11" s="186" customFormat="1" ht="14.5" collapsed="1">
      <c r="A117" s="271" t="s">
        <v>492</v>
      </c>
      <c r="B117" s="277">
        <f>B123</f>
        <v>6.6648026714947362</v>
      </c>
      <c r="C117" s="277">
        <f t="shared" ref="C117:I117" si="213">C123</f>
        <v>8.141705859183164E-2</v>
      </c>
      <c r="D117" s="277">
        <f t="shared" si="213"/>
        <v>0.24334933837859474</v>
      </c>
      <c r="E117" s="277">
        <f t="shared" si="213"/>
        <v>0.40266170139796476</v>
      </c>
      <c r="F117" s="277">
        <f t="shared" si="213"/>
        <v>0.55787309244997785</v>
      </c>
      <c r="G117" s="277">
        <f t="shared" si="213"/>
        <v>0.78060117435184484</v>
      </c>
      <c r="H117" s="277">
        <f t="shared" si="213"/>
        <v>1.120288432732907</v>
      </c>
      <c r="I117" s="277">
        <f t="shared" si="213"/>
        <v>1.420175077464217</v>
      </c>
      <c r="J117" s="277">
        <f t="shared" ref="J117:K117" si="214">J123</f>
        <v>1.9214446374447447</v>
      </c>
      <c r="K117" s="277">
        <f t="shared" si="214"/>
        <v>2.6803388954813943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7.8286034698813518</v>
      </c>
      <c r="C119" s="185">
        <f t="shared" ref="C119:I119" si="215">C112*SQRT((1+0.2*C$7^2)^(-0.467))</f>
        <v>9.563401931247259E-2</v>
      </c>
      <c r="D119" s="185">
        <f t="shared" si="215"/>
        <v>0.28584274264743359</v>
      </c>
      <c r="E119" s="185">
        <f t="shared" si="215"/>
        <v>0.47297406211810078</v>
      </c>
      <c r="F119" s="185">
        <f t="shared" si="215"/>
        <v>0.65528830223083756</v>
      </c>
      <c r="G119" s="185">
        <f t="shared" si="215"/>
        <v>0.9169089263904302</v>
      </c>
      <c r="H119" s="185">
        <f t="shared" si="215"/>
        <v>1.3159120148104606</v>
      </c>
      <c r="I119" s="185">
        <f t="shared" si="215"/>
        <v>1.6681645484909637</v>
      </c>
      <c r="J119" s="185">
        <f t="shared" ref="J119:K119" si="216">J112*SQRT((1+0.2*J$7^2)^(-0.467))</f>
        <v>2.256965269237488</v>
      </c>
      <c r="K119" s="185">
        <f t="shared" si="216"/>
        <v>3.148376840528063</v>
      </c>
    </row>
    <row r="120" spans="1:11" ht="14.5" hidden="1" outlineLevel="1">
      <c r="A120">
        <v>2</v>
      </c>
      <c r="B120" s="185">
        <f t="shared" ref="B120:B122" si="217">B113*SQRT((1+0.2*B$7^2)^(-0.467))</f>
        <v>7.3043453150588276</v>
      </c>
      <c r="C120" s="185">
        <f t="shared" ref="C120:I120" si="218">C113*SQRT((1+0.2*C$7^2)^(-0.467))</f>
        <v>8.9229695131805106E-2</v>
      </c>
      <c r="D120" s="185">
        <f t="shared" si="218"/>
        <v>0.2667007092814207</v>
      </c>
      <c r="E120" s="185">
        <f t="shared" si="218"/>
        <v>0.44130040409736732</v>
      </c>
      <c r="F120" s="185">
        <f t="shared" si="218"/>
        <v>0.6114056049495139</v>
      </c>
      <c r="G120" s="185">
        <f t="shared" si="218"/>
        <v>0.85550627855686534</v>
      </c>
      <c r="H120" s="185">
        <f t="shared" si="218"/>
        <v>1.2277893237778315</v>
      </c>
      <c r="I120" s="185">
        <f t="shared" si="218"/>
        <v>1.5564525590541713</v>
      </c>
      <c r="J120" s="185">
        <f t="shared" ref="J120:K120" si="219">J113*SQRT((1+0.2*J$7^2)^(-0.467))</f>
        <v>2.105823056951329</v>
      </c>
      <c r="K120" s="185">
        <f t="shared" si="219"/>
        <v>2.9375394620031008</v>
      </c>
    </row>
    <row r="121" spans="1:11" ht="14.5" hidden="1" outlineLevel="1">
      <c r="A121">
        <v>3</v>
      </c>
      <c r="B121" s="185">
        <f t="shared" si="217"/>
        <v>7.0141035075789429</v>
      </c>
      <c r="C121" s="185">
        <f t="shared" ref="C121:I121" si="220">C114*SQRT((1+0.2*C$7^2)^(-0.467))</f>
        <v>8.5684108651584656E-2</v>
      </c>
      <c r="D121" s="185">
        <f t="shared" si="220"/>
        <v>0.25610322345905395</v>
      </c>
      <c r="E121" s="185">
        <f t="shared" si="220"/>
        <v>0.42376511223996266</v>
      </c>
      <c r="F121" s="185">
        <f t="shared" si="220"/>
        <v>0.58711109801840922</v>
      </c>
      <c r="G121" s="185">
        <f t="shared" si="220"/>
        <v>0.82151230950301679</v>
      </c>
      <c r="H121" s="185">
        <f t="shared" si="220"/>
        <v>1.1790025020755346</v>
      </c>
      <c r="I121" s="185">
        <f t="shared" si="220"/>
        <v>1.4946061396269248</v>
      </c>
      <c r="J121" s="185">
        <f t="shared" ref="J121:K121" si="221">J114*SQRT((1+0.2*J$7^2)^(-0.467))</f>
        <v>2.0221471265401108</v>
      </c>
      <c r="K121" s="185">
        <f t="shared" si="221"/>
        <v>2.8208148650378488</v>
      </c>
    </row>
    <row r="122" spans="1:11" ht="14.5" hidden="1" outlineLevel="1">
      <c r="A122">
        <v>4</v>
      </c>
      <c r="B122" s="185">
        <f t="shared" si="217"/>
        <v>6.8151951605272014</v>
      </c>
      <c r="C122" s="185">
        <f t="shared" ref="C122:I122" si="222">C115*SQRT((1+0.2*C$7^2)^(-0.467))</f>
        <v>8.3254249382745421E-2</v>
      </c>
      <c r="D122" s="185">
        <f t="shared" si="222"/>
        <v>0.24884056062583235</v>
      </c>
      <c r="E122" s="185">
        <f t="shared" si="222"/>
        <v>0.41174783620136857</v>
      </c>
      <c r="F122" s="185">
        <f t="shared" si="222"/>
        <v>0.57046160062841633</v>
      </c>
      <c r="G122" s="185">
        <f t="shared" si="222"/>
        <v>0.79821558236043333</v>
      </c>
      <c r="H122" s="185">
        <f t="shared" si="222"/>
        <v>1.1455679457413839</v>
      </c>
      <c r="I122" s="185">
        <f t="shared" si="222"/>
        <v>1.4522215873594329</v>
      </c>
      <c r="J122" s="185">
        <f t="shared" ref="J122:K122" si="223">J115*SQRT((1+0.2*J$7^2)^(-0.467))</f>
        <v>1.964802386474483</v>
      </c>
      <c r="K122" s="185">
        <f t="shared" si="223"/>
        <v>2.7408212319901768</v>
      </c>
    </row>
    <row r="123" spans="1:11" ht="14.5" hidden="1" outlineLevel="1">
      <c r="A123">
        <v>5</v>
      </c>
      <c r="B123" s="185">
        <f>B116*SQRT((1+0.2*B$7^2)^(-0.467))</f>
        <v>6.6648026714947362</v>
      </c>
      <c r="C123" s="185">
        <f t="shared" ref="C123:I123" si="224">C116*SQRT((1+0.2*C$7^2)^(-0.467))</f>
        <v>8.141705859183164E-2</v>
      </c>
      <c r="D123" s="185">
        <f t="shared" si="224"/>
        <v>0.24334933837859474</v>
      </c>
      <c r="E123" s="185">
        <f t="shared" si="224"/>
        <v>0.40266170139796476</v>
      </c>
      <c r="F123" s="185">
        <f t="shared" si="224"/>
        <v>0.55787309244997785</v>
      </c>
      <c r="G123" s="185">
        <f t="shared" si="224"/>
        <v>0.78060117435184484</v>
      </c>
      <c r="H123" s="185">
        <f t="shared" si="224"/>
        <v>1.120288432732907</v>
      </c>
      <c r="I123" s="185">
        <f t="shared" si="224"/>
        <v>1.420175077464217</v>
      </c>
      <c r="J123" s="185">
        <f t="shared" ref="J123:K123" si="225">J116*SQRT((1+0.2*J$7^2)^(-0.467))</f>
        <v>1.9214446374447447</v>
      </c>
      <c r="K123" s="185">
        <f t="shared" si="225"/>
        <v>2.6803388954813943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0.51087687778594049</v>
      </c>
      <c r="C128" s="275">
        <f t="shared" ref="C128:I128" si="226">IF(C6&lt;1,C93*RADIANS(C9),C94*RADIANS(C9))</f>
        <v>0</v>
      </c>
      <c r="D128" s="275">
        <f t="shared" si="226"/>
        <v>0</v>
      </c>
      <c r="E128" s="275">
        <f t="shared" si="226"/>
        <v>0</v>
      </c>
      <c r="F128" s="275">
        <f t="shared" si="226"/>
        <v>0</v>
      </c>
      <c r="G128" s="275">
        <f t="shared" si="226"/>
        <v>0</v>
      </c>
      <c r="H128" s="275">
        <f t="shared" si="226"/>
        <v>0</v>
      </c>
      <c r="I128" s="275">
        <f t="shared" si="226"/>
        <v>0</v>
      </c>
      <c r="J128" s="275">
        <f t="shared" ref="J128:K128" si="227">IF(J6&lt;1,J93*RADIANS(J9),J94*RADIANS(J9))</f>
        <v>0</v>
      </c>
      <c r="K128" s="275">
        <f t="shared" si="227"/>
        <v>0</v>
      </c>
    </row>
    <row r="129" spans="1:11" ht="15" customHeight="1">
      <c r="A129" t="s">
        <v>379</v>
      </c>
    </row>
    <row r="130" spans="1:11" ht="15" customHeight="1" outlineLevel="1">
      <c r="A130">
        <v>1</v>
      </c>
      <c r="B130" s="190">
        <f>B$29*(B81)*B$128</f>
        <v>11.961629746532495</v>
      </c>
      <c r="C130" s="190">
        <f t="shared" ref="C130:I130" si="228">C$29*(C81)*C$128</f>
        <v>0</v>
      </c>
      <c r="D130" s="190">
        <f t="shared" si="228"/>
        <v>0</v>
      </c>
      <c r="E130" s="190">
        <f t="shared" si="228"/>
        <v>0</v>
      </c>
      <c r="F130" s="190">
        <f t="shared" si="228"/>
        <v>0</v>
      </c>
      <c r="G130" s="190">
        <f t="shared" si="228"/>
        <v>0</v>
      </c>
      <c r="H130" s="190">
        <f t="shared" si="228"/>
        <v>0</v>
      </c>
      <c r="I130" s="190">
        <f t="shared" si="228"/>
        <v>0</v>
      </c>
      <c r="J130" s="190">
        <f t="shared" ref="J130:K130" si="229">J$29*(J81)*J$128</f>
        <v>0</v>
      </c>
      <c r="K130" s="190">
        <f t="shared" si="229"/>
        <v>0</v>
      </c>
    </row>
    <row r="131" spans="1:11" ht="15" customHeight="1" outlineLevel="1">
      <c r="A131">
        <v>2</v>
      </c>
      <c r="B131" s="190">
        <f t="shared" ref="B131" si="230">B$29*(B82)*B$128</f>
        <v>11.587828816953355</v>
      </c>
      <c r="C131" s="190">
        <f t="shared" ref="C131:I131" si="231">C$29*(C82)*C$128</f>
        <v>0</v>
      </c>
      <c r="D131" s="190">
        <f t="shared" si="231"/>
        <v>0</v>
      </c>
      <c r="E131" s="190">
        <f t="shared" si="231"/>
        <v>0</v>
      </c>
      <c r="F131" s="190">
        <f t="shared" si="231"/>
        <v>0</v>
      </c>
      <c r="G131" s="190">
        <f t="shared" si="231"/>
        <v>0</v>
      </c>
      <c r="H131" s="190">
        <f t="shared" si="231"/>
        <v>0</v>
      </c>
      <c r="I131" s="190">
        <f t="shared" si="231"/>
        <v>0</v>
      </c>
      <c r="J131" s="190">
        <f t="shared" ref="J131:K131" si="232">J$29*(J82)*J$128</f>
        <v>0</v>
      </c>
      <c r="K131" s="190">
        <f t="shared" si="232"/>
        <v>0</v>
      </c>
    </row>
    <row r="132" spans="1:11" ht="15" customHeight="1" outlineLevel="1">
      <c r="A132">
        <v>3</v>
      </c>
      <c r="B132" s="190">
        <f t="shared" ref="B132" si="233">B$29*(B83)*B$128</f>
        <v>11.214027887374213</v>
      </c>
      <c r="C132" s="190">
        <f t="shared" ref="C132:I132" si="234">C$29*(C83)*C$128</f>
        <v>0</v>
      </c>
      <c r="D132" s="190">
        <f t="shared" si="234"/>
        <v>0</v>
      </c>
      <c r="E132" s="190">
        <f t="shared" si="234"/>
        <v>0</v>
      </c>
      <c r="F132" s="190">
        <f t="shared" si="234"/>
        <v>0</v>
      </c>
      <c r="G132" s="190">
        <f t="shared" si="234"/>
        <v>0</v>
      </c>
      <c r="H132" s="190">
        <f t="shared" si="234"/>
        <v>0</v>
      </c>
      <c r="I132" s="190">
        <f t="shared" si="234"/>
        <v>0</v>
      </c>
      <c r="J132" s="190">
        <f t="shared" ref="J132:K132" si="235">J$29*(J83)*J$128</f>
        <v>0</v>
      </c>
      <c r="K132" s="190">
        <f t="shared" si="235"/>
        <v>0</v>
      </c>
    </row>
    <row r="133" spans="1:11" ht="15" customHeight="1" outlineLevel="1">
      <c r="A133">
        <v>4</v>
      </c>
      <c r="B133" s="190">
        <f t="shared" ref="B133" si="236">B$29*(B84)*B$128</f>
        <v>10.840226957795077</v>
      </c>
      <c r="C133" s="190">
        <f t="shared" ref="C133:I133" si="237">C$29*(C84)*C$128</f>
        <v>0</v>
      </c>
      <c r="D133" s="190">
        <f t="shared" si="237"/>
        <v>0</v>
      </c>
      <c r="E133" s="190">
        <f t="shared" si="237"/>
        <v>0</v>
      </c>
      <c r="F133" s="190">
        <f t="shared" si="237"/>
        <v>0</v>
      </c>
      <c r="G133" s="190">
        <f t="shared" si="237"/>
        <v>0</v>
      </c>
      <c r="H133" s="190">
        <f t="shared" si="237"/>
        <v>0</v>
      </c>
      <c r="I133" s="190">
        <f t="shared" si="237"/>
        <v>0</v>
      </c>
      <c r="J133" s="190">
        <f t="shared" ref="J133:K133" si="238">J$29*(J84)*J$128</f>
        <v>0</v>
      </c>
      <c r="K133" s="190">
        <f t="shared" si="238"/>
        <v>0</v>
      </c>
    </row>
    <row r="134" spans="1:11" ht="15" customHeight="1" outlineLevel="1">
      <c r="A134">
        <v>5</v>
      </c>
      <c r="B134" s="190">
        <f t="shared" ref="B134" si="239">B$29*(B85)*B$128</f>
        <v>10.466426028215933</v>
      </c>
      <c r="C134" s="190">
        <f t="shared" ref="C134:I134" si="240">C$29*(C85)*C$128</f>
        <v>0</v>
      </c>
      <c r="D134" s="190">
        <f t="shared" si="240"/>
        <v>0</v>
      </c>
      <c r="E134" s="190">
        <f t="shared" si="240"/>
        <v>0</v>
      </c>
      <c r="F134" s="190">
        <f t="shared" si="240"/>
        <v>0</v>
      </c>
      <c r="G134" s="190">
        <f t="shared" si="240"/>
        <v>0</v>
      </c>
      <c r="H134" s="190">
        <f t="shared" si="240"/>
        <v>0</v>
      </c>
      <c r="I134" s="190">
        <f t="shared" si="240"/>
        <v>0</v>
      </c>
      <c r="J134" s="190">
        <f t="shared" ref="J134:K134" si="241">J$29*(J85)*J$128</f>
        <v>0</v>
      </c>
      <c r="K134" s="190">
        <f t="shared" si="241"/>
        <v>0</v>
      </c>
    </row>
    <row r="135" spans="1:11" ht="15" customHeight="1" outlineLevel="1">
      <c r="A135">
        <v>6</v>
      </c>
      <c r="B135" s="190">
        <f t="shared" ref="B135" si="242">B$29*(B86)*B$128</f>
        <v>10.092625098636793</v>
      </c>
      <c r="C135" s="190">
        <f t="shared" ref="C135:I135" si="243">C$29*(C86)*C$128</f>
        <v>0</v>
      </c>
      <c r="D135" s="190">
        <f t="shared" si="243"/>
        <v>0</v>
      </c>
      <c r="E135" s="190">
        <f t="shared" si="243"/>
        <v>0</v>
      </c>
      <c r="F135" s="190">
        <f t="shared" si="243"/>
        <v>0</v>
      </c>
      <c r="G135" s="190">
        <f t="shared" si="243"/>
        <v>0</v>
      </c>
      <c r="H135" s="190">
        <f t="shared" si="243"/>
        <v>0</v>
      </c>
      <c r="I135" s="190">
        <f t="shared" si="243"/>
        <v>0</v>
      </c>
      <c r="J135" s="190">
        <f t="shared" ref="J135:K135" si="244">J$29*(J86)*J$128</f>
        <v>0</v>
      </c>
      <c r="K135" s="190">
        <f t="shared" si="244"/>
        <v>0</v>
      </c>
    </row>
    <row r="136" spans="1:11" ht="15" customHeight="1" outlineLevel="1">
      <c r="A136">
        <v>7</v>
      </c>
      <c r="B136" s="190">
        <f t="shared" ref="B136" si="245">B$29*(B87)*B$128</f>
        <v>9.7188241690576511</v>
      </c>
      <c r="C136" s="190">
        <f t="shared" ref="C136:I136" si="246">C$29*(C87)*C$128</f>
        <v>0</v>
      </c>
      <c r="D136" s="190">
        <f t="shared" si="246"/>
        <v>0</v>
      </c>
      <c r="E136" s="190">
        <f t="shared" si="246"/>
        <v>0</v>
      </c>
      <c r="F136" s="190">
        <f t="shared" si="246"/>
        <v>0</v>
      </c>
      <c r="G136" s="190">
        <f t="shared" si="246"/>
        <v>0</v>
      </c>
      <c r="H136" s="190">
        <f t="shared" si="246"/>
        <v>0</v>
      </c>
      <c r="I136" s="190">
        <f t="shared" si="246"/>
        <v>0</v>
      </c>
      <c r="J136" s="190">
        <f t="shared" ref="J136:K136" si="247">J$29*(J87)*J$128</f>
        <v>0</v>
      </c>
      <c r="K136" s="190">
        <f t="shared" si="247"/>
        <v>0</v>
      </c>
    </row>
    <row r="137" spans="1:11" ht="15" customHeight="1" outlineLevel="1">
      <c r="A137">
        <v>8</v>
      </c>
      <c r="B137" s="190">
        <f t="shared" ref="B137" si="248">B$29*(B88)*B$128</f>
        <v>9.3450232394785111</v>
      </c>
      <c r="C137" s="190">
        <f t="shared" ref="C137:I137" si="249">C$29*(C88)*C$128</f>
        <v>0</v>
      </c>
      <c r="D137" s="190">
        <f t="shared" si="249"/>
        <v>0</v>
      </c>
      <c r="E137" s="190">
        <f t="shared" si="249"/>
        <v>0</v>
      </c>
      <c r="F137" s="190">
        <f t="shared" si="249"/>
        <v>0</v>
      </c>
      <c r="G137" s="190">
        <f t="shared" si="249"/>
        <v>0</v>
      </c>
      <c r="H137" s="190">
        <f t="shared" si="249"/>
        <v>0</v>
      </c>
      <c r="I137" s="190">
        <f t="shared" si="249"/>
        <v>0</v>
      </c>
      <c r="J137" s="190">
        <f t="shared" ref="J137:K137" si="250">J$29*(J88)*J$128</f>
        <v>0</v>
      </c>
      <c r="K137" s="190">
        <f t="shared" si="250"/>
        <v>0</v>
      </c>
    </row>
    <row r="138" spans="1:11" ht="15" customHeight="1" outlineLevel="1">
      <c r="A138">
        <v>9</v>
      </c>
      <c r="B138" s="190">
        <f t="shared" ref="B138" si="251">B$29*(B89)*B$128</f>
        <v>8.9712223098993693</v>
      </c>
      <c r="C138" s="190">
        <f t="shared" ref="C138:I138" si="252">C$29*(C89)*C$128</f>
        <v>0</v>
      </c>
      <c r="D138" s="190">
        <f t="shared" si="252"/>
        <v>0</v>
      </c>
      <c r="E138" s="190">
        <f t="shared" si="252"/>
        <v>0</v>
      </c>
      <c r="F138" s="190">
        <f t="shared" si="252"/>
        <v>0</v>
      </c>
      <c r="G138" s="190">
        <f t="shared" si="252"/>
        <v>0</v>
      </c>
      <c r="H138" s="190">
        <f t="shared" si="252"/>
        <v>0</v>
      </c>
      <c r="I138" s="190">
        <f t="shared" si="252"/>
        <v>0</v>
      </c>
      <c r="J138" s="190">
        <f t="shared" ref="J138:K138" si="253">J$29*(J89)*J$128</f>
        <v>0</v>
      </c>
      <c r="K138" s="190">
        <f t="shared" si="253"/>
        <v>0</v>
      </c>
    </row>
    <row r="139" spans="1:11" ht="15" customHeight="1" outlineLevel="1">
      <c r="A139">
        <v>10</v>
      </c>
      <c r="B139" s="190">
        <f t="shared" ref="B139" si="254">B$29*(B90)*B$128</f>
        <v>8.5974213803202311</v>
      </c>
      <c r="C139" s="190">
        <f t="shared" ref="C139:I139" si="255">C$29*(C90)*C$128</f>
        <v>0</v>
      </c>
      <c r="D139" s="190">
        <f t="shared" si="255"/>
        <v>0</v>
      </c>
      <c r="E139" s="190">
        <f t="shared" si="255"/>
        <v>0</v>
      </c>
      <c r="F139" s="190">
        <f t="shared" si="255"/>
        <v>0</v>
      </c>
      <c r="G139" s="190">
        <f t="shared" si="255"/>
        <v>0</v>
      </c>
      <c r="H139" s="190">
        <f t="shared" si="255"/>
        <v>0</v>
      </c>
      <c r="I139" s="190">
        <f t="shared" si="255"/>
        <v>0</v>
      </c>
      <c r="J139" s="190">
        <f t="shared" ref="J139:K139" si="256">J$29*(J90)*J$128</f>
        <v>0</v>
      </c>
      <c r="K139" s="190">
        <f t="shared" si="256"/>
        <v>0</v>
      </c>
    </row>
    <row r="140" spans="1:11" ht="15" customHeight="1">
      <c r="A140" t="s">
        <v>495</v>
      </c>
    </row>
    <row r="141" spans="1:11" ht="15" hidden="1" customHeight="1" outlineLevel="1">
      <c r="A141">
        <v>1</v>
      </c>
      <c r="B141" s="190">
        <f>B130*$A141*(B$48/11)</f>
        <v>0.10874208860484087</v>
      </c>
      <c r="C141" s="190">
        <f t="shared" ref="C141:I141" si="257">C130*$A141*(C$48/11)</f>
        <v>0</v>
      </c>
      <c r="D141" s="190">
        <f t="shared" si="257"/>
        <v>0</v>
      </c>
      <c r="E141" s="190">
        <f t="shared" si="257"/>
        <v>0</v>
      </c>
      <c r="F141" s="190">
        <f t="shared" si="257"/>
        <v>0</v>
      </c>
      <c r="G141" s="190">
        <f t="shared" si="257"/>
        <v>0</v>
      </c>
      <c r="H141" s="190">
        <f t="shared" si="257"/>
        <v>0</v>
      </c>
      <c r="I141" s="190">
        <f t="shared" si="257"/>
        <v>0</v>
      </c>
      <c r="J141" s="190">
        <f t="shared" ref="J141:K141" si="258">J130*$A141*(J$48/11)</f>
        <v>0</v>
      </c>
      <c r="K141" s="190">
        <f t="shared" si="258"/>
        <v>0</v>
      </c>
    </row>
    <row r="142" spans="1:11" ht="15" hidden="1" customHeight="1" outlineLevel="1">
      <c r="A142">
        <v>2</v>
      </c>
      <c r="B142" s="190">
        <f t="shared" ref="B142:B150" si="259">B131*$A142*(B$48/11)</f>
        <v>0.2106877966718792</v>
      </c>
      <c r="C142" s="190">
        <f t="shared" ref="C142:I142" si="260">C131*$A142*(C$48/11)</f>
        <v>0</v>
      </c>
      <c r="D142" s="190">
        <f t="shared" si="260"/>
        <v>0</v>
      </c>
      <c r="E142" s="190">
        <f t="shared" si="260"/>
        <v>0</v>
      </c>
      <c r="F142" s="190">
        <f t="shared" si="260"/>
        <v>0</v>
      </c>
      <c r="G142" s="190">
        <f t="shared" si="260"/>
        <v>0</v>
      </c>
      <c r="H142" s="190">
        <f t="shared" si="260"/>
        <v>0</v>
      </c>
      <c r="I142" s="190">
        <f t="shared" si="260"/>
        <v>0</v>
      </c>
      <c r="J142" s="190">
        <f t="shared" ref="J142:K142" si="261">J131*$A142*(J$48/11)</f>
        <v>0</v>
      </c>
      <c r="K142" s="190">
        <f t="shared" si="261"/>
        <v>0</v>
      </c>
    </row>
    <row r="143" spans="1:11" ht="15" hidden="1" customHeight="1" outlineLevel="1">
      <c r="A143">
        <v>3</v>
      </c>
      <c r="B143" s="190">
        <f t="shared" si="259"/>
        <v>0.30583712420111492</v>
      </c>
      <c r="C143" s="190">
        <f t="shared" ref="C143:I143" si="262">C132*$A143*(C$48/11)</f>
        <v>0</v>
      </c>
      <c r="D143" s="190">
        <f t="shared" si="262"/>
        <v>0</v>
      </c>
      <c r="E143" s="190">
        <f t="shared" si="262"/>
        <v>0</v>
      </c>
      <c r="F143" s="190">
        <f t="shared" si="262"/>
        <v>0</v>
      </c>
      <c r="G143" s="190">
        <f t="shared" si="262"/>
        <v>0</v>
      </c>
      <c r="H143" s="190">
        <f t="shared" si="262"/>
        <v>0</v>
      </c>
      <c r="I143" s="190">
        <f t="shared" si="262"/>
        <v>0</v>
      </c>
      <c r="J143" s="190">
        <f t="shared" ref="J143:K143" si="263">J132*$A143*(J$48/11)</f>
        <v>0</v>
      </c>
      <c r="K143" s="190">
        <f t="shared" si="263"/>
        <v>0</v>
      </c>
    </row>
    <row r="144" spans="1:11" ht="15" hidden="1" customHeight="1" outlineLevel="1">
      <c r="A144">
        <v>4</v>
      </c>
      <c r="B144" s="190">
        <f t="shared" si="259"/>
        <v>0.39419007119254829</v>
      </c>
      <c r="C144" s="190">
        <f t="shared" ref="C144:I144" si="264">C133*$A144*(C$48/11)</f>
        <v>0</v>
      </c>
      <c r="D144" s="190">
        <f t="shared" si="264"/>
        <v>0</v>
      </c>
      <c r="E144" s="190">
        <f t="shared" si="264"/>
        <v>0</v>
      </c>
      <c r="F144" s="190">
        <f t="shared" si="264"/>
        <v>0</v>
      </c>
      <c r="G144" s="190">
        <f t="shared" si="264"/>
        <v>0</v>
      </c>
      <c r="H144" s="190">
        <f t="shared" si="264"/>
        <v>0</v>
      </c>
      <c r="I144" s="190">
        <f t="shared" si="264"/>
        <v>0</v>
      </c>
      <c r="J144" s="190">
        <f t="shared" ref="J144:K144" si="265">J133*$A144*(J$48/11)</f>
        <v>0</v>
      </c>
      <c r="K144" s="190">
        <f t="shared" si="265"/>
        <v>0</v>
      </c>
    </row>
    <row r="145" spans="1:11" ht="15" hidden="1" customHeight="1" outlineLevel="1">
      <c r="A145">
        <v>5</v>
      </c>
      <c r="B145" s="190">
        <f t="shared" si="259"/>
        <v>0.47574663764617886</v>
      </c>
      <c r="C145" s="190">
        <f t="shared" ref="C145:I145" si="266">C134*$A145*(C$48/11)</f>
        <v>0</v>
      </c>
      <c r="D145" s="190">
        <f t="shared" si="266"/>
        <v>0</v>
      </c>
      <c r="E145" s="190">
        <f t="shared" si="266"/>
        <v>0</v>
      </c>
      <c r="F145" s="190">
        <f t="shared" si="266"/>
        <v>0</v>
      </c>
      <c r="G145" s="190">
        <f t="shared" si="266"/>
        <v>0</v>
      </c>
      <c r="H145" s="190">
        <f t="shared" si="266"/>
        <v>0</v>
      </c>
      <c r="I145" s="190">
        <f t="shared" si="266"/>
        <v>0</v>
      </c>
      <c r="J145" s="190">
        <f t="shared" ref="J145:K145" si="267">J134*$A145*(J$48/11)</f>
        <v>0</v>
      </c>
      <c r="K145" s="190">
        <f t="shared" si="267"/>
        <v>0</v>
      </c>
    </row>
    <row r="146" spans="1:11" ht="15" hidden="1" customHeight="1" outlineLevel="1">
      <c r="A146">
        <v>6</v>
      </c>
      <c r="B146" s="190">
        <f t="shared" si="259"/>
        <v>0.55050682356200697</v>
      </c>
      <c r="C146" s="190">
        <f t="shared" ref="C146:I146" si="268">C135*$A146*(C$48/11)</f>
        <v>0</v>
      </c>
      <c r="D146" s="190">
        <f t="shared" si="268"/>
        <v>0</v>
      </c>
      <c r="E146" s="190">
        <f t="shared" si="268"/>
        <v>0</v>
      </c>
      <c r="F146" s="190">
        <f t="shared" si="268"/>
        <v>0</v>
      </c>
      <c r="G146" s="190">
        <f t="shared" si="268"/>
        <v>0</v>
      </c>
      <c r="H146" s="190">
        <f t="shared" si="268"/>
        <v>0</v>
      </c>
      <c r="I146" s="190">
        <f t="shared" si="268"/>
        <v>0</v>
      </c>
      <c r="J146" s="190">
        <f t="shared" ref="J146:K146" si="269">J135*$A146*(J$48/11)</f>
        <v>0</v>
      </c>
      <c r="K146" s="190">
        <f t="shared" si="269"/>
        <v>0</v>
      </c>
    </row>
    <row r="147" spans="1:11" ht="15" hidden="1" customHeight="1" outlineLevel="1">
      <c r="A147">
        <v>7</v>
      </c>
      <c r="B147" s="190">
        <f t="shared" si="259"/>
        <v>0.61847062894003235</v>
      </c>
      <c r="C147" s="190">
        <f t="shared" ref="C147:I147" si="270">C136*$A147*(C$48/11)</f>
        <v>0</v>
      </c>
      <c r="D147" s="190">
        <f t="shared" si="270"/>
        <v>0</v>
      </c>
      <c r="E147" s="190">
        <f t="shared" si="270"/>
        <v>0</v>
      </c>
      <c r="F147" s="190">
        <f t="shared" si="270"/>
        <v>0</v>
      </c>
      <c r="G147" s="190">
        <f t="shared" si="270"/>
        <v>0</v>
      </c>
      <c r="H147" s="190">
        <f t="shared" si="270"/>
        <v>0</v>
      </c>
      <c r="I147" s="190">
        <f t="shared" si="270"/>
        <v>0</v>
      </c>
      <c r="J147" s="190">
        <f t="shared" ref="J147:K147" si="271">J136*$A147*(J$48/11)</f>
        <v>0</v>
      </c>
      <c r="K147" s="190">
        <f t="shared" si="271"/>
        <v>0</v>
      </c>
    </row>
    <row r="148" spans="1:11" ht="15" hidden="1" customHeight="1" outlineLevel="1">
      <c r="A148">
        <v>8</v>
      </c>
      <c r="B148" s="190">
        <f t="shared" si="259"/>
        <v>0.67963805378025544</v>
      </c>
      <c r="C148" s="190">
        <f t="shared" ref="C148:I148" si="272">C137*$A148*(C$48/11)</f>
        <v>0</v>
      </c>
      <c r="D148" s="190">
        <f t="shared" si="272"/>
        <v>0</v>
      </c>
      <c r="E148" s="190">
        <f t="shared" si="272"/>
        <v>0</v>
      </c>
      <c r="F148" s="190">
        <f t="shared" si="272"/>
        <v>0</v>
      </c>
      <c r="G148" s="190">
        <f t="shared" si="272"/>
        <v>0</v>
      </c>
      <c r="H148" s="190">
        <f t="shared" si="272"/>
        <v>0</v>
      </c>
      <c r="I148" s="190">
        <f t="shared" si="272"/>
        <v>0</v>
      </c>
      <c r="J148" s="190">
        <f t="shared" ref="J148:K148" si="273">J137*$A148*(J$48/11)</f>
        <v>0</v>
      </c>
      <c r="K148" s="190">
        <f t="shared" si="273"/>
        <v>0</v>
      </c>
    </row>
    <row r="149" spans="1:11" ht="15" hidden="1" customHeight="1" outlineLevel="1">
      <c r="A149">
        <v>9</v>
      </c>
      <c r="B149" s="190">
        <f t="shared" si="259"/>
        <v>0.73400909808267578</v>
      </c>
      <c r="C149" s="190">
        <f t="shared" ref="C149:I149" si="274">C138*$A149*(C$48/11)</f>
        <v>0</v>
      </c>
      <c r="D149" s="190">
        <f t="shared" si="274"/>
        <v>0</v>
      </c>
      <c r="E149" s="190">
        <f t="shared" si="274"/>
        <v>0</v>
      </c>
      <c r="F149" s="190">
        <f t="shared" si="274"/>
        <v>0</v>
      </c>
      <c r="G149" s="190">
        <f t="shared" si="274"/>
        <v>0</v>
      </c>
      <c r="H149" s="190">
        <f t="shared" si="274"/>
        <v>0</v>
      </c>
      <c r="I149" s="190">
        <f t="shared" si="274"/>
        <v>0</v>
      </c>
      <c r="J149" s="190">
        <f t="shared" ref="J149:K149" si="275">J138*$A149*(J$48/11)</f>
        <v>0</v>
      </c>
      <c r="K149" s="190">
        <f t="shared" si="275"/>
        <v>0</v>
      </c>
    </row>
    <row r="150" spans="1:11" ht="15" hidden="1" customHeight="1" outlineLevel="1">
      <c r="A150">
        <v>10</v>
      </c>
      <c r="B150" s="190">
        <f t="shared" si="259"/>
        <v>0.78158376184729383</v>
      </c>
      <c r="C150" s="190">
        <f t="shared" ref="C150:I150" si="276">C139*$A150*(C$48/11)</f>
        <v>0</v>
      </c>
      <c r="D150" s="190">
        <f t="shared" si="276"/>
        <v>0</v>
      </c>
      <c r="E150" s="190">
        <f t="shared" si="276"/>
        <v>0</v>
      </c>
      <c r="F150" s="190">
        <f t="shared" si="276"/>
        <v>0</v>
      </c>
      <c r="G150" s="190">
        <f t="shared" si="276"/>
        <v>0</v>
      </c>
      <c r="H150" s="190">
        <f t="shared" si="276"/>
        <v>0</v>
      </c>
      <c r="I150" s="190">
        <f t="shared" si="276"/>
        <v>0</v>
      </c>
      <c r="J150" s="190">
        <f t="shared" ref="J150:K150" si="277">J139*$A150*(J$48/11)</f>
        <v>0</v>
      </c>
      <c r="K150" s="190">
        <f t="shared" si="277"/>
        <v>0</v>
      </c>
    </row>
    <row r="151" spans="1:11" ht="15" customHeight="1" collapsed="1">
      <c r="A151" t="s">
        <v>876</v>
      </c>
      <c r="B151" s="190">
        <f>SUM(B130:B139)</f>
        <v>102.79525563426363</v>
      </c>
      <c r="C151" s="190">
        <f t="shared" ref="C151:I151" si="278">SUM(C130:C139)</f>
        <v>0</v>
      </c>
      <c r="D151" s="190">
        <f t="shared" si="278"/>
        <v>0</v>
      </c>
      <c r="E151" s="190">
        <f t="shared" si="278"/>
        <v>0</v>
      </c>
      <c r="F151" s="190">
        <f t="shared" si="278"/>
        <v>0</v>
      </c>
      <c r="G151" s="190">
        <f t="shared" si="278"/>
        <v>0</v>
      </c>
      <c r="H151" s="190">
        <f t="shared" si="278"/>
        <v>0</v>
      </c>
      <c r="I151" s="190">
        <f t="shared" si="278"/>
        <v>0</v>
      </c>
      <c r="J151" s="190">
        <f t="shared" ref="J151:K151" si="279">SUM(J130:J139)</f>
        <v>0</v>
      </c>
      <c r="K151" s="190">
        <f t="shared" si="279"/>
        <v>0</v>
      </c>
    </row>
    <row r="152" spans="1:11" ht="15" customHeight="1">
      <c r="A152" t="s">
        <v>877</v>
      </c>
      <c r="B152" s="190">
        <f>B151*2</f>
        <v>205.59051126852725</v>
      </c>
      <c r="C152" s="190">
        <f t="shared" ref="C152:K152" si="280">C151*2</f>
        <v>0</v>
      </c>
      <c r="D152" s="190">
        <f t="shared" si="280"/>
        <v>0</v>
      </c>
      <c r="E152" s="190">
        <f t="shared" si="280"/>
        <v>0</v>
      </c>
      <c r="F152" s="190">
        <f t="shared" si="280"/>
        <v>0</v>
      </c>
      <c r="G152" s="190">
        <f t="shared" si="280"/>
        <v>0</v>
      </c>
      <c r="H152" s="190">
        <f t="shared" si="280"/>
        <v>0</v>
      </c>
      <c r="I152" s="190">
        <f t="shared" si="280"/>
        <v>0</v>
      </c>
      <c r="J152" s="190">
        <f t="shared" si="280"/>
        <v>0</v>
      </c>
      <c r="K152" s="190">
        <f t="shared" si="280"/>
        <v>0</v>
      </c>
    </row>
    <row r="153" spans="1:11" ht="15" customHeight="1">
      <c r="A153" t="s">
        <v>496</v>
      </c>
      <c r="B153" s="190">
        <f>SUM(B141:B150)</f>
        <v>4.8594120845288273</v>
      </c>
      <c r="C153" s="190">
        <f t="shared" ref="C153:I153" si="281">SUM(C141:C150)</f>
        <v>0</v>
      </c>
      <c r="D153" s="190">
        <f t="shared" si="281"/>
        <v>0</v>
      </c>
      <c r="E153" s="190">
        <f t="shared" si="281"/>
        <v>0</v>
      </c>
      <c r="F153" s="190">
        <f t="shared" si="281"/>
        <v>0</v>
      </c>
      <c r="G153" s="190">
        <f t="shared" si="281"/>
        <v>0</v>
      </c>
      <c r="H153" s="190">
        <f t="shared" si="281"/>
        <v>0</v>
      </c>
      <c r="I153" s="190">
        <f t="shared" si="281"/>
        <v>0</v>
      </c>
      <c r="J153" s="190">
        <f t="shared" ref="J153:K153" si="282">SUM(J141:J150)</f>
        <v>0</v>
      </c>
      <c r="K153" s="190">
        <f t="shared" si="282"/>
        <v>0</v>
      </c>
    </row>
    <row r="154" spans="1:11" ht="15" customHeight="1">
      <c r="A154" s="437" t="s">
        <v>875</v>
      </c>
      <c r="B154" s="190">
        <f>(2*B151)/(B29*B91)</f>
        <v>1.0217537555718808</v>
      </c>
      <c r="C154" s="190">
        <f t="shared" ref="C154:I154" si="283">(2*C151)/(C29*C91)</f>
        <v>0</v>
      </c>
      <c r="D154" s="190">
        <f t="shared" si="283"/>
        <v>0</v>
      </c>
      <c r="E154" s="190">
        <f t="shared" si="283"/>
        <v>0</v>
      </c>
      <c r="F154" s="190">
        <f t="shared" si="283"/>
        <v>0</v>
      </c>
      <c r="G154" s="190">
        <f t="shared" si="283"/>
        <v>0</v>
      </c>
      <c r="H154" s="190">
        <f t="shared" si="283"/>
        <v>0</v>
      </c>
      <c r="I154" s="190">
        <f t="shared" si="283"/>
        <v>0</v>
      </c>
      <c r="J154" s="190">
        <f t="shared" ref="J154:K154" si="284">(2*J151)/(J29*J91)</f>
        <v>0</v>
      </c>
      <c r="K154" s="190">
        <f t="shared" si="284"/>
        <v>0</v>
      </c>
    </row>
    <row r="155" spans="1:11" ht="15" customHeight="1">
      <c r="A155" s="274" t="s">
        <v>498</v>
      </c>
      <c r="B155" s="190">
        <f>(B153/B151)*100</f>
        <v>4.7272727272727284</v>
      </c>
      <c r="C155" s="190" t="e">
        <f t="shared" ref="C155:I155" si="285">(C153/C151)*100</f>
        <v>#DIV/0!</v>
      </c>
      <c r="D155" s="190" t="e">
        <f t="shared" si="285"/>
        <v>#DIV/0!</v>
      </c>
      <c r="E155" s="190" t="e">
        <f t="shared" si="285"/>
        <v>#DIV/0!</v>
      </c>
      <c r="F155" s="190" t="e">
        <f t="shared" si="285"/>
        <v>#DIV/0!</v>
      </c>
      <c r="G155" s="190" t="e">
        <f t="shared" si="285"/>
        <v>#DIV/0!</v>
      </c>
      <c r="H155" s="190" t="e">
        <f t="shared" si="285"/>
        <v>#DIV/0!</v>
      </c>
      <c r="I155" s="190" t="e">
        <f t="shared" si="285"/>
        <v>#DIV/0!</v>
      </c>
      <c r="J155" s="190" t="e">
        <f t="shared" ref="J155:K155" si="286">(J153/J151)*100</f>
        <v>#DIV/0!</v>
      </c>
      <c r="K155" s="190" t="e">
        <f t="shared" si="286"/>
        <v>#DIV/0!</v>
      </c>
    </row>
    <row r="156" spans="1:11" ht="15" customHeight="1">
      <c r="A156" t="s">
        <v>381</v>
      </c>
    </row>
    <row r="157" spans="1:11" ht="15" hidden="1" customHeight="1" outlineLevel="1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</row>
    <row r="158" spans="1:11" ht="15" hidden="1" customHeight="1" outlineLevel="1">
      <c r="A158">
        <v>5</v>
      </c>
      <c r="B158">
        <v>0.355956543071071</v>
      </c>
      <c r="C158">
        <v>0.355956543071071</v>
      </c>
      <c r="D158">
        <v>0.355956543071071</v>
      </c>
      <c r="E158">
        <v>0.355956543071071</v>
      </c>
      <c r="F158">
        <v>0.355956543071071</v>
      </c>
      <c r="G158">
        <v>0.355956543071071</v>
      </c>
      <c r="H158">
        <v>0.355956543071071</v>
      </c>
      <c r="I158">
        <v>0.355956543071071</v>
      </c>
      <c r="J158">
        <v>0.355956543071071</v>
      </c>
      <c r="K158">
        <v>0.355956543071071</v>
      </c>
    </row>
    <row r="159" spans="1:11" ht="15" hidden="1" customHeight="1" outlineLevel="1">
      <c r="A159">
        <v>10</v>
      </c>
      <c r="B159">
        <v>0.71191308614214277</v>
      </c>
      <c r="C159">
        <v>0.71191308614214277</v>
      </c>
      <c r="D159">
        <v>0.71191308614214277</v>
      </c>
      <c r="E159">
        <v>0.71191308614214277</v>
      </c>
      <c r="F159">
        <v>0.71191308614214277</v>
      </c>
      <c r="G159">
        <v>0.71191308614214277</v>
      </c>
      <c r="H159">
        <v>0.71191308614214277</v>
      </c>
      <c r="I159">
        <v>0.71191308614214277</v>
      </c>
      <c r="J159">
        <v>0.71191308614214277</v>
      </c>
      <c r="K159">
        <v>0.71191308614214277</v>
      </c>
    </row>
    <row r="160" spans="1:11" ht="15" hidden="1" customHeight="1" outlineLevel="1">
      <c r="A160" s="186">
        <v>15</v>
      </c>
      <c r="B160">
        <v>1.0678696292132142</v>
      </c>
      <c r="C160">
        <v>1.0678696292132142</v>
      </c>
      <c r="D160">
        <v>1.0678696292132142</v>
      </c>
      <c r="E160">
        <v>1.0678696292132142</v>
      </c>
      <c r="F160">
        <v>1.0678696292132142</v>
      </c>
      <c r="G160">
        <v>1.0678696292132142</v>
      </c>
      <c r="H160">
        <v>1.0678696292132142</v>
      </c>
      <c r="I160">
        <v>1.0678696292132142</v>
      </c>
      <c r="J160">
        <v>1.0678696292132142</v>
      </c>
      <c r="K160">
        <v>1.0678696292132142</v>
      </c>
    </row>
    <row r="161" spans="1:11" ht="15" hidden="1" customHeight="1" outlineLevel="1">
      <c r="A161" s="263">
        <v>20</v>
      </c>
      <c r="B161">
        <v>1.4238261722842855</v>
      </c>
      <c r="C161">
        <v>1.4238261722842855</v>
      </c>
      <c r="D161">
        <v>1.4238261722842855</v>
      </c>
      <c r="E161">
        <v>1.4238261722842855</v>
      </c>
      <c r="F161">
        <v>1.4238261722842855</v>
      </c>
      <c r="G161">
        <v>1.4238261722842855</v>
      </c>
      <c r="H161">
        <v>1.4238261722842855</v>
      </c>
      <c r="I161">
        <v>1.4238261722842855</v>
      </c>
      <c r="J161">
        <v>1.4238261722842855</v>
      </c>
      <c r="K161">
        <v>1.4238261722842855</v>
      </c>
    </row>
    <row r="162" spans="1:11" ht="15" hidden="1" customHeight="1" outlineLevel="1">
      <c r="A162" s="263">
        <v>25</v>
      </c>
      <c r="B162">
        <v>1.7797827153553569</v>
      </c>
      <c r="C162">
        <v>1.7797827153553569</v>
      </c>
      <c r="D162">
        <v>1.7797827153553569</v>
      </c>
      <c r="E162">
        <v>1.7797827153553569</v>
      </c>
      <c r="F162">
        <v>1.7797827153553569</v>
      </c>
      <c r="G162">
        <v>1.7797827153553569</v>
      </c>
      <c r="H162">
        <v>1.7797827153553569</v>
      </c>
      <c r="I162">
        <v>1.7797827153553569</v>
      </c>
      <c r="J162">
        <v>1.7797827153553569</v>
      </c>
      <c r="K162">
        <v>1.7797827153553569</v>
      </c>
    </row>
    <row r="163" spans="1:11" ht="15" hidden="1" customHeight="1" outlineLevel="1">
      <c r="A163" s="263">
        <v>30</v>
      </c>
      <c r="B163">
        <v>2.1357392584264283</v>
      </c>
      <c r="C163">
        <v>2.1357392584264283</v>
      </c>
      <c r="D163">
        <v>2.1357392584264283</v>
      </c>
      <c r="E163">
        <v>2.1357392584264283</v>
      </c>
      <c r="F163">
        <v>2.1357392584264283</v>
      </c>
      <c r="G163">
        <v>2.1357392584264283</v>
      </c>
      <c r="H163">
        <v>2.1357392584264283</v>
      </c>
      <c r="I163">
        <v>2.1357392584264283</v>
      </c>
      <c r="J163">
        <v>2.1357392584264283</v>
      </c>
      <c r="K163">
        <v>2.1357392584264283</v>
      </c>
    </row>
    <row r="164" spans="1:11" ht="15" customHeight="1" collapsed="1">
      <c r="A164" s="265" t="s">
        <v>485</v>
      </c>
      <c r="B164" s="262">
        <f>AVERAGE(B165:B169)</f>
        <v>7.1191308614214271E-2</v>
      </c>
      <c r="C164" s="262">
        <f t="shared" ref="C164:I164" si="287">AVERAGE(C165:C169)</f>
        <v>7.1191308614214271E-2</v>
      </c>
      <c r="D164" s="262">
        <f t="shared" si="287"/>
        <v>7.1191308614214271E-2</v>
      </c>
      <c r="E164" s="262">
        <f t="shared" si="287"/>
        <v>7.1191308614214271E-2</v>
      </c>
      <c r="F164" s="262">
        <f t="shared" si="287"/>
        <v>7.1191308614214271E-2</v>
      </c>
      <c r="G164" s="262">
        <f t="shared" si="287"/>
        <v>7.1191308614214271E-2</v>
      </c>
      <c r="H164" s="262">
        <f t="shared" si="287"/>
        <v>7.1191308614214271E-2</v>
      </c>
      <c r="I164" s="262">
        <f t="shared" si="287"/>
        <v>7.1191308614214271E-2</v>
      </c>
      <c r="J164" s="262">
        <f t="shared" ref="J164" si="288">AVERAGE(J165:J169)</f>
        <v>7.1191308614214271E-2</v>
      </c>
      <c r="K164" s="262">
        <f t="shared" ref="K164" si="289">AVERAGE(K165:K169)</f>
        <v>7.1191308614214271E-2</v>
      </c>
    </row>
    <row r="165" spans="1:11" ht="15" hidden="1" customHeight="1" outlineLevel="1">
      <c r="A165">
        <v>0</v>
      </c>
      <c r="B165" s="262">
        <f t="shared" ref="B165:B169" si="290">(B158-B157)/($A158-$A157)</f>
        <v>7.1191308614214202E-2</v>
      </c>
      <c r="C165" s="262">
        <f t="shared" ref="C165:I165" si="291">(C158-C157)/($A158-$A157)</f>
        <v>7.1191308614214202E-2</v>
      </c>
      <c r="D165" s="262">
        <f t="shared" si="291"/>
        <v>7.1191308614214202E-2</v>
      </c>
      <c r="E165" s="262">
        <f t="shared" si="291"/>
        <v>7.1191308614214202E-2</v>
      </c>
      <c r="F165" s="262">
        <f t="shared" si="291"/>
        <v>7.1191308614214202E-2</v>
      </c>
      <c r="G165" s="262">
        <f t="shared" si="291"/>
        <v>7.1191308614214202E-2</v>
      </c>
      <c r="H165" s="262">
        <f t="shared" si="291"/>
        <v>7.1191308614214202E-2</v>
      </c>
      <c r="I165" s="262">
        <f t="shared" si="291"/>
        <v>7.1191308614214202E-2</v>
      </c>
      <c r="J165" s="262">
        <f t="shared" ref="J165:K165" si="292">(J158-J157)/($A158-$A157)</f>
        <v>7.1191308614214202E-2</v>
      </c>
      <c r="K165" s="262">
        <f t="shared" si="292"/>
        <v>7.1191308614214202E-2</v>
      </c>
    </row>
    <row r="166" spans="1:11" ht="15" hidden="1" customHeight="1" outlineLevel="1">
      <c r="A166">
        <v>5</v>
      </c>
      <c r="B166" s="262">
        <f t="shared" si="290"/>
        <v>7.1191308614214355E-2</v>
      </c>
      <c r="C166" s="262">
        <f t="shared" ref="C166:I166" si="293">(C159-C158)/($A159-$A158)</f>
        <v>7.1191308614214355E-2</v>
      </c>
      <c r="D166" s="262">
        <f t="shared" si="293"/>
        <v>7.1191308614214355E-2</v>
      </c>
      <c r="E166" s="262">
        <f t="shared" si="293"/>
        <v>7.1191308614214355E-2</v>
      </c>
      <c r="F166" s="262">
        <f t="shared" si="293"/>
        <v>7.1191308614214355E-2</v>
      </c>
      <c r="G166" s="262">
        <f t="shared" si="293"/>
        <v>7.1191308614214355E-2</v>
      </c>
      <c r="H166" s="262">
        <f t="shared" si="293"/>
        <v>7.1191308614214355E-2</v>
      </c>
      <c r="I166" s="262">
        <f t="shared" si="293"/>
        <v>7.1191308614214355E-2</v>
      </c>
      <c r="J166" s="262">
        <f t="shared" ref="J166:K166" si="294">(J159-J158)/($A159-$A158)</f>
        <v>7.1191308614214355E-2</v>
      </c>
      <c r="K166" s="262">
        <f t="shared" si="294"/>
        <v>7.1191308614214355E-2</v>
      </c>
    </row>
    <row r="167" spans="1:11" ht="15" hidden="1" customHeight="1" outlineLevel="1">
      <c r="A167">
        <v>10</v>
      </c>
      <c r="B167" s="262">
        <f t="shared" si="290"/>
        <v>7.1191308614214271E-2</v>
      </c>
      <c r="C167" s="262">
        <f t="shared" ref="C167:I167" si="295">(C160-C159)/($A160-$A159)</f>
        <v>7.1191308614214271E-2</v>
      </c>
      <c r="D167" s="262">
        <f t="shared" si="295"/>
        <v>7.1191308614214271E-2</v>
      </c>
      <c r="E167" s="262">
        <f t="shared" si="295"/>
        <v>7.1191308614214271E-2</v>
      </c>
      <c r="F167" s="262">
        <f t="shared" si="295"/>
        <v>7.1191308614214271E-2</v>
      </c>
      <c r="G167" s="262">
        <f t="shared" si="295"/>
        <v>7.1191308614214271E-2</v>
      </c>
      <c r="H167" s="262">
        <f t="shared" si="295"/>
        <v>7.1191308614214271E-2</v>
      </c>
      <c r="I167" s="262">
        <f t="shared" si="295"/>
        <v>7.1191308614214271E-2</v>
      </c>
      <c r="J167" s="262">
        <f t="shared" ref="J167:K167" si="296">(J160-J159)/($A160-$A159)</f>
        <v>7.1191308614214271E-2</v>
      </c>
      <c r="K167" s="262">
        <f t="shared" si="296"/>
        <v>7.1191308614214271E-2</v>
      </c>
    </row>
    <row r="168" spans="1:11" ht="15" hidden="1" customHeight="1" outlineLevel="1">
      <c r="A168">
        <v>15</v>
      </c>
      <c r="B168" s="262">
        <f t="shared" si="290"/>
        <v>7.1191308614214271E-2</v>
      </c>
      <c r="C168" s="262">
        <f t="shared" ref="C168:I168" si="297">(C161-C160)/($A161-$A160)</f>
        <v>7.1191308614214271E-2</v>
      </c>
      <c r="D168" s="262">
        <f t="shared" si="297"/>
        <v>7.1191308614214271E-2</v>
      </c>
      <c r="E168" s="262">
        <f t="shared" si="297"/>
        <v>7.1191308614214271E-2</v>
      </c>
      <c r="F168" s="262">
        <f t="shared" si="297"/>
        <v>7.1191308614214271E-2</v>
      </c>
      <c r="G168" s="262">
        <f t="shared" si="297"/>
        <v>7.1191308614214271E-2</v>
      </c>
      <c r="H168" s="262">
        <f t="shared" si="297"/>
        <v>7.1191308614214271E-2</v>
      </c>
      <c r="I168" s="262">
        <f t="shared" si="297"/>
        <v>7.1191308614214271E-2</v>
      </c>
      <c r="J168" s="262">
        <f t="shared" ref="J168:K168" si="298">(J161-J160)/($A161-$A160)</f>
        <v>7.1191308614214271E-2</v>
      </c>
      <c r="K168" s="262">
        <f t="shared" si="298"/>
        <v>7.1191308614214271E-2</v>
      </c>
    </row>
    <row r="169" spans="1:11" ht="15" hidden="1" customHeight="1" outlineLevel="1">
      <c r="A169">
        <v>20</v>
      </c>
      <c r="B169" s="262">
        <f t="shared" si="290"/>
        <v>7.1191308614214271E-2</v>
      </c>
      <c r="C169" s="262">
        <f t="shared" ref="C169:I169" si="299">(C162-C161)/($A162-$A161)</f>
        <v>7.1191308614214271E-2</v>
      </c>
      <c r="D169" s="262">
        <f t="shared" si="299"/>
        <v>7.1191308614214271E-2</v>
      </c>
      <c r="E169" s="262">
        <f t="shared" si="299"/>
        <v>7.1191308614214271E-2</v>
      </c>
      <c r="F169" s="262">
        <f t="shared" si="299"/>
        <v>7.1191308614214271E-2</v>
      </c>
      <c r="G169" s="262">
        <f t="shared" si="299"/>
        <v>7.1191308614214271E-2</v>
      </c>
      <c r="H169" s="262">
        <f t="shared" si="299"/>
        <v>7.1191308614214271E-2</v>
      </c>
      <c r="I169" s="262">
        <f t="shared" si="299"/>
        <v>7.1191308614214271E-2</v>
      </c>
      <c r="J169" s="262">
        <f t="shared" ref="J169:K169" si="300">(J162-J161)/($A162-$A161)</f>
        <v>7.1191308614214271E-2</v>
      </c>
      <c r="K169" s="262">
        <f t="shared" si="300"/>
        <v>7.1191308614214271E-2</v>
      </c>
    </row>
    <row r="170" spans="1:11" ht="15" customHeight="1" collapsed="1">
      <c r="A170" s="190"/>
    </row>
    <row r="171" spans="1:11" ht="15" customHeight="1">
      <c r="A171" s="272" t="s">
        <v>491</v>
      </c>
    </row>
    <row r="172" spans="1:11" ht="15" customHeight="1">
      <c r="A172" t="s">
        <v>521</v>
      </c>
    </row>
    <row r="173" spans="1:11" ht="15" customHeight="1" outlineLevel="1">
      <c r="A173">
        <v>0.06</v>
      </c>
      <c r="B173" s="262">
        <v>1.7811871342984904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0.1</v>
      </c>
      <c r="B174" s="262">
        <v>1.7868999999999999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0.3</v>
      </c>
      <c r="B175" s="262">
        <v>1.8637999999999999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0.5</v>
      </c>
      <c r="B176" s="262">
        <v>2.0529999999999999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0.7</v>
      </c>
      <c r="B177" s="262">
        <v>2.4897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</v>
      </c>
      <c r="B178" s="262">
        <v>28.213824634343929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1.5</v>
      </c>
      <c r="B179" s="262">
        <v>3.5777000000000001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2</v>
      </c>
      <c r="B180" s="262">
        <v>2.3094000000000001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3</v>
      </c>
      <c r="B181" s="262">
        <v>1.4141999999999999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2" spans="1:11" ht="15" customHeight="1" outlineLevel="1">
      <c r="A182">
        <v>5</v>
      </c>
      <c r="B182" s="262">
        <v>0.8165</v>
      </c>
      <c r="C182" s="262"/>
      <c r="D182" s="262"/>
      <c r="E182" s="262"/>
      <c r="F182" s="262"/>
      <c r="G182" s="262"/>
      <c r="H182" s="262"/>
      <c r="I182" s="262"/>
      <c r="J182" s="262"/>
      <c r="K182" s="262"/>
    </row>
    <row r="184" spans="1:11" ht="15" customHeight="1">
      <c r="A184" s="282" t="s">
        <v>505</v>
      </c>
    </row>
    <row r="185" spans="1:11" ht="15" customHeight="1">
      <c r="A185" s="289" t="s">
        <v>506</v>
      </c>
    </row>
    <row r="186" spans="1:11" ht="15" customHeight="1">
      <c r="A186" t="s">
        <v>511</v>
      </c>
      <c r="B186" s="190">
        <f>IF(B6&lt;1,B93,B94)</f>
        <v>1.951405929863677</v>
      </c>
      <c r="C186" s="190">
        <f t="shared" ref="C186:I186" si="301">IF(C6&lt;1,C93,C94)</f>
        <v>1.7516574184821574</v>
      </c>
      <c r="D186" s="190">
        <f t="shared" si="301"/>
        <v>1.8270316629357042</v>
      </c>
      <c r="E186" s="190">
        <f t="shared" si="301"/>
        <v>2.0125011551487666</v>
      </c>
      <c r="F186" s="190">
        <f t="shared" si="301"/>
        <v>2.4405161277517413</v>
      </c>
      <c r="G186" s="190">
        <f t="shared" si="301"/>
        <v>28.213824634343929</v>
      </c>
      <c r="H186" s="190">
        <f t="shared" si="301"/>
        <v>3.5777087639996634</v>
      </c>
      <c r="I186" s="190">
        <f t="shared" si="301"/>
        <v>2.3094010767585034</v>
      </c>
      <c r="J186" s="190">
        <f t="shared" ref="J186:K186" si="302">IF(J6&lt;1,J93,J94)</f>
        <v>1.4142135623730949</v>
      </c>
      <c r="K186" s="190">
        <f t="shared" si="302"/>
        <v>0.81649658092772615</v>
      </c>
    </row>
    <row r="187" spans="1:11" ht="15" customHeight="1">
      <c r="A187" t="s">
        <v>507</v>
      </c>
      <c r="B187" s="190">
        <v>1.5</v>
      </c>
      <c r="C187" s="190">
        <v>1.5</v>
      </c>
      <c r="D187" s="190">
        <v>1.5</v>
      </c>
      <c r="E187" s="190">
        <v>1.5</v>
      </c>
      <c r="F187" s="190">
        <v>1.5</v>
      </c>
      <c r="G187" s="190">
        <v>1.5</v>
      </c>
      <c r="H187" s="190">
        <v>1.5</v>
      </c>
      <c r="I187" s="190">
        <v>1.5</v>
      </c>
      <c r="J187" s="190">
        <v>1.5</v>
      </c>
      <c r="K187" s="190">
        <v>1.5</v>
      </c>
    </row>
    <row r="188" spans="1:11" ht="15" customHeight="1">
      <c r="A188" t="s">
        <v>508</v>
      </c>
      <c r="B188" s="190">
        <f>B34*B187</f>
        <v>0.13335000000000002</v>
      </c>
      <c r="C188" s="190">
        <f t="shared" ref="C188:I188" si="303">C34*C187</f>
        <v>0.12</v>
      </c>
      <c r="D188" s="190">
        <f t="shared" si="303"/>
        <v>0.12</v>
      </c>
      <c r="E188" s="190">
        <f t="shared" si="303"/>
        <v>0.12</v>
      </c>
      <c r="F188" s="190">
        <f t="shared" si="303"/>
        <v>0.12</v>
      </c>
      <c r="G188" s="190">
        <f t="shared" si="303"/>
        <v>0.12</v>
      </c>
      <c r="H188" s="190">
        <f t="shared" si="303"/>
        <v>0.12</v>
      </c>
      <c r="I188" s="190">
        <f t="shared" si="303"/>
        <v>0.12</v>
      </c>
      <c r="J188" s="190">
        <f t="shared" ref="J188" si="304">J34*J187</f>
        <v>0.12</v>
      </c>
      <c r="K188" s="190">
        <f t="shared" ref="K188" si="305">K34*K187</f>
        <v>0.12</v>
      </c>
    </row>
    <row r="189" spans="1:11" ht="15" customHeight="1">
      <c r="A189" t="s">
        <v>512</v>
      </c>
      <c r="B189" s="286">
        <v>2</v>
      </c>
      <c r="C189" s="286">
        <v>2</v>
      </c>
      <c r="D189" s="286">
        <v>2</v>
      </c>
      <c r="E189" s="286">
        <v>2</v>
      </c>
      <c r="F189" s="286">
        <v>2</v>
      </c>
      <c r="G189" s="286">
        <v>2</v>
      </c>
      <c r="H189" s="286">
        <v>2</v>
      </c>
      <c r="I189" s="286">
        <v>2</v>
      </c>
      <c r="J189" s="286">
        <v>2</v>
      </c>
      <c r="K189" s="286">
        <v>2</v>
      </c>
    </row>
    <row r="190" spans="1:11" ht="15" hidden="1" customHeight="1" outlineLevel="1">
      <c r="A190">
        <v>0.1</v>
      </c>
      <c r="B190" s="190">
        <f>ATAN((-B$188*$A190)/B$3)</f>
        <v>-8.1166725671986343E-5</v>
      </c>
      <c r="C190" s="190">
        <f t="shared" ref="C190:K190" si="306">ATAN((-C$188*$A190)/C$3)</f>
        <v>-3.5264425116361204E-4</v>
      </c>
      <c r="D190" s="190">
        <f t="shared" si="306"/>
        <v>-1.1754808805247553E-4</v>
      </c>
      <c r="E190" s="190">
        <f t="shared" si="306"/>
        <v>-7.0528853039386374E-5</v>
      </c>
      <c r="F190" s="190">
        <f t="shared" si="306"/>
        <v>-5.0377752211903743E-5</v>
      </c>
      <c r="G190" s="190">
        <f t="shared" si="306"/>
        <v>-3.5264426563547315E-5</v>
      </c>
      <c r="H190" s="190">
        <f t="shared" si="306"/>
        <v>-2.3509617714445632E-5</v>
      </c>
      <c r="I190" s="190">
        <f t="shared" si="306"/>
        <v>-1.7632213287255421E-5</v>
      </c>
      <c r="J190" s="190">
        <f t="shared" si="306"/>
        <v>-1.1754808858847044E-5</v>
      </c>
      <c r="K190" s="190">
        <f t="shared" si="306"/>
        <v>-7.052885315516126E-6</v>
      </c>
    </row>
    <row r="191" spans="1:11" ht="15" hidden="1" customHeight="1" outlineLevel="1">
      <c r="A191">
        <v>0.5</v>
      </c>
      <c r="B191" s="190">
        <f>ATAN((-B$188*$A191)/B$3)</f>
        <v>-4.0583360697075689E-4</v>
      </c>
      <c r="C191" s="190">
        <f>ATAN((-C$188*$A191)/C$3)</f>
        <v>-1.7632195016563466E-3</v>
      </c>
      <c r="D191" s="190">
        <f>ATAN((-D$188*$A191)/D$3)</f>
        <v>-5.8774037529331325E-4</v>
      </c>
      <c r="E191" s="190">
        <f>ATAN((-E$188*$A191)/E$3)</f>
        <v>-3.5264425116361198E-4</v>
      </c>
      <c r="F191" s="190">
        <f>ATAN((-F$188*$A191)/F$3)</f>
        <v>-2.5188875594533489E-4</v>
      </c>
      <c r="G191" s="190">
        <f>ATAN((-G$188*$A191)/G$3)</f>
        <v>-1.7632213106357145E-4</v>
      </c>
      <c r="H191" s="190">
        <f>ATAN((-H$188*$A191)/H$3)</f>
        <v>-1.1754808805247553E-4</v>
      </c>
      <c r="I191" s="190">
        <f>ATAN((-I$188*$A191)/I$3)</f>
        <v>-8.8161066217006459E-5</v>
      </c>
      <c r="J191" s="190">
        <f>ATAN((-J$188*$A191)/J$3)</f>
        <v>-5.8774044229266134E-5</v>
      </c>
      <c r="K191" s="190">
        <f>ATAN((-K$188*$A191)/K$3)</f>
        <v>-3.5264426563547315E-5</v>
      </c>
    </row>
    <row r="192" spans="1:11" ht="15" hidden="1" customHeight="1" outlineLevel="1">
      <c r="A192">
        <v>0.8</v>
      </c>
      <c r="B192" s="190">
        <f>ATAN((-B$188*$A192)/B$3)</f>
        <v>-6.493337155413705E-4</v>
      </c>
      <c r="C192" s="190">
        <f>ATAN((-C$188*$A192)/C$3)</f>
        <v>-2.8211466418511387E-3</v>
      </c>
      <c r="D192" s="190">
        <f>ATAN((-D$188*$A192)/D$3)</f>
        <v>-9.4038443154982208E-4</v>
      </c>
      <c r="E192" s="190">
        <f>ATAN((-E$188*$A192)/E$3)</f>
        <v>-5.6423076537515451E-4</v>
      </c>
      <c r="F192" s="190">
        <f>ATAN((-F$188*$A192)/F$3)</f>
        <v>-4.0302199621565922E-4</v>
      </c>
      <c r="G192" s="190">
        <f>ATAN((-G$188*$A192)/G$3)</f>
        <v>-2.8211540514088535E-4</v>
      </c>
      <c r="H192" s="190">
        <f>ATAN((-H$188*$A192)/H$3)</f>
        <v>-1.8807693953260408E-4</v>
      </c>
      <c r="I192" s="190">
        <f>ATAN((-I$188*$A192)/I$3)</f>
        <v>-1.410577053771067E-4</v>
      </c>
      <c r="J192" s="190">
        <f>ATAN((-J$188*$A192)/J$3)</f>
        <v>-9.4038470597906221E-5</v>
      </c>
      <c r="K192" s="190">
        <f>ATAN((-K$188*$A192)/K$3)</f>
        <v>-5.6423082465189061E-5</v>
      </c>
    </row>
    <row r="193" spans="1:11" ht="15" hidden="1" customHeight="1" outlineLevel="1">
      <c r="A193">
        <v>1</v>
      </c>
      <c r="B193" s="190">
        <f>ATAN((-B$188*$A193)/B$3)</f>
        <v>-8.1166708025922371E-4</v>
      </c>
      <c r="C193" s="190">
        <f>ATAN((-C$188*$A193)/C$3)</f>
        <v>-3.5264280398829692E-3</v>
      </c>
      <c r="D193" s="190">
        <f>ATAN((-D$188*$A193)/D$3)</f>
        <v>-1.1754803445303073E-3</v>
      </c>
      <c r="E193" s="190">
        <f>ATAN((-E$188*$A193)/E$3)</f>
        <v>-7.0528841461900079E-4</v>
      </c>
      <c r="F193" s="190">
        <f>ATAN((-F$188*$A193)/F$3)</f>
        <v>-5.0377747992702581E-4</v>
      </c>
      <c r="G193" s="190">
        <f>ATAN((-G$188*$A193)/G$3)</f>
        <v>-3.5264425116361198E-4</v>
      </c>
      <c r="H193" s="190">
        <f>ATAN((-H$188*$A193)/H$3)</f>
        <v>-2.3509617285649728E-4</v>
      </c>
      <c r="I193" s="190">
        <f>ATAN((-I$188*$A193)/I$3)</f>
        <v>-1.7632213106357145E-4</v>
      </c>
      <c r="J193" s="190">
        <f>ATAN((-J$188*$A193)/J$3)</f>
        <v>-1.1754808805247553E-4</v>
      </c>
      <c r="K193" s="190">
        <f>ATAN((-K$188*$A193)/K$3)</f>
        <v>-7.0528853039386374E-5</v>
      </c>
    </row>
    <row r="194" spans="1:11" ht="15" hidden="1" customHeight="1" outlineLevel="1">
      <c r="A194">
        <v>5</v>
      </c>
      <c r="B194" s="190">
        <f>ATAN((-B$188*$A194)/B$3)</f>
        <v>-4.058314012338967E-3</v>
      </c>
      <c r="C194" s="190">
        <f>ATAN((-C$188*$A194)/C$3)</f>
        <v>-1.7630386374527986E-2</v>
      </c>
      <c r="D194" s="190">
        <f>ATAN((-D$188*$A194)/D$3)</f>
        <v>-5.8773367549735467E-3</v>
      </c>
      <c r="E194" s="190">
        <f>ATAN((-E$188*$A194)/E$3)</f>
        <v>-3.5264280398829692E-3</v>
      </c>
      <c r="F194" s="190">
        <f>ATAN((-F$188*$A194)/F$3)</f>
        <v>-2.5188822854713636E-3</v>
      </c>
      <c r="G194" s="190">
        <f>ATAN((-G$188*$A194)/G$3)</f>
        <v>-1.7632195016563466E-3</v>
      </c>
      <c r="H194" s="190">
        <f>ATAN((-H$188*$A194)/H$3)</f>
        <v>-1.1754803445303075E-3</v>
      </c>
      <c r="I194" s="190">
        <f>ATAN((-I$188*$A194)/I$3)</f>
        <v>-8.8161043604732413E-4</v>
      </c>
      <c r="J194" s="190">
        <f>ATAN((-J$188*$A194)/J$3)</f>
        <v>-5.8774037529331336E-4</v>
      </c>
      <c r="K194" s="190">
        <f>ATAN((-K$188*$A194)/K$3)</f>
        <v>-3.5264425116361198E-4</v>
      </c>
    </row>
    <row r="195" spans="1:11" ht="15" hidden="1" customHeight="1" outlineLevel="1">
      <c r="A195">
        <v>10</v>
      </c>
      <c r="B195" s="190">
        <f>ATAN((-B$188*$A195)/B$3)</f>
        <v>-8.116494348926806E-3</v>
      </c>
      <c r="C195" s="190">
        <f>ATAN((-C$188*$A195)/C$3)</f>
        <v>-3.5249819433070033E-2</v>
      </c>
      <c r="D195" s="190">
        <f>ATAN((-D$188*$A195)/D$3)</f>
        <v>-1.1754267495283133E-2</v>
      </c>
      <c r="E195" s="190">
        <f>ATAN((-E$188*$A195)/E$3)</f>
        <v>-7.0527683747821576E-3</v>
      </c>
      <c r="F195" s="190">
        <f>ATAN((-F$188*$A195)/F$3)</f>
        <v>-5.0377326079010416E-3</v>
      </c>
      <c r="G195" s="190">
        <f>ATAN((-G$188*$A195)/G$3)</f>
        <v>-3.5264280398829692E-3</v>
      </c>
      <c r="H195" s="190">
        <f>ATAN((-H$188*$A195)/H$3)</f>
        <v>-2.3509574406201613E-3</v>
      </c>
      <c r="I195" s="190">
        <f>ATAN((-I$188*$A195)/I$3)</f>
        <v>-1.7632195016563466E-3</v>
      </c>
      <c r="J195" s="190">
        <f>ATAN((-J$188*$A195)/J$3)</f>
        <v>-1.1754803445303075E-3</v>
      </c>
      <c r="K195" s="190">
        <f>ATAN((-K$188*$A195)/K$3)</f>
        <v>-7.0528841461900079E-4</v>
      </c>
    </row>
    <row r="196" spans="1:11" ht="15" hidden="1" customHeight="1" outlineLevel="1">
      <c r="A196">
        <v>20</v>
      </c>
      <c r="B196" s="190">
        <f>ATAN((-B$188*$A196)/B$3)</f>
        <v>-1.6231919450332213E-2</v>
      </c>
      <c r="C196" s="190">
        <f>ATAN((-C$188*$A196)/C$3)</f>
        <v>-7.0412256610955959E-2</v>
      </c>
      <c r="D196" s="190">
        <f>ATAN((-D$188*$A196)/D$3)</f>
        <v>-2.3505287882659417E-2</v>
      </c>
      <c r="E196" s="190">
        <f>ATAN((-E$188*$A196)/E$3)</f>
        <v>-1.4104835188211418E-2</v>
      </c>
      <c r="F196" s="190">
        <f>ATAN((-F$188*$A196)/F$3)</f>
        <v>-1.0075209526069015E-2</v>
      </c>
      <c r="G196" s="190">
        <f>ATAN((-G$188*$A196)/G$3)</f>
        <v>-7.0527683747821576E-3</v>
      </c>
      <c r="H196" s="190">
        <f>ATAN((-H$188*$A196)/H$3)</f>
        <v>-4.7018888940398625E-3</v>
      </c>
      <c r="I196" s="190">
        <f>ATAN((-I$188*$A196)/I$3)</f>
        <v>-3.5264280398829692E-3</v>
      </c>
      <c r="J196" s="190">
        <f>ATAN((-J$188*$A196)/J$3)</f>
        <v>-2.3509574406201613E-3</v>
      </c>
      <c r="K196" s="190">
        <f>ATAN((-K$188*$A196)/K$3)</f>
        <v>-1.4105761275730023E-3</v>
      </c>
    </row>
    <row r="197" spans="1:11" ht="15" hidden="1" customHeight="1" outlineLevel="1">
      <c r="A197">
        <v>50</v>
      </c>
      <c r="B197" s="190">
        <f>ATAN((-B$188*$A197)/B$3)</f>
        <v>-4.0561104524173767E-2</v>
      </c>
      <c r="C197" s="190">
        <f>ATAN((-C$188*$A197)/C$3)</f>
        <v>-0.17452822355748537</v>
      </c>
      <c r="D197" s="190">
        <f>ATAN((-D$188*$A197)/D$3)</f>
        <v>-5.8706508096212806E-2</v>
      </c>
      <c r="E197" s="190">
        <f>ATAN((-E$188*$A197)/E$3)</f>
        <v>-3.5249819433070033E-2</v>
      </c>
      <c r="F197" s="190">
        <f>ATAN((-F$188*$A197)/F$3)</f>
        <v>-2.5183550879356673E-2</v>
      </c>
      <c r="G197" s="190">
        <f>ATAN((-G$188*$A197)/G$3)</f>
        <v>-1.7630386374527986E-2</v>
      </c>
      <c r="H197" s="190">
        <f>ATAN((-H$188*$A197)/H$3)</f>
        <v>-1.1754267495283134E-2</v>
      </c>
      <c r="I197" s="190">
        <f>ATAN((-I$188*$A197)/I$3)</f>
        <v>-8.8158782482761211E-3</v>
      </c>
      <c r="J197" s="190">
        <f>ATAN((-J$188*$A197)/J$3)</f>
        <v>-5.8773367549735476E-3</v>
      </c>
      <c r="K197" s="190">
        <f>ATAN((-K$188*$A197)/K$3)</f>
        <v>-3.5264280398829692E-3</v>
      </c>
    </row>
    <row r="198" spans="1:11" ht="15" hidden="1" customHeight="1" outlineLevel="1">
      <c r="A198">
        <v>100</v>
      </c>
      <c r="B198" s="190">
        <f>ATAN((-B$188*$A198)/B$3)</f>
        <v>-8.0989183973675077E-2</v>
      </c>
      <c r="C198" s="190">
        <f>ATAN((-C$188*$A198)/C$3)</f>
        <v>-0.33902856773486362</v>
      </c>
      <c r="D198" s="190">
        <f>ATAN((-D$188*$A198)/D$3)</f>
        <v>-0.11701112434581525</v>
      </c>
      <c r="E198" s="190">
        <f>ATAN((-E$188*$A198)/E$3)</f>
        <v>-7.0412256610955959E-2</v>
      </c>
      <c r="F198" s="190">
        <f>ATAN((-F$188*$A198)/F$3)</f>
        <v>-5.0335198833895742E-2</v>
      </c>
      <c r="G198" s="190">
        <f>ATAN((-G$188*$A198)/G$3)</f>
        <v>-3.5249819433070033E-2</v>
      </c>
      <c r="H198" s="190">
        <f>ATAN((-H$188*$A198)/H$3)</f>
        <v>-2.3505287882659421E-2</v>
      </c>
      <c r="I198" s="190">
        <f>ATAN((-I$188*$A198)/I$3)</f>
        <v>-1.7630386374527986E-2</v>
      </c>
      <c r="J198" s="190">
        <f>ATAN((-J$188*$A198)/J$3)</f>
        <v>-1.1754267495283134E-2</v>
      </c>
      <c r="K198" s="190">
        <f>ATAN((-K$188*$A198)/K$3)</f>
        <v>-7.0527683747821576E-3</v>
      </c>
    </row>
    <row r="199" spans="1:11" ht="15" customHeight="1" collapsed="1">
      <c r="A199" t="s">
        <v>513</v>
      </c>
    </row>
    <row r="200" spans="1:11" ht="15" hidden="1" customHeight="1" outlineLevel="1">
      <c r="A200">
        <v>0.1</v>
      </c>
      <c r="B200" s="190">
        <f>DEGREES(B190)</f>
        <v>-4.6505108179009684E-3</v>
      </c>
      <c r="C200" s="190">
        <f t="shared" ref="C200:I200" si="307">DEGREES(C190)</f>
        <v>-2.020502726122634E-2</v>
      </c>
      <c r="D200" s="190">
        <f t="shared" si="307"/>
        <v>-6.7350093352390242E-3</v>
      </c>
      <c r="E200" s="190">
        <f t="shared" si="307"/>
        <v>-4.0410056130552674E-3</v>
      </c>
      <c r="F200" s="190">
        <f t="shared" si="307"/>
        <v>-2.8864325830979323E-3</v>
      </c>
      <c r="G200" s="190">
        <f t="shared" si="307"/>
        <v>-2.0205028090402905E-3</v>
      </c>
      <c r="H200" s="190">
        <f t="shared" si="307"/>
        <v>-1.3470018730037314E-3</v>
      </c>
      <c r="I200" s="190">
        <f t="shared" si="307"/>
        <v>-1.0102514048342271E-3</v>
      </c>
      <c r="J200" s="190">
        <f t="shared" ref="J200:K200" si="308">DEGREES(J190)</f>
        <v>-6.735009365949271E-4</v>
      </c>
      <c r="K200" s="190">
        <f t="shared" si="308"/>
        <v>-4.0410056196886799E-4</v>
      </c>
    </row>
    <row r="201" spans="1:11" ht="15" hidden="1" customHeight="1" outlineLevel="1">
      <c r="A201">
        <v>0.5</v>
      </c>
      <c r="B201" s="190">
        <f t="shared" ref="B201" si="309">DEGREES(B191)</f>
        <v>-2.3252552863995395E-2</v>
      </c>
      <c r="C201" s="190">
        <f t="shared" ref="C201:I201" si="310">DEGREES(C191)</f>
        <v>-0.10102503580006893</v>
      </c>
      <c r="D201" s="190">
        <f t="shared" si="310"/>
        <v>-3.3675042953741935E-2</v>
      </c>
      <c r="E201" s="190">
        <f t="shared" si="310"/>
        <v>-2.0205027261226336E-2</v>
      </c>
      <c r="F201" s="190">
        <f t="shared" si="310"/>
        <v>-1.4432162622468513E-2</v>
      </c>
      <c r="G201" s="190">
        <f t="shared" si="310"/>
        <v>-1.0102513944695194E-2</v>
      </c>
      <c r="H201" s="190">
        <f t="shared" si="310"/>
        <v>-6.7350093352390242E-3</v>
      </c>
      <c r="I201" s="190">
        <f t="shared" si="310"/>
        <v>-5.0512570116078527E-3</v>
      </c>
      <c r="J201" s="190">
        <f t="shared" ref="J201:K201" si="311">DEGREES(J191)</f>
        <v>-3.3675046792521809E-3</v>
      </c>
      <c r="K201" s="190">
        <f t="shared" si="311"/>
        <v>-2.0205028090402905E-3</v>
      </c>
    </row>
    <row r="202" spans="1:11" ht="15" hidden="1" customHeight="1" outlineLevel="1">
      <c r="A202">
        <v>0.8</v>
      </c>
      <c r="B202" s="190">
        <f t="shared" ref="B202" si="312">DEGREES(B192)</f>
        <v>-3.7204081396068879E-2</v>
      </c>
      <c r="C202" s="190">
        <f t="shared" ref="C202:I202" si="313">DEGREES(C192)</f>
        <v>-0.16163979596557546</v>
      </c>
      <c r="D202" s="190">
        <f t="shared" si="313"/>
        <v>-5.3880059047613865E-2</v>
      </c>
      <c r="E202" s="190">
        <f t="shared" si="313"/>
        <v>-3.2328041527432537E-2</v>
      </c>
      <c r="F202" s="190">
        <f t="shared" si="313"/>
        <v>-2.309145943409471E-2</v>
      </c>
      <c r="G202" s="190">
        <f t="shared" si="313"/>
        <v>-1.6164022050196059E-2</v>
      </c>
      <c r="H202" s="190">
        <f t="shared" si="313"/>
        <v>-1.07760148589554E-2</v>
      </c>
      <c r="I202" s="190">
        <f t="shared" si="313"/>
        <v>-8.0820111859080321E-3</v>
      </c>
      <c r="J202" s="190">
        <f t="shared" ref="J202:K202" si="314">DEGREES(J192)</f>
        <v>-5.3880074771251096E-3</v>
      </c>
      <c r="K202" s="190">
        <f t="shared" si="314"/>
        <v>-3.2328044923739339E-3</v>
      </c>
    </row>
    <row r="203" spans="1:11" ht="15" hidden="1" customHeight="1" outlineLevel="1">
      <c r="A203">
        <v>1</v>
      </c>
      <c r="B203" s="190">
        <f t="shared" ref="B203" si="315">DEGREES(B193)</f>
        <v>-4.6505098068559778E-2</v>
      </c>
      <c r="C203" s="190">
        <f t="shared" ref="C203:I203" si="316">DEGREES(C193)</f>
        <v>-0.20204944344188569</v>
      </c>
      <c r="D203" s="190">
        <f t="shared" si="316"/>
        <v>-6.7350062642170527E-2</v>
      </c>
      <c r="E203" s="190">
        <f t="shared" si="316"/>
        <v>-4.0410049497141658E-2</v>
      </c>
      <c r="F203" s="190">
        <f t="shared" si="316"/>
        <v>-2.8864323413555128E-2</v>
      </c>
      <c r="G203" s="190">
        <f t="shared" si="316"/>
        <v>-2.0205027261226336E-2</v>
      </c>
      <c r="H203" s="190">
        <f t="shared" si="316"/>
        <v>-1.3470018484355356E-2</v>
      </c>
      <c r="I203" s="190">
        <f t="shared" si="316"/>
        <v>-1.0102513944695194E-2</v>
      </c>
      <c r="J203" s="190">
        <f t="shared" ref="J203:K203" si="317">DEGREES(J193)</f>
        <v>-6.7350093352390242E-3</v>
      </c>
      <c r="K203" s="190">
        <f t="shared" si="317"/>
        <v>-4.0410056130552674E-3</v>
      </c>
    </row>
    <row r="204" spans="1:11" ht="15" hidden="1" customHeight="1" outlineLevel="1">
      <c r="A204">
        <v>5</v>
      </c>
      <c r="B204" s="190">
        <f t="shared" ref="B204" si="318">DEGREES(B194)</f>
        <v>-0.23252426484582592</v>
      </c>
      <c r="C204" s="190">
        <f t="shared" ref="C204:I204" si="319">DEGREES(C194)</f>
        <v>-1.0101467304454064</v>
      </c>
      <c r="D204" s="190">
        <f t="shared" si="319"/>
        <v>-0.33674659083709907</v>
      </c>
      <c r="E204" s="190">
        <f t="shared" si="319"/>
        <v>-0.20204944344188569</v>
      </c>
      <c r="F204" s="190">
        <f t="shared" si="319"/>
        <v>-0.14432132404777614</v>
      </c>
      <c r="G204" s="190">
        <f t="shared" si="319"/>
        <v>-0.10102503580006893</v>
      </c>
      <c r="H204" s="190">
        <f t="shared" si="319"/>
        <v>-6.7350062642170541E-2</v>
      </c>
      <c r="I204" s="190">
        <f t="shared" si="319"/>
        <v>-5.0512557160199846E-2</v>
      </c>
      <c r="J204" s="190">
        <f t="shared" ref="J204:K204" si="320">DEGREES(J194)</f>
        <v>-3.3675042953741942E-2</v>
      </c>
      <c r="K204" s="190">
        <f t="shared" si="320"/>
        <v>-2.0205027261226336E-2</v>
      </c>
    </row>
    <row r="205" spans="1:11" ht="15" hidden="1" customHeight="1" outlineLevel="1">
      <c r="A205">
        <v>10</v>
      </c>
      <c r="B205" s="190">
        <f t="shared" ref="B205" si="321">DEGREES(B195)</f>
        <v>-0.46504087063528893</v>
      </c>
      <c r="C205" s="190">
        <f t="shared" ref="C205:I205" si="322">DEGREES(C195)</f>
        <v>-2.019665882113145</v>
      </c>
      <c r="D205" s="190">
        <f t="shared" si="322"/>
        <v>-0.67346991874753281</v>
      </c>
      <c r="E205" s="190">
        <f t="shared" si="322"/>
        <v>-0.40409386175835843</v>
      </c>
      <c r="F205" s="190">
        <f t="shared" si="322"/>
        <v>-0.28864081674816328</v>
      </c>
      <c r="G205" s="190">
        <f t="shared" si="322"/>
        <v>-0.20204944344188569</v>
      </c>
      <c r="H205" s="190">
        <f t="shared" si="322"/>
        <v>-0.1346999391624131</v>
      </c>
      <c r="I205" s="190">
        <f t="shared" si="322"/>
        <v>-0.10102503580006893</v>
      </c>
      <c r="J205" s="190">
        <f t="shared" ref="J205:K205" si="323">DEGREES(J195)</f>
        <v>-6.7350062642170541E-2</v>
      </c>
      <c r="K205" s="190">
        <f t="shared" si="323"/>
        <v>-4.0410049497141658E-2</v>
      </c>
    </row>
    <row r="206" spans="1:11" ht="15" hidden="1" customHeight="1" outlineLevel="1">
      <c r="A206">
        <v>20</v>
      </c>
      <c r="B206" s="190">
        <f t="shared" ref="B206" si="324">DEGREES(B196)</f>
        <v>-0.93002047790034692</v>
      </c>
      <c r="C206" s="190">
        <f t="shared" ref="C206:I206" si="325">DEGREES(C196)</f>
        <v>-4.0343251297999059</v>
      </c>
      <c r="D206" s="190">
        <f t="shared" si="325"/>
        <v>-1.3467537919163797</v>
      </c>
      <c r="E206" s="190">
        <f t="shared" si="325"/>
        <v>-0.80814752701212644</v>
      </c>
      <c r="F206" s="190">
        <f t="shared" si="325"/>
        <v>-0.57726698355375694</v>
      </c>
      <c r="G206" s="190">
        <f t="shared" si="325"/>
        <v>-0.40409386175835843</v>
      </c>
      <c r="H206" s="190">
        <f t="shared" si="325"/>
        <v>-0.26939838936791843</v>
      </c>
      <c r="I206" s="190">
        <f t="shared" si="325"/>
        <v>-0.20204944344188569</v>
      </c>
      <c r="J206" s="190">
        <f t="shared" ref="J206:K206" si="326">DEGREES(J196)</f>
        <v>-0.1346999391624131</v>
      </c>
      <c r="K206" s="190">
        <f t="shared" si="326"/>
        <v>-8.0820058791840219E-2</v>
      </c>
    </row>
    <row r="207" spans="1:11" ht="15" hidden="1" customHeight="1" outlineLevel="1">
      <c r="A207">
        <v>50</v>
      </c>
      <c r="B207" s="190">
        <f t="shared" ref="B207" si="327">DEGREES(B197)</f>
        <v>-2.3239801016241461</v>
      </c>
      <c r="C207" s="190">
        <f t="shared" ref="C207:I207" si="328">DEGREES(C197)</f>
        <v>-9.9997306157596224</v>
      </c>
      <c r="D207" s="190">
        <f t="shared" si="328"/>
        <v>-3.3636351438635912</v>
      </c>
      <c r="E207" s="190">
        <f t="shared" si="328"/>
        <v>-2.019665882113145</v>
      </c>
      <c r="F207" s="190">
        <f t="shared" si="328"/>
        <v>-1.4429111785401103</v>
      </c>
      <c r="G207" s="190">
        <f t="shared" si="328"/>
        <v>-1.0101467304454064</v>
      </c>
      <c r="H207" s="190">
        <f t="shared" si="328"/>
        <v>-0.67346991874753293</v>
      </c>
      <c r="I207" s="190">
        <f t="shared" si="328"/>
        <v>-0.505112616327407</v>
      </c>
      <c r="J207" s="190">
        <f t="shared" ref="J207:K207" si="329">DEGREES(J197)</f>
        <v>-0.33674659083709912</v>
      </c>
      <c r="K207" s="190">
        <f t="shared" si="329"/>
        <v>-0.20204944344188569</v>
      </c>
    </row>
    <row r="208" spans="1:11" ht="15" hidden="1" customHeight="1" outlineLevel="1">
      <c r="A208">
        <v>100</v>
      </c>
      <c r="B208" s="190">
        <f t="shared" ref="B208" si="330">DEGREES(B198)</f>
        <v>-4.6403384279001481</v>
      </c>
      <c r="C208" s="190">
        <f t="shared" ref="C208:I208" si="331">DEGREES(C198)</f>
        <v>-19.424906065572841</v>
      </c>
      <c r="D208" s="190">
        <f t="shared" si="331"/>
        <v>-6.7042435810956897</v>
      </c>
      <c r="E208" s="190">
        <f t="shared" si="331"/>
        <v>-4.0343251297999059</v>
      </c>
      <c r="F208" s="190">
        <f t="shared" si="331"/>
        <v>-2.883994454134049</v>
      </c>
      <c r="G208" s="190">
        <f t="shared" si="331"/>
        <v>-2.019665882113145</v>
      </c>
      <c r="H208" s="190">
        <f t="shared" si="331"/>
        <v>-1.3467537919163799</v>
      </c>
      <c r="I208" s="190">
        <f t="shared" si="331"/>
        <v>-1.0101467304454064</v>
      </c>
      <c r="J208" s="190">
        <f t="shared" ref="J208:K208" si="332">DEGREES(J198)</f>
        <v>-0.67346991874753293</v>
      </c>
      <c r="K208" s="190">
        <f t="shared" si="332"/>
        <v>-0.40409386175835843</v>
      </c>
    </row>
    <row r="209" spans="1:11" ht="15" customHeight="1" collapsed="1"/>
    <row r="210" spans="1:11" ht="15" customHeight="1">
      <c r="A210" t="s">
        <v>510</v>
      </c>
      <c r="B210" s="190">
        <v>20</v>
      </c>
      <c r="C210" s="190">
        <v>20</v>
      </c>
      <c r="D210" s="190">
        <v>20</v>
      </c>
      <c r="E210" s="190">
        <v>20</v>
      </c>
      <c r="F210" s="190">
        <v>20</v>
      </c>
      <c r="G210" s="190">
        <v>20</v>
      </c>
      <c r="H210" s="190">
        <v>20</v>
      </c>
      <c r="I210" s="190">
        <v>20</v>
      </c>
      <c r="J210" s="190">
        <v>20</v>
      </c>
      <c r="K210" s="190">
        <v>20</v>
      </c>
    </row>
    <row r="211" spans="1:11" ht="15" customHeight="1">
      <c r="A211" t="s">
        <v>519</v>
      </c>
      <c r="B211" s="190">
        <f>B$186*VLOOKUP(B$210,$A$190:B$198,B$189,FALSE)</f>
        <v>-3.1675063868447838E-2</v>
      </c>
      <c r="C211" s="190">
        <f>C$186*VLOOKUP(C$210,$A$190:C$198,C$189,FALSE)</f>
        <v>-2.8432762121379244E-2</v>
      </c>
      <c r="D211" s="190">
        <f>D$186*VLOOKUP(D$210,$A$190:D$198,D$189,FALSE)</f>
        <v>-2.9656230785978864E-2</v>
      </c>
      <c r="E211" s="190">
        <f>E$186*VLOOKUP(E$210,$A$190:E$198,E$189,FALSE)</f>
        <v>-3.2666756644075312E-2</v>
      </c>
      <c r="F211" s="190">
        <f>F$186*VLOOKUP(F$210,$A$190:F$198,F$189,FALSE)</f>
        <v>-3.9614261202902949E-2</v>
      </c>
      <c r="G211" s="190">
        <f>G$186*VLOOKUP(G$210,$A$190:G$198,G$189,FALSE)</f>
        <v>-0.4579645288504694</v>
      </c>
      <c r="H211" s="190">
        <f>H$186*VLOOKUP(H$210,$A$190:H$198,H$189,FALSE)</f>
        <v>-5.8073080473990159E-2</v>
      </c>
      <c r="I211" s="190">
        <f>I$186*VLOOKUP(I$210,$A$190:I$198,I$189,FALSE)</f>
        <v>-3.748601225645451E-2</v>
      </c>
      <c r="J211" s="190">
        <f>J$186*VLOOKUP(J$210,$A$190:J$198,J$189,FALSE)</f>
        <v>-2.295540063000745E-2</v>
      </c>
      <c r="K211" s="190">
        <f>K$186*VLOOKUP(K$210,$A$190:K$198,K$189,FALSE)</f>
        <v>-1.3253306733090508E-2</v>
      </c>
    </row>
    <row r="212" spans="1:11" ht="15" customHeight="1">
      <c r="A212" t="s">
        <v>379</v>
      </c>
    </row>
    <row r="213" spans="1:11" ht="15" hidden="1" customHeight="1" outlineLevel="1">
      <c r="A213">
        <v>1</v>
      </c>
      <c r="B213" s="190">
        <f>B$29*(B81)*B$211</f>
        <v>-0.74163737422247722</v>
      </c>
      <c r="C213" s="190">
        <f t="shared" ref="C213:I213" si="333">C$29*(C81)*C$211</f>
        <v>-4.0080304573719604E-2</v>
      </c>
      <c r="D213" s="190">
        <f t="shared" si="333"/>
        <v>-0.37624472838856365</v>
      </c>
      <c r="E213" s="190">
        <f t="shared" si="333"/>
        <v>-1.1512191025802847</v>
      </c>
      <c r="F213" s="190">
        <f t="shared" si="333"/>
        <v>-2.736274117061142</v>
      </c>
      <c r="G213" s="190">
        <f t="shared" si="333"/>
        <v>-64.557068785395984</v>
      </c>
      <c r="H213" s="190">
        <f t="shared" si="333"/>
        <v>-18.419139764681354</v>
      </c>
      <c r="I213" s="190">
        <f t="shared" si="333"/>
        <v>-21.136895277060059</v>
      </c>
      <c r="J213" s="190">
        <f t="shared" ref="J213:K213" si="334">J$29*(J81)*J$211</f>
        <v>-29.123217098685451</v>
      </c>
      <c r="K213" s="190">
        <f t="shared" si="334"/>
        <v>-46.706381198872116</v>
      </c>
    </row>
    <row r="214" spans="1:11" ht="15" hidden="1" customHeight="1" outlineLevel="1">
      <c r="A214">
        <v>2</v>
      </c>
      <c r="B214" s="190">
        <f>B$29*(B82)*B$211</f>
        <v>-0.7184612062780249</v>
      </c>
      <c r="C214" s="190">
        <f t="shared" ref="C214:I214" si="335">C$29*(C82)*C$211</f>
        <v>-3.8827795055790877E-2</v>
      </c>
      <c r="D214" s="190">
        <f t="shared" si="335"/>
        <v>-0.36448708062642116</v>
      </c>
      <c r="E214" s="190">
        <f t="shared" si="335"/>
        <v>-1.115243505624651</v>
      </c>
      <c r="F214" s="190">
        <f t="shared" si="335"/>
        <v>-2.6507655509029813</v>
      </c>
      <c r="G214" s="190">
        <f t="shared" si="335"/>
        <v>-62.539660385852365</v>
      </c>
      <c r="H214" s="190">
        <f t="shared" si="335"/>
        <v>-17.843541647035067</v>
      </c>
      <c r="I214" s="190">
        <f t="shared" si="335"/>
        <v>-20.476367299651937</v>
      </c>
      <c r="J214" s="190">
        <f t="shared" ref="J214:K214" si="336">J$29*(J82)*J$211</f>
        <v>-28.213116564351541</v>
      </c>
      <c r="K214" s="190">
        <f t="shared" si="336"/>
        <v>-45.246806786407376</v>
      </c>
    </row>
    <row r="215" spans="1:11" ht="15" hidden="1" customHeight="1" outlineLevel="1">
      <c r="A215">
        <v>3</v>
      </c>
      <c r="B215" s="190">
        <f>B$29*(B83)*B$211</f>
        <v>-0.69528503833357236</v>
      </c>
      <c r="C215" s="190">
        <f t="shared" ref="C215:I215" si="337">C$29*(C83)*C$211</f>
        <v>-3.757528553786213E-2</v>
      </c>
      <c r="D215" s="190">
        <f t="shared" si="337"/>
        <v>-0.35272943286427844</v>
      </c>
      <c r="E215" s="190">
        <f t="shared" si="337"/>
        <v>-1.0792679086690171</v>
      </c>
      <c r="F215" s="190">
        <f t="shared" si="337"/>
        <v>-2.5652569847448206</v>
      </c>
      <c r="G215" s="190">
        <f t="shared" si="337"/>
        <v>-60.522251986308738</v>
      </c>
      <c r="H215" s="190">
        <f t="shared" si="337"/>
        <v>-17.26794352938877</v>
      </c>
      <c r="I215" s="190">
        <f t="shared" si="337"/>
        <v>-19.815839322243811</v>
      </c>
      <c r="J215" s="190">
        <f t="shared" ref="J215:K215" si="338">J$29*(J83)*J$211</f>
        <v>-27.303016030017613</v>
      </c>
      <c r="K215" s="190">
        <f t="shared" si="338"/>
        <v>-43.787232373942615</v>
      </c>
    </row>
    <row r="216" spans="1:11" ht="15" hidden="1" customHeight="1" outlineLevel="1">
      <c r="A216">
        <v>4</v>
      </c>
      <c r="B216" s="190">
        <f>B$29*(B84)*B$211</f>
        <v>-0.67210887038912015</v>
      </c>
      <c r="C216" s="190">
        <f t="shared" ref="C216:I216" si="339">C$29*(C84)*C$211</f>
        <v>-3.6322776019933403E-2</v>
      </c>
      <c r="D216" s="190">
        <f t="shared" si="339"/>
        <v>-0.34097178510213588</v>
      </c>
      <c r="E216" s="190">
        <f t="shared" si="339"/>
        <v>-1.0432923117133832</v>
      </c>
      <c r="F216" s="190">
        <f t="shared" si="339"/>
        <v>-2.4797484185866603</v>
      </c>
      <c r="G216" s="190">
        <f t="shared" si="339"/>
        <v>-58.504843586765119</v>
      </c>
      <c r="H216" s="190">
        <f t="shared" si="339"/>
        <v>-16.69234541174248</v>
      </c>
      <c r="I216" s="190">
        <f t="shared" si="339"/>
        <v>-19.155311344835685</v>
      </c>
      <c r="J216" s="190">
        <f t="shared" ref="J216:K216" si="340">J$29*(J84)*J$211</f>
        <v>-26.392915495683695</v>
      </c>
      <c r="K216" s="190">
        <f t="shared" si="340"/>
        <v>-42.327657961477868</v>
      </c>
    </row>
    <row r="217" spans="1:11" ht="15" hidden="1" customHeight="1" outlineLevel="1">
      <c r="A217">
        <v>5</v>
      </c>
      <c r="B217" s="190">
        <f>B$29*(B85)*B$211</f>
        <v>-0.64893270244466761</v>
      </c>
      <c r="C217" s="190">
        <f t="shared" ref="C217:I217" si="341">C$29*(C85)*C$211</f>
        <v>-3.5070266502004656E-2</v>
      </c>
      <c r="D217" s="190">
        <f t="shared" si="341"/>
        <v>-0.32921413733999327</v>
      </c>
      <c r="E217" s="190">
        <f t="shared" si="341"/>
        <v>-1.0073167147577491</v>
      </c>
      <c r="F217" s="190">
        <f t="shared" si="341"/>
        <v>-2.3942398524284991</v>
      </c>
      <c r="G217" s="190">
        <f t="shared" si="341"/>
        <v>-56.487435187221479</v>
      </c>
      <c r="H217" s="190">
        <f t="shared" si="341"/>
        <v>-16.116747294096182</v>
      </c>
      <c r="I217" s="190">
        <f t="shared" si="341"/>
        <v>-18.494783367427551</v>
      </c>
      <c r="J217" s="190">
        <f t="shared" ref="J217:K217" si="342">J$29*(J85)*J$211</f>
        <v>-25.482814961349771</v>
      </c>
      <c r="K217" s="190">
        <f t="shared" si="342"/>
        <v>-40.8680835490131</v>
      </c>
    </row>
    <row r="218" spans="1:11" ht="15" hidden="1" customHeight="1" outlineLevel="1">
      <c r="A218">
        <v>6</v>
      </c>
      <c r="B218" s="190">
        <f>B$29*(B86)*B$211</f>
        <v>-0.62575653450021518</v>
      </c>
      <c r="C218" s="190">
        <f t="shared" ref="C218:I218" si="343">C$29*(C86)*C$211</f>
        <v>-3.3817756984075922E-2</v>
      </c>
      <c r="D218" s="190">
        <f t="shared" si="343"/>
        <v>-0.31745648957785066</v>
      </c>
      <c r="E218" s="190">
        <f t="shared" si="343"/>
        <v>-0.97134111780211518</v>
      </c>
      <c r="F218" s="190">
        <f t="shared" si="343"/>
        <v>-2.3087312862703384</v>
      </c>
      <c r="G218" s="190">
        <f t="shared" si="343"/>
        <v>-54.47002678767786</v>
      </c>
      <c r="H218" s="190">
        <f t="shared" si="343"/>
        <v>-15.541149176449894</v>
      </c>
      <c r="I218" s="190">
        <f t="shared" si="343"/>
        <v>-17.834255390019425</v>
      </c>
      <c r="J218" s="190">
        <f t="shared" ref="J218:K218" si="344">J$29*(J86)*J$211</f>
        <v>-24.572714427015853</v>
      </c>
      <c r="K218" s="190">
        <f t="shared" si="344"/>
        <v>-39.408509136548354</v>
      </c>
    </row>
    <row r="219" spans="1:11" ht="15" hidden="1" customHeight="1" outlineLevel="1">
      <c r="A219">
        <v>7</v>
      </c>
      <c r="B219" s="190">
        <f>B$29*(B87)*B$211</f>
        <v>-0.60258036655576275</v>
      </c>
      <c r="C219" s="190">
        <f t="shared" ref="C219:I219" si="345">C$29*(C87)*C$211</f>
        <v>-3.2565247466147182E-2</v>
      </c>
      <c r="D219" s="190">
        <f t="shared" si="345"/>
        <v>-0.30569884181570806</v>
      </c>
      <c r="E219" s="190">
        <f t="shared" si="345"/>
        <v>-0.93536552084648139</v>
      </c>
      <c r="F219" s="190">
        <f t="shared" si="345"/>
        <v>-2.2232227201121781</v>
      </c>
      <c r="G219" s="190">
        <f t="shared" si="345"/>
        <v>-52.45261838813424</v>
      </c>
      <c r="H219" s="190">
        <f t="shared" si="345"/>
        <v>-14.9655510588036</v>
      </c>
      <c r="I219" s="190">
        <f t="shared" si="345"/>
        <v>-17.173727412611299</v>
      </c>
      <c r="J219" s="190">
        <f t="shared" ref="J219:K219" si="346">J$29*(J87)*J$211</f>
        <v>-23.662613892681932</v>
      </c>
      <c r="K219" s="190">
        <f t="shared" si="346"/>
        <v>-37.9489347240836</v>
      </c>
    </row>
    <row r="220" spans="1:11" ht="15" hidden="1" customHeight="1" outlineLevel="1">
      <c r="A220">
        <v>8</v>
      </c>
      <c r="B220" s="190">
        <f>B$29*(B88)*B$211</f>
        <v>-0.57940419861131032</v>
      </c>
      <c r="C220" s="190">
        <f t="shared" ref="C220:I220" si="347">C$29*(C88)*C$211</f>
        <v>-3.1312737948218441E-2</v>
      </c>
      <c r="D220" s="190">
        <f t="shared" si="347"/>
        <v>-0.29394119405356539</v>
      </c>
      <c r="E220" s="190">
        <f t="shared" si="347"/>
        <v>-0.89938992389084749</v>
      </c>
      <c r="F220" s="190">
        <f t="shared" si="347"/>
        <v>-2.137714153954017</v>
      </c>
      <c r="G220" s="190">
        <f t="shared" si="347"/>
        <v>-50.435209988590614</v>
      </c>
      <c r="H220" s="190">
        <f t="shared" si="347"/>
        <v>-14.389952941157308</v>
      </c>
      <c r="I220" s="190">
        <f t="shared" si="347"/>
        <v>-16.513199435203173</v>
      </c>
      <c r="J220" s="190">
        <f t="shared" ref="J220:K220" si="348">J$29*(J88)*J$211</f>
        <v>-22.752513358348011</v>
      </c>
      <c r="K220" s="190">
        <f t="shared" si="348"/>
        <v>-36.489360311618846</v>
      </c>
    </row>
    <row r="221" spans="1:11" ht="15" hidden="1" customHeight="1" outlineLevel="1">
      <c r="A221">
        <v>9</v>
      </c>
      <c r="B221" s="190">
        <f>B$29*(B89)*B$211</f>
        <v>-0.55622803066685789</v>
      </c>
      <c r="C221" s="190">
        <f t="shared" ref="C221:I221" si="349">C$29*(C89)*C$211</f>
        <v>-3.0060228430289705E-2</v>
      </c>
      <c r="D221" s="190">
        <f t="shared" si="349"/>
        <v>-0.28218354629142278</v>
      </c>
      <c r="E221" s="190">
        <f t="shared" si="349"/>
        <v>-0.86341432693521358</v>
      </c>
      <c r="F221" s="190">
        <f t="shared" si="349"/>
        <v>-2.0522055877958567</v>
      </c>
      <c r="G221" s="190">
        <f t="shared" si="349"/>
        <v>-48.417801589046988</v>
      </c>
      <c r="H221" s="190">
        <f t="shared" si="349"/>
        <v>-13.814354823511017</v>
      </c>
      <c r="I221" s="190">
        <f t="shared" si="349"/>
        <v>-15.852671457795045</v>
      </c>
      <c r="J221" s="190">
        <f t="shared" ref="J221:K221" si="350">J$29*(J89)*J$211</f>
        <v>-21.84241282401409</v>
      </c>
      <c r="K221" s="190">
        <f t="shared" si="350"/>
        <v>-35.029785899154092</v>
      </c>
    </row>
    <row r="222" spans="1:11" ht="15" hidden="1" customHeight="1" outlineLevel="1">
      <c r="A222">
        <v>10</v>
      </c>
      <c r="B222" s="190">
        <f>B$29*(B90)*B$211</f>
        <v>-0.53305186272240557</v>
      </c>
      <c r="C222" s="190">
        <f t="shared" ref="C222:I222" si="351">C$29*(C90)*C$211</f>
        <v>-2.8807718912360964E-2</v>
      </c>
      <c r="D222" s="190">
        <f t="shared" si="351"/>
        <v>-0.27042589852928012</v>
      </c>
      <c r="E222" s="190">
        <f t="shared" si="351"/>
        <v>-0.82743872997957957</v>
      </c>
      <c r="F222" s="190">
        <f t="shared" si="351"/>
        <v>-1.9666970216376956</v>
      </c>
      <c r="G222" s="190">
        <f t="shared" si="351"/>
        <v>-46.400393189503362</v>
      </c>
      <c r="H222" s="190">
        <f t="shared" si="351"/>
        <v>-13.238756705864724</v>
      </c>
      <c r="I222" s="190">
        <f t="shared" si="351"/>
        <v>-15.192143480386918</v>
      </c>
      <c r="J222" s="190">
        <f t="shared" ref="J222:K222" si="352">J$29*(J90)*J$211</f>
        <v>-20.932312289680169</v>
      </c>
      <c r="K222" s="190">
        <f t="shared" si="352"/>
        <v>-33.570211486689338</v>
      </c>
    </row>
    <row r="223" spans="1:11" ht="15" customHeight="1" collapsed="1">
      <c r="A223" t="s">
        <v>514</v>
      </c>
      <c r="B223" s="190">
        <f>SUM(B213:B222)</f>
        <v>-6.3734461847244148</v>
      </c>
      <c r="C223" s="190">
        <f t="shared" ref="C223:I223" si="353">SUM(C213:C222)</f>
        <v>-0.34444011743040287</v>
      </c>
      <c r="D223" s="190">
        <f t="shared" si="353"/>
        <v>-3.2333531345892195</v>
      </c>
      <c r="E223" s="190">
        <f t="shared" si="353"/>
        <v>-9.8932891627993236</v>
      </c>
      <c r="F223" s="190">
        <f t="shared" si="353"/>
        <v>-23.514855693494191</v>
      </c>
      <c r="G223" s="190">
        <f t="shared" si="353"/>
        <v>-554.78730987449671</v>
      </c>
      <c r="H223" s="190">
        <f t="shared" si="353"/>
        <v>-158.2894823527304</v>
      </c>
      <c r="I223" s="190">
        <f t="shared" si="353"/>
        <v>-181.64519378723492</v>
      </c>
      <c r="J223" s="190">
        <f t="shared" ref="J223" si="354">SUM(J213:J222)</f>
        <v>-250.2776469418281</v>
      </c>
      <c r="K223" s="190">
        <f t="shared" ref="K223" si="355">SUM(K213:K222)</f>
        <v>-401.38296342780734</v>
      </c>
    </row>
    <row r="224" spans="1:11" ht="15" customHeight="1">
      <c r="A224" t="s">
        <v>515</v>
      </c>
      <c r="B224" s="190">
        <f>B223*B188</f>
        <v>-0.84989904873300082</v>
      </c>
      <c r="C224" s="190">
        <f t="shared" ref="C224:I224" si="356">C223*C188</f>
        <v>-4.1332814091648344E-2</v>
      </c>
      <c r="D224" s="190">
        <f t="shared" si="356"/>
        <v>-0.38800237615070632</v>
      </c>
      <c r="E224" s="190">
        <f t="shared" si="356"/>
        <v>-1.1871946995359188</v>
      </c>
      <c r="F224" s="190">
        <f t="shared" si="356"/>
        <v>-2.8217826832193027</v>
      </c>
      <c r="G224" s="190">
        <f t="shared" si="356"/>
        <v>-66.57447718493961</v>
      </c>
      <c r="H224" s="190">
        <f t="shared" si="356"/>
        <v>-18.994737882327648</v>
      </c>
      <c r="I224" s="190">
        <f t="shared" si="356"/>
        <v>-21.797423254468189</v>
      </c>
      <c r="J224" s="190">
        <f t="shared" ref="J224" si="357">J223*J188</f>
        <v>-30.033317633019369</v>
      </c>
      <c r="K224" s="190">
        <f t="shared" ref="K224" si="358">K223*K188</f>
        <v>-48.165955611336877</v>
      </c>
    </row>
    <row r="225" spans="1:11" ht="15" customHeight="1">
      <c r="A225" t="s">
        <v>518</v>
      </c>
      <c r="B225" s="190">
        <f>B38*(2/3)*((1+B44+B44^2)/(1+B44))</f>
        <v>0.12666666666666665</v>
      </c>
      <c r="C225" s="190">
        <f t="shared" ref="C225:I225" si="359">C38*(2/3)*((1+C44+C44^2)/(1+C44))</f>
        <v>0.12666666666666665</v>
      </c>
      <c r="D225" s="190">
        <f t="shared" si="359"/>
        <v>0.12666666666666665</v>
      </c>
      <c r="E225" s="190">
        <f t="shared" si="359"/>
        <v>0.12666666666666665</v>
      </c>
      <c r="F225" s="190">
        <f t="shared" si="359"/>
        <v>0.12666666666666665</v>
      </c>
      <c r="G225" s="190">
        <f t="shared" si="359"/>
        <v>0.12666666666666665</v>
      </c>
      <c r="H225" s="190">
        <f t="shared" si="359"/>
        <v>0.12666666666666665</v>
      </c>
      <c r="I225" s="190">
        <f t="shared" si="359"/>
        <v>0.12666666666666665</v>
      </c>
      <c r="J225" s="190">
        <f t="shared" ref="J225:K225" si="360">J38*(2/3)*((1+J44+J44^2)/(1+J44))</f>
        <v>0.12666666666666665</v>
      </c>
      <c r="K225" s="190">
        <f t="shared" si="360"/>
        <v>0.12666666666666665</v>
      </c>
    </row>
    <row r="226" spans="1:11" ht="15" customHeight="1">
      <c r="A226" t="s">
        <v>520</v>
      </c>
      <c r="B226" s="190">
        <v>0.8</v>
      </c>
      <c r="C226" s="190">
        <v>0.8</v>
      </c>
      <c r="D226" s="190">
        <v>0.8</v>
      </c>
      <c r="E226" s="190">
        <v>0.8</v>
      </c>
      <c r="F226" s="190">
        <v>0.8</v>
      </c>
      <c r="G226" s="190">
        <v>0.8</v>
      </c>
      <c r="H226" s="190">
        <v>0.8</v>
      </c>
      <c r="I226" s="190">
        <v>0.8</v>
      </c>
      <c r="J226" s="190">
        <v>0.8</v>
      </c>
      <c r="K226" s="190">
        <v>0.8</v>
      </c>
    </row>
    <row r="227" spans="1:11" ht="15" customHeight="1">
      <c r="A227" t="s">
        <v>517</v>
      </c>
      <c r="B227" s="190">
        <f>B224/(B29*B91*B225)</f>
        <v>-3.3346340264664633E-2</v>
      </c>
      <c r="C227" s="190">
        <f t="shared" ref="C227:I227" si="361">C224/(C29*C91*C225)</f>
        <v>-2.6936300957096128E-2</v>
      </c>
      <c r="D227" s="190">
        <f t="shared" si="361"/>
        <v>-2.8095376534085243E-2</v>
      </c>
      <c r="E227" s="190">
        <f t="shared" si="361"/>
        <v>-3.0947453662808197E-2</v>
      </c>
      <c r="F227" s="190">
        <f t="shared" si="361"/>
        <v>-3.7529300086960697E-2</v>
      </c>
      <c r="G227" s="190">
        <f t="shared" si="361"/>
        <v>-0.43386113259518155</v>
      </c>
      <c r="H227" s="190">
        <f t="shared" si="361"/>
        <v>-5.5016602554306474E-2</v>
      </c>
      <c r="I227" s="190">
        <f t="shared" si="361"/>
        <v>-3.5513064242956909E-2</v>
      </c>
      <c r="J227" s="190">
        <f t="shared" ref="J227:K227" si="362">J224/(J29*J91*J225)</f>
        <v>-2.1747221649480741E-2</v>
      </c>
      <c r="K227" s="190">
        <f t="shared" si="362"/>
        <v>-1.2555764273454168E-2</v>
      </c>
    </row>
    <row r="228" spans="1:11" ht="15" customHeight="1">
      <c r="A228" s="290" t="s">
        <v>522</v>
      </c>
      <c r="B228" s="288">
        <f>(-B186*B188^2)/(B226*B3)</f>
        <v>-2.6401504797587283E-4</v>
      </c>
      <c r="C228" s="288">
        <f t="shared" ref="C228:I228" si="363">(-C186*C188^2)/(C226*C3)</f>
        <v>-9.2656791636244057E-4</v>
      </c>
      <c r="D228" s="288">
        <f t="shared" si="363"/>
        <v>-3.2214611966789743E-4</v>
      </c>
      <c r="E228" s="288">
        <f t="shared" si="363"/>
        <v>-2.1290909767264995E-4</v>
      </c>
      <c r="F228" s="288">
        <f t="shared" si="363"/>
        <v>-1.8442157528556364E-4</v>
      </c>
      <c r="G228" s="288">
        <f t="shared" si="363"/>
        <v>-1.4924165209605816E-3</v>
      </c>
      <c r="H228" s="288">
        <f t="shared" si="363"/>
        <v>-1.2616584802612485E-4</v>
      </c>
      <c r="I228" s="288">
        <f t="shared" si="363"/>
        <v>-6.1079778533164696E-5</v>
      </c>
      <c r="J228" s="288">
        <f t="shared" ref="J228:K228" si="364">(-J186*J188^2)/(J226*J3)</f>
        <v>-2.4935715168075836E-5</v>
      </c>
      <c r="K228" s="288">
        <f t="shared" si="364"/>
        <v>-8.6379851188346516E-6</v>
      </c>
    </row>
    <row r="229" spans="1:11" ht="15" customHeight="1" outlineLevel="1">
      <c r="A229">
        <v>0.06</v>
      </c>
      <c r="B229" s="288">
        <v>-3.957435565420617E-3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0.1</v>
      </c>
      <c r="B230" s="288">
        <v>-1.0587217785124063E-3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0.3</v>
      </c>
      <c r="B231" s="288">
        <v>-2.3663117870606997E-4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0.5</v>
      </c>
      <c r="B232" s="288">
        <v>-1.1523587839424864E-4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0.7</v>
      </c>
      <c r="B233" s="288">
        <v>-7.9021921140809409E-5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</v>
      </c>
      <c r="B234" s="288">
        <v>-5.1877556177959536E-4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1.5</v>
      </c>
      <c r="B235" s="288">
        <v>-3.1795765043958875E-4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2</v>
      </c>
      <c r="B236" s="288">
        <v>-6.841359360843149E-5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3</v>
      </c>
      <c r="B237" s="288">
        <v>-1.795482812258461E-5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8" spans="1:11" ht="15" customHeight="1" outlineLevel="1">
      <c r="A238">
        <v>5</v>
      </c>
      <c r="B238" s="288">
        <v>-4.5829625651869788E-6</v>
      </c>
      <c r="C238" s="288"/>
      <c r="D238" s="288"/>
      <c r="E238" s="288"/>
      <c r="F238" s="288"/>
      <c r="G238" s="288"/>
      <c r="H238" s="288"/>
      <c r="I238" s="288"/>
      <c r="J238" s="288"/>
      <c r="K238" s="288"/>
    </row>
    <row r="240" spans="1:11" ht="15" customHeight="1">
      <c r="A240" s="290" t="s">
        <v>523</v>
      </c>
      <c r="B240" s="190">
        <f>(B186*B188)/B226</f>
        <v>0.32527497593415172</v>
      </c>
      <c r="C240" s="190">
        <f t="shared" ref="C240:I240" si="365">(C186*C188)/C226</f>
        <v>0.26274861277232359</v>
      </c>
      <c r="D240" s="190">
        <f t="shared" si="365"/>
        <v>0.27405474944035557</v>
      </c>
      <c r="E240" s="190">
        <f t="shared" si="365"/>
        <v>0.301875173272315</v>
      </c>
      <c r="F240" s="190">
        <f t="shared" si="365"/>
        <v>0.36607741916276115</v>
      </c>
      <c r="G240" s="190">
        <f t="shared" si="365"/>
        <v>4.2320736951515885</v>
      </c>
      <c r="H240" s="190">
        <f t="shared" si="365"/>
        <v>0.53665631459994945</v>
      </c>
      <c r="I240" s="190">
        <f t="shared" si="365"/>
        <v>0.34641016151377546</v>
      </c>
      <c r="J240" s="190">
        <f t="shared" ref="J240:K240" si="366">(J186*J188)/J226</f>
        <v>0.21213203435596423</v>
      </c>
      <c r="K240" s="190">
        <f t="shared" si="366"/>
        <v>0.1224744871391589</v>
      </c>
    </row>
    <row r="241" spans="1:2" ht="15" customHeight="1" outlineLevel="1">
      <c r="A241">
        <v>0.06</v>
      </c>
      <c r="B241" s="190">
        <v>0.42414518635482801</v>
      </c>
    </row>
    <row r="242" spans="1:2" ht="15" customHeight="1" outlineLevel="1">
      <c r="A242">
        <v>0.1</v>
      </c>
      <c r="B242" s="190">
        <v>0.42551395211156007</v>
      </c>
    </row>
    <row r="243" spans="1:2" ht="15" customHeight="1" outlineLevel="1">
      <c r="A243">
        <v>0.3</v>
      </c>
      <c r="B243" s="190">
        <v>0.4438239208910964</v>
      </c>
    </row>
    <row r="244" spans="1:2" ht="15" customHeight="1" outlineLevel="1">
      <c r="A244">
        <v>0.5</v>
      </c>
      <c r="B244" s="190">
        <v>0.48887831097616802</v>
      </c>
    </row>
    <row r="245" spans="1:2" ht="15" customHeight="1" outlineLevel="1">
      <c r="A245">
        <v>0.7</v>
      </c>
      <c r="B245" s="190">
        <v>0.59285203359655836</v>
      </c>
    </row>
    <row r="246" spans="1:2" ht="15" customHeight="1" outlineLevel="1">
      <c r="A246">
        <v>1</v>
      </c>
      <c r="B246" s="190">
        <v>6.7184169910531475</v>
      </c>
    </row>
    <row r="247" spans="1:2" ht="15" customHeight="1" outlineLevel="1">
      <c r="A247">
        <v>1.5</v>
      </c>
      <c r="B247" s="190">
        <v>0.85194189942741982</v>
      </c>
    </row>
    <row r="248" spans="1:2" ht="15" customHeight="1" outlineLevel="1">
      <c r="A248">
        <v>2</v>
      </c>
      <c r="B248" s="190">
        <v>0.54992613140311863</v>
      </c>
    </row>
    <row r="249" spans="1:2" ht="15" customHeight="1" outlineLevel="1">
      <c r="A249">
        <v>3</v>
      </c>
      <c r="B249" s="190">
        <v>0.33675960454009318</v>
      </c>
    </row>
    <row r="250" spans="1:2" ht="15" customHeight="1" outlineLevel="1">
      <c r="A250">
        <v>5</v>
      </c>
      <c r="B250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200:K208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2.0'!B226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34" t="s">
        <v>539</v>
      </c>
      <c r="B1" s="43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4" t="s">
        <v>540</v>
      </c>
      <c r="B6" s="43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36"/>
      <c r="C5" s="436"/>
      <c r="D5" s="436"/>
      <c r="E5" s="43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14</vt:i4>
      </vt:variant>
    </vt:vector>
  </HeadingPairs>
  <TitlesOfParts>
    <vt:vector size="29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ScuComp</vt:lpstr>
      <vt:lpstr>ScyComp</vt:lpstr>
      <vt:lpstr>StyComp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2025-09-11T19:44:49Z</cp:lastPrinted>
  <dcterms:created xsi:type="dcterms:W3CDTF">2024-07-02T19:27:32Z</dcterms:created>
  <dcterms:modified xsi:type="dcterms:W3CDTF">2025-09-20T05:48:01Z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