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00 Repos\aeroestructures-and-stability\"/>
    </mc:Choice>
  </mc:AlternateContent>
  <bookViews>
    <workbookView xWindow="28635" yWindow="1725" windowWidth="29130" windowHeight="15810" tabRatio="864" firstSheet="1" activeTab="4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  <definedName name="Sbending">SimpleComposites!$D$115</definedName>
    <definedName name="ScuComp">SimpleComposites!$B$61</definedName>
    <definedName name="ScyComp">SimpleComposites!$B$60</definedName>
    <definedName name="SsyComp">SimpleComposites!$D$40</definedName>
    <definedName name="StyComp">SimpleComposites!$B$59</definedName>
    <definedName name="tubeZ">SimpleComposites!$I$90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7" i="25" l="1"/>
  <c r="C281" i="25" s="1"/>
  <c r="C279" i="25" l="1"/>
  <c r="S220" i="25" l="1"/>
  <c r="Q226" i="25"/>
  <c r="P224" i="25"/>
  <c r="Q224" i="25"/>
  <c r="Q223" i="25"/>
  <c r="P223" i="25"/>
  <c r="S213" i="25"/>
  <c r="S215" i="25" s="1"/>
  <c r="R221" i="25" s="1"/>
  <c r="S221" i="25" s="1"/>
  <c r="N221" i="25"/>
  <c r="N220" i="25"/>
  <c r="N218" i="25"/>
  <c r="N217" i="25"/>
  <c r="N216" i="25"/>
  <c r="C274" i="25"/>
  <c r="C275" i="25"/>
  <c r="C276" i="25"/>
  <c r="C278" i="25"/>
  <c r="C269" i="25"/>
  <c r="C270" i="25"/>
  <c r="C271" i="25"/>
  <c r="C272" i="25"/>
  <c r="C273" i="25"/>
  <c r="C268" i="25"/>
  <c r="I94" i="25"/>
  <c r="I85" i="25"/>
  <c r="I90" i="25" s="1"/>
  <c r="F202" i="25"/>
  <c r="G192" i="25"/>
  <c r="F192" i="25"/>
  <c r="D191" i="25"/>
  <c r="H22" i="25"/>
  <c r="H31" i="25"/>
  <c r="H29" i="25"/>
  <c r="H165" i="25"/>
  <c r="H164" i="25" s="1"/>
  <c r="G172" i="25" s="1"/>
  <c r="I93" i="25" l="1"/>
  <c r="I95" i="25" s="1"/>
  <c r="D92" i="25" s="1"/>
  <c r="H163" i="25"/>
  <c r="B161" i="25" s="1"/>
  <c r="C141" i="25"/>
  <c r="D22" i="25"/>
  <c r="J30" i="25"/>
  <c r="C52" i="25" s="1"/>
  <c r="C50" i="25"/>
  <c r="H25" i="25"/>
  <c r="H28" i="25"/>
  <c r="E53" i="25"/>
  <c r="E52" i="25" s="1"/>
  <c r="H27" i="25" l="1"/>
  <c r="D52" i="25" s="1"/>
  <c r="H30" i="25"/>
  <c r="D27" i="25" l="1"/>
  <c r="B46" i="25"/>
  <c r="D46" i="25"/>
  <c r="B55" i="25" s="1"/>
  <c r="I88" i="25"/>
  <c r="D107" i="25" l="1"/>
  <c r="D108" i="25"/>
  <c r="M136" i="25"/>
  <c r="L127" i="25"/>
  <c r="L138" i="25" s="1"/>
  <c r="M124" i="25"/>
  <c r="M125" i="25" s="1"/>
  <c r="M126" i="25" s="1"/>
  <c r="M127" i="25" s="1"/>
  <c r="L123" i="25"/>
  <c r="L136" i="25" s="1"/>
  <c r="L125" i="25"/>
  <c r="B50" i="25"/>
  <c r="B52" i="25"/>
  <c r="D89" i="25"/>
  <c r="D93" i="25" s="1"/>
  <c r="D94" i="25" s="1"/>
  <c r="D88" i="25"/>
  <c r="D84" i="25"/>
  <c r="F26" i="25"/>
  <c r="J28" i="25"/>
  <c r="D53" i="25"/>
  <c r="D50" i="25"/>
  <c r="E50" i="25" s="1"/>
  <c r="D90" i="25" l="1"/>
  <c r="D40" i="25"/>
  <c r="D37" i="25"/>
  <c r="B108" i="25"/>
  <c r="B107" i="25" s="1"/>
  <c r="C124" i="25" s="1"/>
  <c r="B132" i="25"/>
  <c r="I108" i="25"/>
  <c r="D122" i="25" s="1"/>
  <c r="B125" i="25" s="1"/>
  <c r="B53" i="25"/>
  <c r="J29" i="25"/>
  <c r="C55" i="25"/>
  <c r="C46" i="25"/>
  <c r="C45" i="25"/>
  <c r="D45" i="25" s="1"/>
  <c r="D39" i="25" s="1"/>
  <c r="D38" i="25" s="1"/>
  <c r="E55" i="25" s="1"/>
  <c r="C44" i="25"/>
  <c r="L137" i="25"/>
  <c r="M137" i="25" s="1"/>
  <c r="M138" i="25" s="1"/>
  <c r="L126" i="25"/>
  <c r="L124" i="25"/>
  <c r="L128" i="25"/>
  <c r="M128" i="25"/>
  <c r="I87" i="25"/>
  <c r="I89" i="25"/>
  <c r="D28" i="25"/>
  <c r="B44" i="25" s="1"/>
  <c r="H34" i="25"/>
  <c r="H38" i="25" s="1"/>
  <c r="H39" i="25" s="1"/>
  <c r="D34" i="25"/>
  <c r="D178" i="25" l="1"/>
  <c r="D181" i="25" s="1"/>
  <c r="D182" i="25" s="1"/>
  <c r="D183" i="25" s="1"/>
  <c r="D185" i="25" s="1"/>
  <c r="I190" i="25"/>
  <c r="I191" i="25"/>
  <c r="I188" i="25"/>
  <c r="I189" i="25"/>
  <c r="D203" i="25"/>
  <c r="D206" i="25" s="1"/>
  <c r="D208" i="25" s="1"/>
  <c r="D189" i="25"/>
  <c r="D192" i="25" s="1"/>
  <c r="D194" i="25" s="1"/>
  <c r="D196" i="25"/>
  <c r="D199" i="25" s="1"/>
  <c r="D201" i="25" s="1"/>
  <c r="D116" i="25"/>
  <c r="D119" i="25" s="1"/>
  <c r="D175" i="25" s="1"/>
  <c r="D179" i="25"/>
  <c r="D180" i="25" s="1"/>
  <c r="D124" i="25"/>
  <c r="D111" i="25"/>
  <c r="D172" i="25" s="1"/>
  <c r="D168" i="25"/>
  <c r="D169" i="25"/>
  <c r="D125" i="25"/>
  <c r="C125" i="25"/>
  <c r="D112" i="25"/>
  <c r="F112" i="25"/>
  <c r="F113" i="25"/>
  <c r="D113" i="25"/>
  <c r="D114" i="25" s="1"/>
  <c r="D132" i="25"/>
  <c r="B126" i="25"/>
  <c r="C53" i="25"/>
  <c r="D30" i="25"/>
  <c r="B45" i="25" s="1"/>
  <c r="B61" i="25"/>
  <c r="B60" i="25"/>
  <c r="D44" i="25"/>
  <c r="D36" i="25" s="1"/>
  <c r="D35" i="25"/>
  <c r="N37" i="16"/>
  <c r="I192" i="25" l="1"/>
  <c r="I193" i="25" s="1"/>
  <c r="G179" i="25" s="1"/>
  <c r="D115" i="25"/>
  <c r="D118" i="25" s="1"/>
  <c r="C132" i="25"/>
  <c r="C126" i="25"/>
  <c r="D126" i="25"/>
  <c r="B127" i="25"/>
  <c r="B59" i="25"/>
  <c r="D117" i="25" s="1"/>
  <c r="D55" i="25"/>
  <c r="C24" i="16"/>
  <c r="C28" i="16" s="1"/>
  <c r="N41" i="16"/>
  <c r="L41" i="16" s="1"/>
  <c r="L36" i="16"/>
  <c r="N36" i="16" s="1"/>
  <c r="G242" i="25"/>
  <c r="I242" i="25"/>
  <c r="G243" i="25"/>
  <c r="I243" i="25"/>
  <c r="G244" i="25"/>
  <c r="I244" i="25"/>
  <c r="G245" i="25"/>
  <c r="I245" i="25"/>
  <c r="G246" i="25"/>
  <c r="I246" i="25"/>
  <c r="G247" i="25"/>
  <c r="I247" i="25"/>
  <c r="G248" i="25"/>
  <c r="I248" i="25"/>
  <c r="G249" i="25"/>
  <c r="I249" i="25"/>
  <c r="G250" i="25"/>
  <c r="I250" i="25"/>
  <c r="I241" i="25"/>
  <c r="G241" i="25"/>
  <c r="D244" i="25"/>
  <c r="H244" i="25" s="1"/>
  <c r="D245" i="25"/>
  <c r="H245" i="25" s="1"/>
  <c r="D246" i="25"/>
  <c r="H246" i="25" s="1"/>
  <c r="D247" i="25"/>
  <c r="H247" i="25" s="1"/>
  <c r="D248" i="25"/>
  <c r="H248" i="25" s="1"/>
  <c r="D249" i="25"/>
  <c r="H249" i="25" s="1"/>
  <c r="D250" i="25"/>
  <c r="H250" i="25" s="1"/>
  <c r="D242" i="25"/>
  <c r="H242" i="25" s="1"/>
  <c r="D243" i="25"/>
  <c r="H243" i="25" s="1"/>
  <c r="D241" i="25"/>
  <c r="H241" i="25" s="1"/>
  <c r="N52" i="16"/>
  <c r="L52" i="16" s="1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D170" i="25" l="1"/>
  <c r="D171" i="25" s="1"/>
  <c r="D173" i="25" s="1"/>
  <c r="D174" i="25"/>
  <c r="C127" i="25"/>
  <c r="D127" i="25"/>
  <c r="B128" i="25"/>
  <c r="L35" i="16"/>
  <c r="N35" i="16" s="1"/>
  <c r="N39" i="16" s="1"/>
  <c r="N42" i="16" s="1"/>
  <c r="C7" i="21"/>
  <c r="F7" i="21"/>
  <c r="E7" i="21"/>
  <c r="C15" i="24"/>
  <c r="C16" i="24"/>
  <c r="C21" i="24"/>
  <c r="C12" i="24" s="1"/>
  <c r="C2" i="24" s="1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D128" i="25" l="1"/>
  <c r="C128" i="25"/>
  <c r="B129" i="25"/>
  <c r="C23" i="24"/>
  <c r="K23" i="24"/>
  <c r="I22" i="24"/>
  <c r="C41" i="24"/>
  <c r="C42" i="24" s="1"/>
  <c r="C22" i="24"/>
  <c r="C51" i="24"/>
  <c r="C52" i="24" s="1"/>
  <c r="C168" i="24"/>
  <c r="C56" i="24"/>
  <c r="C64" i="24"/>
  <c r="C75" i="24"/>
  <c r="C3" i="24"/>
  <c r="C109" i="24" s="1"/>
  <c r="C4" i="24"/>
  <c r="C5" i="24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29" i="25" l="1"/>
  <c r="D129" i="25"/>
  <c r="B130" i="25"/>
  <c r="C29" i="24"/>
  <c r="C31" i="24" s="1"/>
  <c r="C30" i="24"/>
  <c r="C32" i="24" s="1"/>
  <c r="C55" i="24"/>
  <c r="C57" i="24" s="1"/>
  <c r="J24" i="24"/>
  <c r="C103" i="24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H11" i="24"/>
  <c r="H3" i="24"/>
  <c r="H202" i="24" s="1"/>
  <c r="H212" i="24" s="1"/>
  <c r="H4" i="24"/>
  <c r="H5" i="24"/>
  <c r="D65" i="24"/>
  <c r="D76" i="24"/>
  <c r="D87" i="24" s="1"/>
  <c r="I244" i="24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D130" i="25" l="1"/>
  <c r="C130" i="25"/>
  <c r="B131" i="25"/>
  <c r="G29" i="24"/>
  <c r="G31" i="24" s="1"/>
  <c r="G202" i="24"/>
  <c r="G212" i="24" s="1"/>
  <c r="G194" i="24"/>
  <c r="G204" i="24" s="1"/>
  <c r="G200" i="24"/>
  <c r="G210" i="24" s="1"/>
  <c r="G113" i="24"/>
  <c r="G199" i="24"/>
  <c r="G209" i="24" s="1"/>
  <c r="G105" i="24"/>
  <c r="G115" i="24"/>
  <c r="G201" i="24"/>
  <c r="G211" i="24" s="1"/>
  <c r="G198" i="24"/>
  <c r="G208" i="24" s="1"/>
  <c r="G114" i="24"/>
  <c r="G197" i="24"/>
  <c r="G207" i="24" s="1"/>
  <c r="G195" i="24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 s="1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G87" i="24" s="1"/>
  <c r="H77" i="24"/>
  <c r="H88" i="24" s="1"/>
  <c r="H66" i="24"/>
  <c r="F200" i="24"/>
  <c r="F210" i="24" s="1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131" i="25" l="1"/>
  <c r="D131" i="25"/>
  <c r="B133" i="25"/>
  <c r="C232" i="24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133" i="25" l="1"/>
  <c r="D133" i="25"/>
  <c r="B134" i="25"/>
  <c r="C9" i="2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C134" i="25" l="1"/>
  <c r="D134" i="25"/>
  <c r="B135" i="25"/>
  <c r="F137" i="24"/>
  <c r="F148" i="24" s="1"/>
  <c r="F136" i="24"/>
  <c r="F147" i="24" s="1"/>
  <c r="I92" i="24"/>
  <c r="C217" i="24"/>
  <c r="C218" i="24"/>
  <c r="C69" i="24"/>
  <c r="C80" i="24"/>
  <c r="C91" i="24" s="1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D135" i="25" l="1"/>
  <c r="C135" i="25"/>
  <c r="B136" i="25"/>
  <c r="C138" i="24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C136" i="25" l="1"/>
  <c r="D136" i="25"/>
  <c r="B137" i="25"/>
  <c r="E18" i="17"/>
  <c r="C71" i="24"/>
  <c r="C82" i="24"/>
  <c r="C93" i="24" s="1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C137" i="25" l="1"/>
  <c r="D137" i="25"/>
  <c r="B138" i="25"/>
  <c r="C7" i="17"/>
  <c r="C4" i="17"/>
  <c r="C26" i="17" s="1"/>
  <c r="C28" i="17" s="1"/>
  <c r="J96" i="24"/>
  <c r="K5" i="17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H29" i="17"/>
  <c r="C5" i="17"/>
  <c r="C25" i="17" s="1"/>
  <c r="C27" i="17" s="1"/>
  <c r="C29" i="17"/>
  <c r="I3" i="17"/>
  <c r="I110" i="17" s="1"/>
  <c r="I5" i="17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J29" i="17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C138" i="25" l="1"/>
  <c r="D138" i="25"/>
  <c r="B139" i="25"/>
  <c r="K25" i="17"/>
  <c r="K27" i="17" s="1"/>
  <c r="G106" i="17"/>
  <c r="I25" i="17"/>
  <c r="I27" i="17" s="1"/>
  <c r="G109" i="17"/>
  <c r="G26" i="17"/>
  <c r="G28" i="17" s="1"/>
  <c r="J97" i="24"/>
  <c r="G110" i="17"/>
  <c r="G25" i="17"/>
  <c r="G27" i="17" s="1"/>
  <c r="I108" i="17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95" i="24" s="1"/>
  <c r="C73" i="24"/>
  <c r="C85" i="24" s="1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D139" i="25" l="1"/>
  <c r="C139" i="25"/>
  <c r="B140" i="25"/>
  <c r="J154" i="24"/>
  <c r="J157" i="24" s="1"/>
  <c r="J159" i="24" s="1"/>
  <c r="H96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B141" i="25" l="1"/>
  <c r="D141" i="25" s="1"/>
  <c r="C140" i="25"/>
  <c r="D140" i="25"/>
  <c r="H143" i="24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85" i="17" s="1"/>
  <c r="K63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C61" i="14"/>
  <c r="C62" i="14"/>
  <c r="C63" i="14"/>
  <c r="C64" i="14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D60" i="14" l="1"/>
  <c r="D64" i="14"/>
  <c r="L42" i="16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B69" i="22" s="1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AA6" i="8" l="1"/>
  <c r="F65" i="22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F63" i="22" s="1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C96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F90" i="17" l="1"/>
  <c r="E63" i="22"/>
  <c r="E62" i="22"/>
  <c r="F62" i="22"/>
  <c r="D63" i="22"/>
  <c r="C63" i="22"/>
  <c r="D62" i="22"/>
  <c r="I96" i="17"/>
  <c r="B62" i="22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J210" i="17"/>
  <c r="J219" i="17" s="1"/>
  <c r="H210" i="17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F89" i="17"/>
  <c r="C90" i="17"/>
  <c r="B64" i="17"/>
  <c r="B75" i="17"/>
  <c r="C195" i="4"/>
  <c r="C169" i="4"/>
  <c r="I91" i="17" l="1"/>
  <c r="H221" i="17"/>
  <c r="I221" i="17"/>
  <c r="C174" i="4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17" i="17" s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13" i="17" l="1"/>
  <c r="F218" i="17"/>
  <c r="F216" i="17"/>
  <c r="F214" i="17"/>
  <c r="F222" i="17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N53" i="16" s="1"/>
  <c r="L53" i="16" l="1"/>
  <c r="N55" i="16"/>
  <c r="L55" i="16" s="1"/>
</calcChain>
</file>

<file path=xl/comments1.xml><?xml version="1.0" encoding="utf-8"?>
<comments xmlns="http://schemas.openxmlformats.org/spreadsheetml/2006/main">
  <authors>
    <author>Archimedean2345</author>
  </authors>
  <commentList>
    <comment ref="F227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>
  <authors>
    <author>Juan Leonardo Valadez Ortiz</author>
  </authors>
  <commentList>
    <comment ref="A12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>
  <authors>
    <author>Archimedean2345</author>
    <author>Juan Leonardo Valadez Ortiz</author>
  </authors>
  <commentList>
    <comment ref="T22" authorId="0" shapeId="0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>
  <authors>
    <author>Leonardo Valadez Ortiz</author>
    <author>Juan Leonardo Valadez Ortiz</author>
  </authors>
  <commentList>
    <comment ref="B43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If Matrix yield strenght is less than Fiber Strength tu, strain= Matrix strain tu</t>
        </r>
      </text>
    </comment>
    <comment ref="G88" authorId="1" shapeId="0">
      <text>
        <r>
          <rPr>
            <b/>
            <sz val="9"/>
            <color indexed="81"/>
            <rFont val="Tahoma"/>
            <charset val="1"/>
          </rPr>
          <t>Juan Leonardo Valadez Ortiz:</t>
        </r>
        <r>
          <rPr>
            <sz val="9"/>
            <color indexed="81"/>
            <rFont val="Tahoma"/>
            <charset val="1"/>
          </rPr>
          <t xml:space="preserve">
Datum is from nose-tip</t>
        </r>
      </text>
    </comment>
    <comment ref="B239" authorId="1" shapeId="0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>
  <authors>
    <author>Leonardo Valadez Ortiz</author>
  </authors>
  <commentList>
    <comment ref="A171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>
  <authors>
    <author>Leonardo Valadez Ortiz</author>
  </authors>
  <commentList>
    <comment ref="A176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<sst xmlns="http://schemas.openxmlformats.org/spreadsheetml/2006/main" count="1543" uniqueCount="980">
  <si>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</si>
  <si>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</si>
  <si>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</si>
  <si>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</si>
  <si>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</si>
  <si>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</si>
  <si>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</si>
  <si>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</si>
  <si>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</si>
  <si>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</si>
  <si>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</si>
  <si>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</si>
  <si>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</si>
  <si>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</si>
  <si>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</si>
  <si>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</si>
  <si>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</si>
  <si>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</si>
  <si>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</si>
  <si>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</si>
  <si>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</si>
  <si>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</si>
  <si>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</si>
  <si>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</si>
  <si>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</si>
  <si>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</si>
  <si>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</si>
  <si>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</si>
  <si>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</si>
  <si>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</si>
  <si>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</si>
  <si>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</si>
  <si>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</si>
  <si>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</si>
  <si>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</si>
  <si>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</si>
  <si>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</si>
  <si>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</si>
  <si>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</si>
  <si>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</si>
  <si>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</si>
  <si>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</si>
  <si>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</si>
  <si>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</si>
  <si>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</si>
  <si>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</si>
  <si>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</si>
  <si>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</si>
  <si>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</si>
  <si>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</si>
  <si>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</si>
  <si>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</si>
  <si>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</si>
  <si>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</si>
  <si>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</si>
  <si>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</si>
  <si>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</si>
  <si>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</si>
  <si>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</si>
  <si>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</si>
  <si>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</si>
  <si>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</si>
  <si>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</si>
  <si>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</si>
  <si>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</si>
  <si>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</si>
  <si>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</si>
  <si>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</si>
  <si>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</si>
  <si>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</si>
  <si>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</si>
  <si>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</si>
  <si>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</si>
  <si>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</si>
  <si>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</si>
  <si>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</si>
  <si>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</si>
  <si>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</si>
  <si>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</si>
  <si>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</si>
  <si>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</si>
  <si>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</si>
  <si>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</si>
  <si>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</si>
  <si>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</si>
  <si>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</si>
  <si>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</si>
  <si>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</si>
  <si>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</si>
  <si>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</si>
  <si>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</si>
  <si>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</si>
  <si>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</si>
  <si>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</si>
  <si>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</si>
  <si>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</si>
  <si>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</si>
  <si>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</si>
  <si>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</si>
  <si>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</si>
  <si>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</si>
  <si>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</si>
  <si>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</si>
  <si>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</si>
  <si>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</si>
  <si>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</si>
  <si>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</si>
  <si>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</si>
  <si>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</si>
  <si>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</si>
  <si>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</si>
  <si>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</si>
  <si>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</si>
  <si>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</si>
  <si>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</si>
  <si>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</si>
  <si>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</si>
  <si>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</si>
  <si>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</si>
  <si>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</si>
  <si>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</si>
  <si>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</si>
  <si>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</si>
  <si>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</si>
  <si>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</si>
  <si>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</si>
  <si>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</si>
  <si>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</si>
  <si>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</si>
  <si>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</si>
  <si>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</si>
  <si>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</si>
  <si>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</si>
  <si>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</si>
  <si>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</si>
  <si>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</si>
  <si>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</si>
  <si>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</si>
  <si>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</si>
  <si>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</si>
  <si>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</si>
  <si>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</si>
  <si>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</si>
  <si>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</si>
  <si>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</si>
  <si>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</si>
  <si>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</si>
  <si>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</si>
  <si>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</si>
  <si>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</si>
  <si>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</si>
  <si>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</si>
  <si>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</si>
  <si>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</si>
  <si>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</si>
  <si>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</si>
  <si>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</si>
  <si>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</si>
  <si>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</si>
  <si>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</si>
  <si>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</si>
  <si>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</si>
  <si>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</si>
  <si>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</si>
  <si>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</si>
  <si>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</si>
  <si>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</si>
  <si>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</si>
  <si>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</si>
  <si>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</si>
  <si>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</si>
  <si>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</si>
  <si>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</si>
  <si>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</si>
  <si>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</si>
  <si>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</si>
  <si>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</si>
  <si>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</si>
  <si>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</si>
  <si>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</si>
  <si>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</si>
  <si>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</si>
  <si>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</si>
  <si>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</si>
  <si>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</si>
  <si>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</si>
  <si>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</si>
  <si>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</si>
  <si>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</si>
  <si>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</si>
  <si>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</si>
  <si>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</si>
  <si>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</si>
  <si>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</si>
  <si>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</si>
  <si>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</si>
  <si>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</si>
  <si>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</si>
  <si>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</si>
  <si>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</si>
  <si>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</si>
  <si>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</si>
  <si>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</si>
  <si>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</si>
  <si>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</si>
  <si>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</si>
  <si>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</si>
  <si>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</si>
  <si>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</si>
  <si>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</si>
  <si>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</si>
  <si>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</si>
  <si>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</si>
  <si>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</si>
  <si>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</si>
  <si>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</si>
  <si>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</si>
  <si>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</si>
  <si>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</si>
  <si>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</si>
  <si>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</si>
  <si>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</si>
  <si>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</si>
  <si>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</si>
  <si>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</si>
  <si>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</si>
  <si>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</si>
  <si>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</si>
  <si>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</si>
  <si>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</si>
  <si>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</si>
  <si>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</si>
  <si>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</si>
  <si>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</si>
  <si>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</si>
  <si>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</si>
  <si>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</si>
  <si>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</si>
  <si>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</si>
  <si>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</si>
  <si>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</si>
  <si>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</si>
  <si>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</si>
  <si>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</si>
  <si>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</si>
  <si>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</si>
  <si>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</si>
  <si>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</si>
  <si>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</si>
  <si>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</si>
  <si>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</si>
  <si>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</si>
  <si>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</si>
  <si>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</si>
  <si>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</si>
  <si>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</si>
  <si>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</si>
  <si>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</si>
  <si>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</si>
  <si>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</si>
  <si>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</si>
  <si>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</si>
  <si>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</si>
  <si>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</si>
  <si>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</si>
  <si>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</si>
  <si>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</si>
  <si>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</si>
  <si>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</si>
  <si>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</si>
  <si>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</si>
  <si>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</si>
  <si>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</si>
  <si>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</si>
  <si>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</si>
  <si>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</si>
  <si>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</si>
  <si>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</si>
  <si>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</si>
  <si>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</si>
  <si>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</si>
  <si>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</si>
  <si>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</si>
  <si>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</si>
  <si>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</si>
  <si>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</si>
  <si>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</si>
  <si>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</si>
  <si>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</si>
  <si>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</si>
  <si>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</si>
  <si>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</si>
  <si>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</si>
  <si>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</si>
  <si>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</si>
  <si>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</si>
  <si>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</si>
  <si>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</si>
  <si>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</si>
  <si>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</si>
  <si>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</si>
  <si>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</si>
  <si>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</si>
  <si>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</si>
  <si>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</si>
  <si>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</si>
  <si>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</si>
  <si>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</si>
  <si>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</si>
  <si>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</si>
  <si>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</si>
  <si>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</si>
  <si>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</si>
  <si>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</si>
  <si>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</si>
  <si>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</si>
  <si>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</si>
  <si>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</si>
  <si>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</si>
  <si>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</si>
  <si>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</si>
  <si>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</si>
  <si>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</si>
  <si>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</si>
  <si>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</si>
  <si>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</si>
  <si>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</si>
  <si>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</si>
  <si>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</si>
  <si>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</si>
  <si>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</si>
  <si>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</si>
  <si>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</si>
  <si>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</si>
  <si>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</si>
  <si>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</si>
  <si>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</si>
  <si>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</si>
  <si>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</si>
  <si>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</si>
  <si>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</si>
  <si>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</si>
  <si>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</si>
  <si>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</si>
  <si>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</si>
  <si>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</si>
  <si>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</si>
  <si>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</si>
  <si>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</si>
  <si>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</si>
  <si>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</si>
  <si>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</si>
  <si>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</si>
  <si>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</si>
  <si>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</si>
  <si>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</si>
  <si>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</si>
  <si>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</si>
  <si>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</si>
  <si>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</si>
  <si>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</si>
  <si>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</si>
  <si>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</si>
  <si>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</si>
  <si>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</si>
  <si>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</si>
  <si>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</si>
  <si>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</si>
  <si>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</si>
  <si>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</si>
  <si>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</si>
  <si>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</si>
  <si>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</si>
  <si>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</si>
  <si>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</si>
  <si>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</si>
  <si>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</si>
  <si>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</si>
  <si>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</si>
  <si>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</si>
  <si>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</si>
  <si>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</si>
  <si>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</si>
  <si>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</si>
  <si>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</si>
  <si>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</si>
  <si>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</si>
  <si>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</si>
  <si>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</si>
  <si>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</si>
  <si>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</si>
  <si>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</si>
  <si>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</si>
  <si>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</si>
  <si>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</si>
  <si>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</si>
  <si>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</si>
  <si>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</si>
  <si>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</si>
  <si>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</si>
  <si>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</si>
  <si>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</si>
  <si>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</si>
  <si>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</si>
  <si>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</si>
  <si>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</si>
  <si>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</si>
  <si>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</si>
  <si>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</si>
  <si>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</si>
  <si>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</si>
  <si>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</si>
  <si>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</si>
  <si>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</si>
  <si>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</si>
  <si>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</si>
  <si>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</si>
  <si>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</si>
  <si>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</si>
  <si>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</si>
  <si>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</si>
  <si>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</si>
  <si>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</si>
  <si>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</si>
  <si>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</si>
  <si>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</si>
  <si>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</si>
  <si>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</si>
  <si>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</si>
  <si>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</si>
  <si>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</si>
  <si>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</si>
  <si>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</si>
  <si>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</si>
  <si>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</si>
  <si>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</si>
  <si>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</si>
  <si>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</si>
  <si>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</si>
  <si>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</si>
  <si>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</si>
  <si>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</si>
  <si>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</si>
  <si>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</si>
  <si>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</si>
  <si>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</si>
  <si>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</si>
  <si>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</si>
  <si>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</si>
  <si>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</si>
  <si>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</si>
  <si>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</si>
  <si>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</si>
  <si>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</si>
  <si>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</si>
  <si>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</si>
  <si>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</si>
  <si>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</si>
  <si>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</si>
  <si>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</si>
  <si>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</si>
  <si>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</si>
  <si>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</si>
  <si>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</si>
  <si>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</si>
  <si>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</si>
  <si>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</si>
  <si>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</si>
  <si>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</si>
  <si>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</si>
  <si>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</si>
  <si>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</si>
  <si>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</si>
  <si>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</si>
  <si>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</si>
  <si>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</si>
  <si>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</si>
  <si>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</si>
  <si>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</si>
  <si>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</si>
  <si>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</si>
  <si>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</si>
  <si>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</si>
  <si>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</si>
  <si>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</si>
  <si>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</si>
  <si>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</si>
  <si>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</si>
  <si>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</si>
  <si>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</si>
  <si>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</si>
  <si>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</si>
  <si>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</si>
  <si>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</si>
  <si>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</si>
  <si>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</si>
  <si>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</si>
  <si>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</si>
  <si>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</si>
  <si>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</si>
  <si>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</si>
  <si>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</si>
  <si>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</si>
  <si>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</si>
  <si>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</si>
  <si>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</si>
  <si>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</si>
  <si>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</si>
  <si>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</si>
  <si>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</si>
  <si>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</si>
  <si>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</si>
  <si>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</si>
  <si>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</si>
  <si>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</si>
  <si>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</si>
  <si>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</si>
  <si>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</si>
  <si>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</si>
  <si>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</si>
  <si>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</si>
  <si>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</si>
  <si>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</si>
  <si>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</si>
  <si>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</si>
  <si>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</si>
  <si>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</si>
  <si>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</si>
  <si>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</si>
  <si>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</si>
  <si>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</si>
  <si>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</si>
  <si>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</si>
  <si>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</si>
  <si>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</si>
  <si>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</si>
  <si>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</si>
  <si>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</si>
  <si>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</si>
  <si>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</si>
  <si>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</si>
  <si>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</si>
  <si>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</si>
  <si>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</si>
  <si>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</si>
  <si>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</si>
  <si>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</si>
  <si>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</si>
  <si>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</si>
  <si>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</si>
  <si>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</si>
  <si>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</si>
  <si>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</si>
  <si>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</si>
  <si>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</si>
  <si>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</si>
  <si>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</si>
  <si>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</si>
  <si>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</si>
  <si>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</si>
  <si>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</si>
  <si>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</si>
  <si>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</si>
  <si>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</si>
  <si>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</si>
  <si>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</si>
  <si>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</si>
  <si>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</si>
  <si>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</si>
  <si>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</si>
  <si>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</si>
  <si>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</si>
  <si>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</si>
  <si>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</si>
  <si>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</si>
  <si>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</si>
  <si>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</si>
  <si>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</si>
  <si>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</si>
  <si>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</si>
  <si>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</si>
  <si>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</si>
  <si>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</si>
  <si>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</si>
  <si>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</si>
  <si>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</si>
  <si>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</si>
  <si>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</si>
  <si>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</si>
  <si>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</si>
  <si>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</si>
  <si>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</si>
  <si>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</si>
  <si>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</si>
  <si>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</si>
  <si>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</si>
  <si>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</si>
  <si>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</si>
  <si>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</si>
  <si>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</si>
  <si>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</si>
  <si>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</si>
  <si>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</si>
  <si>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</si>
  <si>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</si>
  <si>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</si>
  <si>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</si>
  <si>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</si>
  <si>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</si>
  <si>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</si>
  <si>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</si>
  <si>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</si>
  <si>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</si>
  <si>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</si>
  <si>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</si>
  <si>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</si>
  <si>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</si>
  <si>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</si>
  <si>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</si>
  <si>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</si>
  <si>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</si>
  <si>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</si>
  <si>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</si>
  <si>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</si>
  <si>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</si>
  <si>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</si>
  <si>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</si>
  <si>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</si>
  <si>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</si>
  <si>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</si>
  <si>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</si>
  <si>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</si>
  <si>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</si>
  <si>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</si>
  <si>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</si>
  <si>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</si>
  <si>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</si>
  <si>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</si>
  <si>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</si>
  <si>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</si>
  <si>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</si>
  <si>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</si>
  <si>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</si>
  <si>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</si>
  <si>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</si>
  <si>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</si>
  <si>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</si>
  <si>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</si>
  <si>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</si>
  <si>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</si>
  <si>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</si>
  <si>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</si>
  <si>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</si>
  <si>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</si>
  <si>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</si>
  <si>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</si>
  <si>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</si>
  <si>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</si>
  <si>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</si>
  <si>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</si>
  <si>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</si>
  <si>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</si>
  <si>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</si>
  <si>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</si>
  <si>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</si>
  <si>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</si>
  <si>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</si>
  <si>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</si>
  <si>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</si>
  <si>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</si>
  <si>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</si>
  <si>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</si>
  <si>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</si>
  <si>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</si>
  <si>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</si>
  <si>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</si>
  <si>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</si>
  <si>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</si>
  <si>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</si>
  <si>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</si>
  <si>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</si>
  <si>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</si>
  <si>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</si>
  <si>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</si>
  <si>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Last update</t>
  </si>
  <si>
    <t>Historical revision</t>
  </si>
  <si>
    <t>First release, due to tight deadlines, severe assimilations are taken into account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</si>
  <si>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</si>
  <si>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</si>
  <si>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</si>
  <si>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</si>
  <si>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</si>
  <si>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</si>
  <si>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</si>
  <si>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</si>
  <si>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</si>
  <si>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</si>
  <si>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</si>
  <si>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</si>
  <si>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</si>
  <si>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</si>
  <si>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</si>
  <si>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</si>
  <si>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</si>
  <si>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</si>
  <si>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</si>
  <si>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</si>
  <si>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OD</t>
  </si>
  <si>
    <t>ID</t>
  </si>
  <si>
    <t>Mean D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</si>
  <si>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</si>
  <si>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</si>
  <si>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</si>
  <si>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</si>
  <si>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</si>
  <si>
    <t>Fiber density</t>
  </si>
  <si>
    <t xml:space="preserve">Resine density </t>
  </si>
  <si>
    <t>Composite density</t>
  </si>
  <si>
    <t>N</t>
  </si>
  <si>
    <t>Composite mechanical properties</t>
  </si>
  <si>
    <t>Spreadsheet to determine composite prop., joints and dimensions for geometries with composites</t>
  </si>
  <si>
    <r>
      <t xml:space="preserve">Fiber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</si>
  <si>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ty</t>
    </r>
  </si>
  <si>
    <t>Mpa</t>
  </si>
  <si>
    <t>mm/mm %</t>
  </si>
  <si>
    <t>Matrix formulation</t>
  </si>
  <si>
    <t>Resin</t>
  </si>
  <si>
    <t>Catalizer</t>
  </si>
  <si>
    <t>Mix ratio</t>
  </si>
  <si>
    <t>weight | volume</t>
  </si>
  <si>
    <t>Needed:</t>
  </si>
  <si>
    <t>Resin required</t>
  </si>
  <si>
    <t>Catalizer required</t>
  </si>
  <si>
    <r>
      <t xml:space="preserve">Matrix </t>
    </r>
    <r>
      <rPr>
        <sz val="11"/>
        <color theme="1"/>
        <rFont val="Calibri"/>
        <family val="2"/>
      </rPr>
      <t>ε</t>
    </r>
    <r>
      <rPr>
        <sz val="9.35"/>
        <color theme="1"/>
        <rFont val="Aptos Narrow"/>
        <family val="2"/>
      </rPr>
      <t>tu</t>
    </r>
  </si>
  <si>
    <r>
      <t xml:space="preserve">Matrix </t>
    </r>
    <r>
      <rPr>
        <sz val="11"/>
        <color theme="1"/>
        <rFont val="Calibri"/>
        <family val="2"/>
      </rPr>
      <t>εc</t>
    </r>
    <r>
      <rPr>
        <sz val="9.35"/>
        <color theme="1"/>
        <rFont val="Aptos Narrow"/>
        <family val="2"/>
      </rPr>
      <t>u</t>
    </r>
  </si>
  <si>
    <t xml:space="preserve">Components material properties </t>
  </si>
  <si>
    <t>Fiber prop</t>
  </si>
  <si>
    <t>Matrix prop</t>
  </si>
  <si>
    <t>yield</t>
  </si>
  <si>
    <t>uts</t>
  </si>
  <si>
    <t>Gpa</t>
  </si>
  <si>
    <t>less</t>
  </si>
  <si>
    <t>equal</t>
  </si>
  <si>
    <t>higher</t>
  </si>
  <si>
    <t>Composite</t>
  </si>
  <si>
    <t>Note:</t>
  </si>
  <si>
    <t>Fiber εcu</t>
  </si>
  <si>
    <t>Transversal area</t>
  </si>
  <si>
    <t>IPS aluminum tube will be used from supplier "La Paloma Metales" 3.5in tubes</t>
  </si>
  <si>
    <t>in</t>
  </si>
  <si>
    <t>Material / Alloy</t>
  </si>
  <si>
    <t>1100 (pure Al)</t>
  </si>
  <si>
    <t>High purity, soft</t>
  </si>
  <si>
    <t>2024-T3</t>
  </si>
  <si>
    <t>Aerospace, Cu alloyed</t>
  </si>
  <si>
    <t>2219-T87</t>
  </si>
  <si>
    <t>High-temp aerospace alloy</t>
  </si>
  <si>
    <t>6061-T6</t>
  </si>
  <si>
    <t>Very common structural</t>
  </si>
  <si>
    <t>7075-T6</t>
  </si>
  <si>
    <t>High strength aerospace</t>
  </si>
  <si>
    <t>319 (casting)</t>
  </si>
  <si>
    <t>Automotive cast Al</t>
  </si>
  <si>
    <t>356 (casting)</t>
  </si>
  <si>
    <t>Cast alloy, Si-rich</t>
  </si>
  <si>
    <t>IPS tube selected</t>
  </si>
  <si>
    <t>Exp. Coef.</t>
  </si>
  <si>
    <r>
      <t xml:space="preserve">OD of IPS tube </t>
    </r>
    <r>
      <rPr>
        <sz val="11"/>
        <color rgb="FFFF0000"/>
        <rFont val="Aptos Narrow"/>
        <family val="2"/>
        <scheme val="minor"/>
      </rPr>
      <t>HOT</t>
    </r>
  </si>
  <si>
    <t>Temp. In furnance</t>
  </si>
  <si>
    <t>°C</t>
  </si>
  <si>
    <t>°F</t>
  </si>
  <si>
    <t>microm/mm°C</t>
  </si>
  <si>
    <t>Temp. in room</t>
  </si>
  <si>
    <t>(N)</t>
  </si>
  <si>
    <t xml:space="preserve">Location </t>
  </si>
  <si>
    <t>(mm)</t>
  </si>
  <si>
    <t>(cause/how is the load generated and where is applied)</t>
  </si>
  <si>
    <t>Rocket motor thrust in bulkhead and rocket base</t>
  </si>
  <si>
    <t>Forebody lift in Cpforebody</t>
  </si>
  <si>
    <t>Considering that the region/interface between red tube with blue and gray as full contact</t>
  </si>
  <si>
    <t>the total fuselage can be considered as unique tube</t>
  </si>
  <si>
    <t xml:space="preserve">As a rule of thumb by rocketers 1 caliber of the rocket is used as the length of the </t>
  </si>
  <si>
    <t>Figure for load representation in rocket fuselage</t>
  </si>
  <si>
    <t>Color rep.</t>
  </si>
  <si>
    <t xml:space="preserve">Axial </t>
  </si>
  <si>
    <t>x mm</t>
  </si>
  <si>
    <t>Fin</t>
  </si>
  <si>
    <t>+</t>
  </si>
  <si>
    <t>(+/-)</t>
  </si>
  <si>
    <t>Shear Graph</t>
  </si>
  <si>
    <t>Moment graph</t>
  </si>
  <si>
    <t>y Nmm</t>
  </si>
  <si>
    <t>y N</t>
  </si>
  <si>
    <t>Nmm</t>
  </si>
  <si>
    <t>x position</t>
  </si>
  <si>
    <t>Moment</t>
  </si>
  <si>
    <t>Mmax</t>
  </si>
  <si>
    <t>cu</t>
  </si>
  <si>
    <t>tu</t>
  </si>
  <si>
    <t>ty</t>
  </si>
  <si>
    <t>ultimate tension strenght</t>
  </si>
  <si>
    <t>ultimate compressive strenght</t>
  </si>
  <si>
    <t>yield tension strenght</t>
  </si>
  <si>
    <t>Sty composite</t>
  </si>
  <si>
    <t xml:space="preserve">Stu composite </t>
  </si>
  <si>
    <t xml:space="preserve">Scu composite </t>
  </si>
  <si>
    <t>Fiber Stu</t>
  </si>
  <si>
    <t>Fiber Scu</t>
  </si>
  <si>
    <t>Matrix Sty</t>
  </si>
  <si>
    <t>Matrix Stu</t>
  </si>
  <si>
    <t>Matrix Scu</t>
  </si>
  <si>
    <t>TENSION</t>
  </si>
  <si>
    <t>COMPRESSION</t>
  </si>
  <si>
    <t>Et Module  fiber</t>
  </si>
  <si>
    <t>Et Module resin</t>
  </si>
  <si>
    <t>Ec Module  fiber</t>
  </si>
  <si>
    <t>Ec Module resin</t>
  </si>
  <si>
    <t>Composite Et Module</t>
  </si>
  <si>
    <t>Scu composite</t>
  </si>
  <si>
    <t>Scy composite</t>
  </si>
  <si>
    <t>MPa</t>
  </si>
  <si>
    <t>Coef. of thermal exp.
 (X10^-3 m/m°C)</t>
  </si>
  <si>
    <t>Lista de consumibles para laminado</t>
  </si>
  <si>
    <t>Precio</t>
  </si>
  <si>
    <t>Cantidad</t>
  </si>
  <si>
    <t>Descripcion</t>
  </si>
  <si>
    <t>Cinta de vacio elastomerica 20m largo</t>
  </si>
  <si>
    <t xml:space="preserve">Peel plies 125cm x 10m </t>
  </si>
  <si>
    <t>Malla de sangrado 145cm x 10m</t>
  </si>
  <si>
    <t>Tubo de absorcion PEBD 20m</t>
  </si>
  <si>
    <t>Toma de infusion para vacio</t>
  </si>
  <si>
    <t>Bolsa de vacio 150cm x 10m</t>
  </si>
  <si>
    <t>Fibra de carbono 3k plano 127cm x 1m</t>
  </si>
  <si>
    <t>1 kgf/cm2</t>
  </si>
  <si>
    <t>=</t>
  </si>
  <si>
    <t>0.098806 Mpa</t>
  </si>
  <si>
    <t>0.1 Mpa</t>
  </si>
  <si>
    <t>1.02 kgf/cm2</t>
  </si>
  <si>
    <t>Precio 2</t>
  </si>
  <si>
    <t>y comp</t>
  </si>
  <si>
    <t>x comp</t>
  </si>
  <si>
    <t>Matrix Scy</t>
  </si>
  <si>
    <r>
      <t xml:space="preserve">Matrix </t>
    </r>
    <r>
      <rPr>
        <sz val="11"/>
        <color theme="1"/>
        <rFont val="Calibri"/>
        <family val="2"/>
      </rPr>
      <t>εcy</t>
    </r>
  </si>
  <si>
    <t>Fiber:</t>
  </si>
  <si>
    <t xml:space="preserve">HexForce  7533 </t>
  </si>
  <si>
    <t>Matrix:</t>
  </si>
  <si>
    <t>Epoxy resin Q102R Quintum</t>
  </si>
  <si>
    <t>Variables of interest:</t>
  </si>
  <si>
    <t>gr/m^2</t>
  </si>
  <si>
    <r>
      <t xml:space="preserve">Aprox, density </t>
    </r>
    <r>
      <rPr>
        <sz val="11"/>
        <color theme="1"/>
        <rFont val="Aptos Narrow"/>
        <family val="2"/>
      </rPr>
      <t>ρf</t>
    </r>
  </si>
  <si>
    <t>Fabric Weight, ρs</t>
  </si>
  <si>
    <t>Aprox, thickness</t>
  </si>
  <si>
    <t>Longitudinal</t>
  </si>
  <si>
    <t>Forebody drag in Cpforebody</t>
  </si>
  <si>
    <t>Fins drag in Cpfins</t>
  </si>
  <si>
    <t>Fins lift in Cpfins</t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</si>
  <si>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downwards</t>
    </r>
    <r>
      <rPr>
        <sz val="11"/>
        <color theme="1"/>
        <rFont val="Aptos Narrow"/>
        <family val="2"/>
        <scheme val="minor"/>
      </rPr>
      <t xml:space="preserve"> CG</t>
    </r>
  </si>
  <si>
    <r>
      <t xml:space="preserve">Inertial load </t>
    </r>
    <r>
      <rPr>
        <b/>
        <sz val="11"/>
        <color theme="1"/>
        <rFont val="Aptos Narrow"/>
        <family val="2"/>
        <scheme val="minor"/>
      </rPr>
      <t>forward</t>
    </r>
    <r>
      <rPr>
        <sz val="11"/>
        <color theme="1"/>
        <rFont val="Aptos Narrow"/>
        <family val="2"/>
        <scheme val="minor"/>
      </rPr>
      <t xml:space="preserve"> CG</t>
    </r>
  </si>
  <si>
    <t>Manufacture first considerations</t>
  </si>
  <si>
    <t>Mandril material</t>
  </si>
  <si>
    <t>Loads involved:</t>
  </si>
  <si>
    <t>Worst AoA &gt; determine maximum load at max Q &gt; SF of using composites Higher than 3</t>
  </si>
  <si>
    <t>15°</t>
  </si>
  <si>
    <t>Max Q</t>
  </si>
  <si>
    <t>kPa</t>
  </si>
  <si>
    <t>due Mach:</t>
  </si>
  <si>
    <t xml:space="preserve">The loads used were on "worst-case" according to dynamic and CFD simulations </t>
  </si>
  <si>
    <t>Location/Distance</t>
  </si>
  <si>
    <t>Maximum moments</t>
  </si>
  <si>
    <t>Mforwards</t>
  </si>
  <si>
    <t>location</t>
  </si>
  <si>
    <t>mm^3</t>
  </si>
  <si>
    <t>mm^2</t>
  </si>
  <si>
    <r>
      <t xml:space="preserve">Sec. Modulus </t>
    </r>
    <r>
      <rPr>
        <b/>
        <sz val="11"/>
        <color theme="1"/>
        <rFont val="Aptos Narrow"/>
        <family val="2"/>
        <scheme val="minor"/>
      </rPr>
      <t>Z</t>
    </r>
  </si>
  <si>
    <t>Stress,bending</t>
  </si>
  <si>
    <t>Mdownwards</t>
  </si>
  <si>
    <t>Sections</t>
  </si>
  <si>
    <t>L=</t>
  </si>
  <si>
    <t>Shear at X1</t>
  </si>
  <si>
    <t>Gmax:</t>
  </si>
  <si>
    <t>MaxMass</t>
  </si>
  <si>
    <t>Dry mass</t>
  </si>
  <si>
    <t>mass grain</t>
  </si>
  <si>
    <t>Max acc</t>
  </si>
  <si>
    <t>Gs</t>
  </si>
  <si>
    <t>Scdrag</t>
  </si>
  <si>
    <t>Scinertia</t>
  </si>
  <si>
    <t>Scbending</t>
  </si>
  <si>
    <t>Sctotal</t>
  </si>
  <si>
    <t>SF rocket tension</t>
  </si>
  <si>
    <t>SF rocket compressibe</t>
  </si>
  <si>
    <t>Note: max inertia is not present at highest Q in this case</t>
  </si>
  <si>
    <t>there is an inertia caused by drag, the Gs experimented</t>
  </si>
  <si>
    <t>are equal to Gs=(DragMaxQ/DryMass)/g</t>
  </si>
  <si>
    <t>GsMaxQ:</t>
  </si>
  <si>
    <t>Inertial load CG</t>
  </si>
  <si>
    <t>SF rocket shear</t>
  </si>
  <si>
    <t>Fiber Ssu</t>
  </si>
  <si>
    <t>Fiber εsu</t>
  </si>
  <si>
    <t>Ssy composite</t>
  </si>
  <si>
    <t>SF tube tension</t>
  </si>
  <si>
    <t>SF tube compression</t>
  </si>
  <si>
    <t>Sshear</t>
  </si>
  <si>
    <t>SF tube shear</t>
  </si>
  <si>
    <t>Stress, shear</t>
  </si>
  <si>
    <t>Matrix Ssu</t>
  </si>
  <si>
    <t>Note: increasing layer, could affect the shear stress</t>
  </si>
  <si>
    <t>behavior on the composite</t>
  </si>
  <si>
    <t>Note: almost always as the fins</t>
  </si>
  <si>
    <t>contribute in more lift due AoA</t>
  </si>
  <si>
    <t>Malla de distribucion 145cmx 10m GREEN FLOW</t>
  </si>
  <si>
    <t>https://www.fibraq.com/collections/material-para-vacio-e-infusion/products/pelicula-antiadherente-malla-de-sangrado</t>
  </si>
  <si>
    <t>https://www.fibraq.com/collections/material-para-vacio-e-infusion/products/tubo-de-absorcion-pebd-de-infusion-o-10-x-12-mm</t>
  </si>
  <si>
    <t>https://www.fibraq.com/collections/material-para-vacio-e-infusion/products/toma-de-infusion-para-vacio</t>
  </si>
  <si>
    <t>PELICULA SEPARADORA</t>
  </si>
  <si>
    <t>Resina Q102R</t>
  </si>
  <si>
    <t>Resina Q101R</t>
  </si>
  <si>
    <t>Fiber II:</t>
  </si>
  <si>
    <t>Matrix II:</t>
  </si>
  <si>
    <t>FibraQ 3k plano</t>
  </si>
  <si>
    <r>
      <t xml:space="preserve">Cell in red are unknown | </t>
    </r>
    <r>
      <rPr>
        <b/>
        <sz val="11"/>
        <color rgb="FFFFC000"/>
        <rFont val="Aptos Narrow"/>
        <family val="2"/>
        <scheme val="minor"/>
      </rPr>
      <t>supposed by literature</t>
    </r>
  </si>
  <si>
    <t>Volume composite</t>
  </si>
  <si>
    <t>Volume of resine</t>
  </si>
  <si>
    <t>Volume of fiber</t>
  </si>
  <si>
    <t>Mass fiber</t>
  </si>
  <si>
    <t>Surface needed</t>
  </si>
  <si>
    <t>a</t>
  </si>
  <si>
    <t>b</t>
  </si>
  <si>
    <t>Required fiber and resine method 1:</t>
  </si>
  <si>
    <t>Required fiber and resine method 2:</t>
  </si>
  <si>
    <t>Layer thickness</t>
  </si>
  <si>
    <t>Turns</t>
  </si>
  <si>
    <t>Diametral long.</t>
  </si>
  <si>
    <t>Surface</t>
  </si>
  <si>
    <t>n</t>
  </si>
  <si>
    <t>Recovery tube</t>
  </si>
  <si>
    <t>electronics bay</t>
  </si>
  <si>
    <t>Tubes (m)</t>
  </si>
  <si>
    <t>Inner tube electronics bay</t>
  </si>
  <si>
    <t>Motor tube</t>
  </si>
  <si>
    <t>inner + motor</t>
  </si>
  <si>
    <t>recovery + outer elect</t>
  </si>
  <si>
    <t>Tube geometry iteration</t>
  </si>
  <si>
    <t>Inner tube configuration</t>
  </si>
  <si>
    <t>ID inner</t>
  </si>
  <si>
    <t>OD inner</t>
  </si>
  <si>
    <r>
      <t xml:space="preserve">OD due inner tube </t>
    </r>
    <r>
      <rPr>
        <sz val="11"/>
        <color rgb="FFFF0000"/>
        <rFont val="Aptos Narrow"/>
        <family val="2"/>
        <scheme val="minor"/>
      </rPr>
      <t>HOT</t>
    </r>
  </si>
  <si>
    <r>
      <t xml:space="preserve">OD  </t>
    </r>
    <r>
      <rPr>
        <sz val="11"/>
        <color theme="4" tint="0.59999389629810485"/>
        <rFont val="Aptos Narrow"/>
        <family val="2"/>
        <scheme val="minor"/>
      </rPr>
      <t>COLD</t>
    </r>
  </si>
  <si>
    <t>Machine thickness:</t>
  </si>
  <si>
    <t>A "fast" aproximation to determine inner tube</t>
  </si>
  <si>
    <t>thickness is using thin-wall structures theory</t>
  </si>
  <si>
    <t>tolerance</t>
  </si>
  <si>
    <t>Fast assimilation</t>
  </si>
  <si>
    <t>Vcomp</t>
  </si>
  <si>
    <t>Vcomp = Vresin</t>
  </si>
  <si>
    <t>Liters per fuselage made</t>
  </si>
  <si>
    <t>I89</t>
  </si>
  <si>
    <t>Trans area</t>
  </si>
  <si>
    <t>Liters</t>
  </si>
  <si>
    <t>Aprox 1 liters of matrix per fuselage</t>
  </si>
  <si>
    <t>4 kits of Q102R are needed</t>
  </si>
  <si>
    <t>2 fuselages are going to be made</t>
  </si>
  <si>
    <t>plus fins</t>
  </si>
  <si>
    <t>Fin material</t>
  </si>
  <si>
    <t>croot</t>
  </si>
  <si>
    <t>ctip</t>
  </si>
  <si>
    <t>enlarging</t>
  </si>
  <si>
    <t>sweep</t>
  </si>
  <si>
    <t>sweep length</t>
  </si>
  <si>
    <t>plus inch tolerance</t>
  </si>
  <si>
    <t>Carbon fiber fabric</t>
  </si>
  <si>
    <t>If fin of 3mm thickness supposed</t>
  </si>
  <si>
    <t>thickness layer</t>
  </si>
  <si>
    <t>turns</t>
  </si>
  <si>
    <t>thickness fin</t>
  </si>
  <si>
    <t>Plates needed</t>
  </si>
  <si>
    <t>4 fins</t>
  </si>
  <si>
    <t>plates</t>
  </si>
  <si>
    <t>2 meters of carbon fiber are needed</t>
  </si>
  <si>
    <t>Resina Qzero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</si>
</sst>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  <numFmt numFmtId="170" formatCode="0.0%"/>
    <numFmt numFmtId="171" formatCode="0.0000%"/>
  </numFmts>
  <fonts count="33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Aptos Narrow"/>
      <scheme val="minor"/>
    </font>
    <font>
      <sz val="9.35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rgb="FFFF0000"/>
      <name val="Aptos Narrow"/>
      <family val="2"/>
      <scheme val="minor"/>
    </font>
    <font>
      <b/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2"/>
      <color theme="1"/>
      <name val="Aptos Narrow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5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20" fillId="0" borderId="0" xfId="0" applyFont="1"/>
    <xf numFmtId="165" fontId="4" fillId="22" borderId="0" xfId="0" applyNumberFormat="1" applyFont="1" applyFill="1" applyAlignment="1">
      <alignment horizontal="center" vertical="center"/>
    </xf>
    <xf numFmtId="0" fontId="21" fillId="0" borderId="34" xfId="0" applyFont="1" applyBorder="1"/>
    <xf numFmtId="9" fontId="0" fillId="0" borderId="0" xfId="2" applyFont="1" applyAlignment="1">
      <alignment horizontal="left"/>
    </xf>
    <xf numFmtId="2" fontId="0" fillId="20" borderId="0" xfId="0" applyNumberFormat="1" applyFill="1"/>
    <xf numFmtId="2" fontId="21" fillId="0" borderId="0" xfId="0" applyNumberFormat="1" applyFont="1"/>
    <xf numFmtId="170" fontId="0" fillId="0" borderId="0" xfId="2" applyNumberFormat="1" applyFont="1"/>
    <xf numFmtId="170" fontId="0" fillId="0" borderId="0" xfId="0" applyNumberFormat="1"/>
    <xf numFmtId="10" fontId="0" fillId="0" borderId="0" xfId="2" applyNumberFormat="1" applyFont="1"/>
    <xf numFmtId="171" fontId="0" fillId="0" borderId="0" xfId="0" applyNumberFormat="1"/>
    <xf numFmtId="0" fontId="1" fillId="0" borderId="0" xfId="1"/>
    <xf numFmtId="0" fontId="0" fillId="0" borderId="0" xfId="0" applyAlignment="1">
      <alignment vertical="center"/>
    </xf>
    <xf numFmtId="0" fontId="4" fillId="0" borderId="0" xfId="0" applyFont="1" applyAlignment="1">
      <alignment horizontal="center"/>
    </xf>
    <xf numFmtId="0" fontId="0" fillId="23" borderId="0" xfId="0" applyFill="1"/>
    <xf numFmtId="0" fontId="0" fillId="24" borderId="0" xfId="0" applyFill="1"/>
    <xf numFmtId="0" fontId="0" fillId="25" borderId="0" xfId="0" applyFill="1"/>
    <xf numFmtId="0" fontId="0" fillId="26" borderId="0" xfId="0" applyFill="1"/>
    <xf numFmtId="0" fontId="21" fillId="0" borderId="0" xfId="0" applyFont="1"/>
    <xf numFmtId="165" fontId="0" fillId="27" borderId="0" xfId="0" applyNumberFormat="1" applyFill="1"/>
    <xf numFmtId="0" fontId="0" fillId="0" borderId="0" xfId="0" applyAlignment="1">
      <alignment horizontal="center"/>
    </xf>
    <xf numFmtId="0" fontId="26" fillId="0" borderId="0" xfId="0" applyFont="1"/>
    <xf numFmtId="170" fontId="0" fillId="27" borderId="0" xfId="2" applyNumberFormat="1" applyFont="1" applyFill="1"/>
    <xf numFmtId="170" fontId="0" fillId="27" borderId="0" xfId="0" applyNumberFormat="1" applyFill="1"/>
    <xf numFmtId="0" fontId="13" fillId="22" borderId="28" xfId="0" applyFont="1" applyFill="1" applyBorder="1"/>
    <xf numFmtId="0" fontId="0" fillId="0" borderId="0" xfId="0" applyFont="1"/>
    <xf numFmtId="0" fontId="0" fillId="0" borderId="34" xfId="0" applyFont="1" applyBorder="1"/>
    <xf numFmtId="0" fontId="0" fillId="0" borderId="34" xfId="0" applyBorder="1" applyAlignment="1">
      <alignment wrapText="1"/>
    </xf>
    <xf numFmtId="0" fontId="23" fillId="0" borderId="0" xfId="0" applyFont="1"/>
    <xf numFmtId="0" fontId="0" fillId="0" borderId="0" xfId="0" applyBorder="1"/>
    <xf numFmtId="9" fontId="0" fillId="0" borderId="0" xfId="2" applyFont="1" applyBorder="1" applyAlignment="1">
      <alignment horizontal="left"/>
    </xf>
    <xf numFmtId="170" fontId="0" fillId="27" borderId="0" xfId="2" applyNumberFormat="1" applyFont="1" applyFill="1" applyBorder="1"/>
    <xf numFmtId="0" fontId="0" fillId="0" borderId="0" xfId="0" applyFill="1" applyBorder="1"/>
    <xf numFmtId="0" fontId="0" fillId="0" borderId="34" xfId="0" applyFill="1" applyBorder="1"/>
    <xf numFmtId="2" fontId="0" fillId="3" borderId="0" xfId="0" applyNumberFormat="1" applyFill="1"/>
    <xf numFmtId="0" fontId="0" fillId="0" borderId="0" xfId="0" applyFill="1"/>
    <xf numFmtId="0" fontId="0" fillId="10" borderId="0" xfId="0" applyFill="1" applyBorder="1"/>
    <xf numFmtId="9" fontId="0" fillId="0" borderId="0" xfId="2" applyFont="1" applyFill="1"/>
    <xf numFmtId="9" fontId="0" fillId="0" borderId="0" xfId="0" applyNumberFormat="1" applyFill="1"/>
    <xf numFmtId="2" fontId="0" fillId="0" borderId="0" xfId="0" applyNumberFormat="1" applyFill="1"/>
    <xf numFmtId="0" fontId="28" fillId="22" borderId="0" xfId="0" applyFont="1" applyFill="1"/>
    <xf numFmtId="2" fontId="0" fillId="0" borderId="34" xfId="0" applyNumberFormat="1" applyFill="1" applyBorder="1"/>
    <xf numFmtId="2" fontId="0" fillId="0" borderId="0" xfId="0" applyNumberFormat="1" applyFill="1" applyBorder="1"/>
    <xf numFmtId="165" fontId="0" fillId="0" borderId="0" xfId="0" applyNumberFormat="1" applyBorder="1"/>
    <xf numFmtId="2" fontId="0" fillId="0" borderId="0" xfId="0" applyNumberFormat="1" applyBorder="1"/>
    <xf numFmtId="0" fontId="30" fillId="0" borderId="34" xfId="0" applyFont="1" applyBorder="1"/>
    <xf numFmtId="0" fontId="31" fillId="0" borderId="34" xfId="0" applyFont="1" applyBorder="1"/>
    <xf numFmtId="0" fontId="32" fillId="0" borderId="34" xfId="0" applyFont="1" applyBorder="1"/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0" xfId="0" applyAlignment="1">
      <alignment horizontal="left" wrapText="1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393008"/>
        <c:axId val="408175320"/>
      </c:scatterChart>
      <c:valAx>
        <c:axId val="407393008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175320"/>
        <c:crosses val="autoZero"/>
        <c:crossBetween val="midCat"/>
        <c:majorUnit val="0.30000000000000004"/>
        <c:minorUnit val="0.30000000000000004"/>
      </c:valAx>
      <c:valAx>
        <c:axId val="4081753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739300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284776"/>
        <c:axId val="408331872"/>
      </c:scatterChart>
      <c:valAx>
        <c:axId val="408284776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8331872"/>
        <c:crossesAt val="0"/>
        <c:crossBetween val="midCat"/>
      </c:valAx>
      <c:valAx>
        <c:axId val="408331872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8284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8374536"/>
        <c:axId val="409013040"/>
      </c:scatterChart>
      <c:valAx>
        <c:axId val="408374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013040"/>
        <c:crosses val="autoZero"/>
        <c:crossBetween val="midCat"/>
      </c:valAx>
      <c:valAx>
        <c:axId val="409013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8374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711920"/>
        <c:axId val="406627632"/>
      </c:scatterChart>
      <c:valAx>
        <c:axId val="406711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627632"/>
        <c:crosses val="autoZero"/>
        <c:crossBetween val="midCat"/>
      </c:valAx>
      <c:valAx>
        <c:axId val="40662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6711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7863056"/>
        <c:axId val="207406088"/>
      </c:scatterChart>
      <c:valAx>
        <c:axId val="407863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6088"/>
        <c:crosses val="autoZero"/>
        <c:crossBetween val="midCat"/>
      </c:valAx>
      <c:valAx>
        <c:axId val="20740608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7863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06872"/>
        <c:axId val="207401384"/>
      </c:scatterChart>
      <c:valAx>
        <c:axId val="207406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1384"/>
        <c:crosses val="autoZero"/>
        <c:crossBetween val="midCat"/>
      </c:valAx>
      <c:valAx>
        <c:axId val="20740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6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07656"/>
        <c:axId val="207408440"/>
        <c:extLst xmlns:c16r2="http://schemas.microsoft.com/office/drawing/2015/06/chart"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2074076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8440"/>
        <c:crosses val="autoZero"/>
        <c:crossBetween val="midCat"/>
      </c:valAx>
      <c:valAx>
        <c:axId val="207408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76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02168"/>
        <c:axId val="207402952"/>
      </c:scatterChart>
      <c:valAx>
        <c:axId val="207402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2952"/>
        <c:crosses val="autoZero"/>
        <c:crossBetween val="midCat"/>
      </c:valAx>
      <c:valAx>
        <c:axId val="20740295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2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402560"/>
        <c:axId val="207404128"/>
      </c:scatterChart>
      <c:valAx>
        <c:axId val="20740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4128"/>
        <c:crosses val="autoZero"/>
        <c:crossBetween val="midCat"/>
      </c:valAx>
      <c:valAx>
        <c:axId val="207404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7402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62424"/>
        <c:axId val="409257720"/>
      </c:scatterChart>
      <c:valAx>
        <c:axId val="409262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7720"/>
        <c:crosses val="autoZero"/>
        <c:crossBetween val="midCat"/>
      </c:valAx>
      <c:valAx>
        <c:axId val="409257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62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59288"/>
        <c:axId val="409256936"/>
      </c:scatterChart>
      <c:valAx>
        <c:axId val="409259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6936"/>
        <c:crosses val="autoZero"/>
        <c:crossBetween val="midCat"/>
      </c:valAx>
      <c:valAx>
        <c:axId val="409256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9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58504"/>
        <c:axId val="409257328"/>
      </c:scatterChart>
      <c:valAx>
        <c:axId val="409258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7328"/>
        <c:crosses val="autoZero"/>
        <c:crossBetween val="midCat"/>
      </c:valAx>
      <c:valAx>
        <c:axId val="40925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09258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longitudinal (tension)</a:t>
            </a:r>
            <a:endParaRPr lang="en-US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6"/>
          <c:order val="0"/>
          <c:tx>
            <c:v>Fiber prop</c:v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SimpleComposites!$B$49:$B$50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SimpleComposites!$D$49:$D$50</c:f>
              <c:numCache>
                <c:formatCode>0.00</c:formatCode>
                <c:ptCount val="2"/>
                <c:pt idx="0">
                  <c:v>0</c:v>
                </c:pt>
                <c:pt idx="1">
                  <c:v>219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F988-4C82-AAB9-81698529BB97}"/>
            </c:ext>
          </c:extLst>
        </c:ser>
        <c:ser>
          <c:idx val="7"/>
          <c:order val="1"/>
          <c:tx>
            <c:v>Matrix prop</c:v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SimpleComposites!$B$51:$B$53</c:f>
              <c:numCache>
                <c:formatCode>0.00%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SimpleComposites!$D$51:$D$53</c:f>
              <c:numCache>
                <c:formatCode>0.00</c:formatCode>
                <c:ptCount val="3"/>
                <c:pt idx="0">
                  <c:v>0</c:v>
                </c:pt>
                <c:pt idx="1">
                  <c:v>34.03921568627451</c:v>
                </c:pt>
                <c:pt idx="2">
                  <c:v>42.549019607843135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F988-4C82-AAB9-81698529BB97}"/>
            </c:ext>
          </c:extLst>
        </c:ser>
        <c:ser>
          <c:idx val="8"/>
          <c:order val="2"/>
          <c:tx>
            <c:v>Composite prop</c:v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A668-49E6-B37F-CC1E0295A8BA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SimpleComposites!$B$54:$B$55</c:f>
              <c:numCache>
                <c:formatCode>0.00%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SimpleComposites!$D$54:$D$55</c:f>
              <c:numCache>
                <c:formatCode>0.00</c:formatCode>
                <c:ptCount val="2"/>
                <c:pt idx="0">
                  <c:v>0</c:v>
                </c:pt>
                <c:pt idx="1">
                  <c:v>130.70735294117648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F988-4C82-AAB9-81698529BB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58896"/>
        <c:axId val="409259680"/>
      </c:scatterChart>
      <c:valAx>
        <c:axId val="4092588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59680"/>
        <c:crosses val="autoZero"/>
        <c:crossBetween val="midCat"/>
      </c:valAx>
      <c:valAx>
        <c:axId val="409259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588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Mechanical</a:t>
            </a:r>
            <a:r>
              <a:rPr lang="en-US" sz="1100" baseline="0"/>
              <a:t> compatibility transversal</a:t>
            </a:r>
          </a:p>
          <a:p>
            <a:pPr>
              <a:defRPr sz="1100"/>
            </a:pPr>
            <a:r>
              <a:rPr lang="en-US" sz="1100" baseline="0"/>
              <a:t>or compression</a:t>
            </a:r>
            <a:endParaRPr lang="en-US" sz="1100"/>
          </a:p>
        </c:rich>
      </c:tx>
      <c:layout>
        <c:manualLayout>
          <c:xMode val="edge"/>
          <c:yMode val="edge"/>
          <c:x val="0.20042036433124658"/>
          <c:y val="3.2423873892303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3"/>
          <c:order val="0"/>
          <c:tx>
            <c:v>Fiber prop</c:v>
          </c:tx>
          <c:spPr>
            <a:ln w="19050" cap="rnd">
              <a:solidFill>
                <a:schemeClr val="accent4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SimpleComposites!$C$49:$C$50</c:f>
              <c:numCache>
                <c:formatCode>0.0%</c:formatCode>
                <c:ptCount val="2"/>
                <c:pt idx="0">
                  <c:v>0</c:v>
                </c:pt>
                <c:pt idx="1">
                  <c:v>1.4999999999999999E-2</c:v>
                </c:pt>
              </c:numCache>
            </c:numRef>
          </c:xVal>
          <c:yVal>
            <c:numRef>
              <c:f>SimpleComposites!$E$49:$E$50</c:f>
              <c:numCache>
                <c:formatCode>0.00</c:formatCode>
                <c:ptCount val="2"/>
                <c:pt idx="0">
                  <c:v>0</c:v>
                </c:pt>
                <c:pt idx="1">
                  <c:v>21.900000000000002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660B-4985-9958-F91B0900BF0B}"/>
            </c:ext>
          </c:extLst>
        </c:ser>
        <c:ser>
          <c:idx val="4"/>
          <c:order val="1"/>
          <c:tx>
            <c:v>Matrix prop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SimpleComposites!$C$51:$C$53</c:f>
              <c:numCache>
                <c:formatCode>0.0%</c:formatCode>
                <c:ptCount val="3"/>
                <c:pt idx="0">
                  <c:v>0</c:v>
                </c:pt>
                <c:pt idx="1">
                  <c:v>1.9E-2</c:v>
                </c:pt>
                <c:pt idx="2">
                  <c:v>2.7999999999999997E-2</c:v>
                </c:pt>
              </c:numCache>
            </c:numRef>
          </c:xVal>
          <c:yVal>
            <c:numRef>
              <c:f>SimpleComposites!$E$51:$E$53</c:f>
              <c:numCache>
                <c:formatCode>0.00</c:formatCode>
                <c:ptCount val="3"/>
                <c:pt idx="0">
                  <c:v>0</c:v>
                </c:pt>
                <c:pt idx="1">
                  <c:v>97.176470588235304</c:v>
                </c:pt>
                <c:pt idx="2">
                  <c:v>121.47058823529412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60B-4985-9958-F91B0900BF0B}"/>
            </c:ext>
          </c:extLst>
        </c:ser>
        <c:ser>
          <c:idx val="2"/>
          <c:order val="2"/>
          <c:tx>
            <c:v>Composite prop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delet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3658-469D-92B9-CCB9E1E622ED}"/>
                </c:ext>
                <c:ext xmlns:c15="http://schemas.microsoft.com/office/drawing/2012/chart" uri="{CE6537A1-D6FC-4f65-9D91-7224C49458BB}"/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xVal>
            <c:numRef>
              <c:f>SimpleComposites!$C$54:$C$55</c:f>
              <c:numCache>
                <c:formatCode>0.0%</c:formatCode>
                <c:ptCount val="2"/>
                <c:pt idx="0">
                  <c:v>0</c:v>
                </c:pt>
                <c:pt idx="1">
                  <c:v>1.6799999999999999E-2</c:v>
                </c:pt>
              </c:numCache>
            </c:numRef>
          </c:xVal>
          <c:yVal>
            <c:numRef>
              <c:f>SimpleComposites!$E$54:$E$55</c:f>
              <c:numCache>
                <c:formatCode>0.00</c:formatCode>
                <c:ptCount val="2"/>
                <c:pt idx="0">
                  <c:v>0</c:v>
                </c:pt>
                <c:pt idx="1">
                  <c:v>53.365411764705883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660B-4985-9958-F91B0900B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63208"/>
        <c:axId val="409260464"/>
      </c:scatterChart>
      <c:valAx>
        <c:axId val="409263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strain (mm/mm</a:t>
                </a:r>
                <a:r>
                  <a:rPr lang="en-US" baseline="0"/>
                  <a:t> %)</a:t>
                </a:r>
                <a:endParaRPr 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60464"/>
        <c:crosses val="autoZero"/>
        <c:crossBetween val="midCat"/>
      </c:valAx>
      <c:valAx>
        <c:axId val="40926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Mpa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63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Shear force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SimpleComposites!$B$124:$B$141</c:f>
              <c:numCache>
                <c:formatCode>General</c:formatCode>
                <c:ptCount val="18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  <c:pt idx="17">
                  <c:v>1350</c:v>
                </c:pt>
              </c:numCache>
            </c:numRef>
          </c:xVal>
          <c:yVal>
            <c:numRef>
              <c:f>SimpleComposites!$C$124:$C$141</c:f>
              <c:numCache>
                <c:formatCode>General</c:formatCode>
                <c:ptCount val="18"/>
                <c:pt idx="0">
                  <c:v>89</c:v>
                </c:pt>
                <c:pt idx="1">
                  <c:v>95.324242424242428</c:v>
                </c:pt>
                <c:pt idx="2">
                  <c:v>101.64848484848486</c:v>
                </c:pt>
                <c:pt idx="3">
                  <c:v>107.97272727272728</c:v>
                </c:pt>
                <c:pt idx="4">
                  <c:v>114.29696969696971</c:v>
                </c:pt>
                <c:pt idx="5">
                  <c:v>120.62121212121214</c:v>
                </c:pt>
                <c:pt idx="6">
                  <c:v>126.94545454545457</c:v>
                </c:pt>
                <c:pt idx="7">
                  <c:v>133.26969696969698</c:v>
                </c:pt>
                <c:pt idx="8">
                  <c:v>135.37777777777779</c:v>
                </c:pt>
                <c:pt idx="9">
                  <c:v>93.171014492753642</c:v>
                </c:pt>
                <c:pt idx="10">
                  <c:v>29.860869565217413</c:v>
                </c:pt>
                <c:pt idx="11">
                  <c:v>-33.449275362318815</c:v>
                </c:pt>
                <c:pt idx="12">
                  <c:v>-96.759420289855058</c:v>
                </c:pt>
                <c:pt idx="13">
                  <c:v>-160.0695652173913</c:v>
                </c:pt>
                <c:pt idx="14">
                  <c:v>-223.37971014492751</c:v>
                </c:pt>
                <c:pt idx="15">
                  <c:v>-286.68985507246373</c:v>
                </c:pt>
                <c:pt idx="16">
                  <c:v>-350</c:v>
                </c:pt>
                <c:pt idx="17">
                  <c:v>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FB6-4A8D-82BF-790AC9BBEB98}"/>
            </c:ext>
            <c:ext xmlns:c15="http://schemas.microsoft.com/office/drawing/2012/chart" uri="{02D57815-91ED-43cb-92C2-25804820EDAC}">
              <c15:filteredSeriesTitle>
                <c15:tx>
                  <c:v>Shear stress graph</c:v>
                </c15:tx>
              </c15:filteredSeriesTitle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55760"/>
        <c:axId val="409260856"/>
      </c:scatterChart>
      <c:valAx>
        <c:axId val="40925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60856"/>
        <c:crosses val="autoZero"/>
        <c:crossBetween val="midCat"/>
      </c:valAx>
      <c:valAx>
        <c:axId val="409260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55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Bending moment graph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Bending moment graph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SimpleComposites!$B$124:$B$140</c:f>
              <c:numCache>
                <c:formatCode>General</c:formatCode>
                <c:ptCount val="17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660</c:v>
                </c:pt>
                <c:pt idx="9">
                  <c:v>720</c:v>
                </c:pt>
                <c:pt idx="10">
                  <c:v>810</c:v>
                </c:pt>
                <c:pt idx="11">
                  <c:v>900</c:v>
                </c:pt>
                <c:pt idx="12">
                  <c:v>990</c:v>
                </c:pt>
                <c:pt idx="13">
                  <c:v>1080</c:v>
                </c:pt>
                <c:pt idx="14">
                  <c:v>1170</c:v>
                </c:pt>
                <c:pt idx="15">
                  <c:v>1260</c:v>
                </c:pt>
                <c:pt idx="16">
                  <c:v>1350</c:v>
                </c:pt>
              </c:numCache>
            </c:numRef>
          </c:xVal>
          <c:yVal>
            <c:numRef>
              <c:f>SimpleComposites!$D$124:$D$140</c:f>
              <c:numCache>
                <c:formatCode>General</c:formatCode>
                <c:ptCount val="17"/>
                <c:pt idx="0">
                  <c:v>0</c:v>
                </c:pt>
                <c:pt idx="1">
                  <c:v>8294.5909090909099</c:v>
                </c:pt>
                <c:pt idx="2">
                  <c:v>17158.363636363636</c:v>
                </c:pt>
                <c:pt idx="3">
                  <c:v>26591.318181818184</c:v>
                </c:pt>
                <c:pt idx="4">
                  <c:v>36593.454545454544</c:v>
                </c:pt>
                <c:pt idx="5">
                  <c:v>47164.772727272728</c:v>
                </c:pt>
                <c:pt idx="6">
                  <c:v>58305.272727272735</c:v>
                </c:pt>
                <c:pt idx="7">
                  <c:v>70014.954545454559</c:v>
                </c:pt>
                <c:pt idx="8">
                  <c:v>74044.666666666628</c:v>
                </c:pt>
                <c:pt idx="9">
                  <c:v>80901.130434782477</c:v>
                </c:pt>
                <c:pt idx="10">
                  <c:v>86437.565217391239</c:v>
                </c:pt>
                <c:pt idx="11">
                  <c:v>86276.086956521613</c:v>
                </c:pt>
                <c:pt idx="12">
                  <c:v>80416.695652173832</c:v>
                </c:pt>
                <c:pt idx="13">
                  <c:v>68859.391304347781</c:v>
                </c:pt>
                <c:pt idx="14">
                  <c:v>51604.173913043342</c:v>
                </c:pt>
                <c:pt idx="15">
                  <c:v>28651.043478260748</c:v>
                </c:pt>
                <c:pt idx="16">
                  <c:v>-1.1641532182693481E-10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FBA-4825-A383-1BC708F27E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261248"/>
        <c:axId val="409261640"/>
      </c:scatterChart>
      <c:valAx>
        <c:axId val="409261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61640"/>
        <c:crosses val="autoZero"/>
        <c:crossBetween val="midCat"/>
      </c:valAx>
      <c:valAx>
        <c:axId val="409261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261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201904"/>
        <c:axId val="411203472"/>
      </c:scatterChart>
      <c:valAx>
        <c:axId val="411201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3472"/>
        <c:crosses val="autoZero"/>
        <c:crossBetween val="midCat"/>
      </c:valAx>
      <c:valAx>
        <c:axId val="4112034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19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198376"/>
        <c:axId val="411198768"/>
      </c:scatterChart>
      <c:valAx>
        <c:axId val="411198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8768"/>
        <c:crosses val="autoZero"/>
        <c:crossBetween val="midCat"/>
      </c:valAx>
      <c:valAx>
        <c:axId val="41119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8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202688"/>
        <c:axId val="411196416"/>
      </c:scatterChart>
      <c:valAx>
        <c:axId val="411202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6416"/>
        <c:crosses val="autoZero"/>
        <c:crossBetween val="midCat"/>
      </c:valAx>
      <c:valAx>
        <c:axId val="4111964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2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202296"/>
        <c:axId val="411201512"/>
      </c:scatterChart>
      <c:valAx>
        <c:axId val="411202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1512"/>
        <c:crosses val="autoZero"/>
        <c:crossBetween val="midCat"/>
      </c:valAx>
      <c:valAx>
        <c:axId val="41120151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2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200728"/>
        <c:axId val="411199552"/>
      </c:scatterChart>
      <c:valAx>
        <c:axId val="411200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9552"/>
        <c:crosses val="autoZero"/>
        <c:crossBetween val="midCat"/>
      </c:valAx>
      <c:valAx>
        <c:axId val="41119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200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197984"/>
        <c:axId val="411199944"/>
      </c:scatterChart>
      <c:valAx>
        <c:axId val="411197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9944"/>
        <c:crosses val="autoZero"/>
        <c:crossBetween val="midCat"/>
      </c:valAx>
      <c:valAx>
        <c:axId val="41119994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111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319296"/>
        <c:axId val="412324000"/>
      </c:scatterChart>
      <c:valAx>
        <c:axId val="412319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4000"/>
        <c:crosses val="autoZero"/>
        <c:crossBetween val="midCat"/>
      </c:valAx>
      <c:valAx>
        <c:axId val="41232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19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324392"/>
        <c:axId val="412322432"/>
      </c:scatterChart>
      <c:valAx>
        <c:axId val="412324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2432"/>
        <c:crosses val="autoZero"/>
        <c:crossBetween val="midCat"/>
      </c:valAx>
      <c:valAx>
        <c:axId val="412322432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43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320080"/>
        <c:axId val="412318512"/>
      </c:scatterChart>
      <c:valAx>
        <c:axId val="412320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18512"/>
        <c:crosses val="autoZero"/>
        <c:crossBetween val="midCat"/>
      </c:valAx>
      <c:valAx>
        <c:axId val="41231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00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318120"/>
        <c:axId val="412318904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2320472"/>
        <c:axId val="412319688"/>
      </c:lineChart>
      <c:catAx>
        <c:axId val="412318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18904"/>
        <c:crosses val="autoZero"/>
        <c:auto val="1"/>
        <c:lblAlgn val="ctr"/>
        <c:lblOffset val="100"/>
        <c:noMultiLvlLbl val="0"/>
      </c:catAx>
      <c:valAx>
        <c:axId val="412318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18120"/>
        <c:crosses val="autoZero"/>
        <c:crossBetween val="between"/>
      </c:valAx>
      <c:valAx>
        <c:axId val="412319688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0472"/>
        <c:crosses val="max"/>
        <c:crossBetween val="between"/>
      </c:valAx>
      <c:catAx>
        <c:axId val="412320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123196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 xmlns:c16r2="http://schemas.microsoft.com/office/drawing/2015/06/chart"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2321256"/>
        <c:axId val="412321648"/>
      </c:scatterChart>
      <c:valAx>
        <c:axId val="412321256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1648"/>
        <c:crosses val="autoZero"/>
        <c:crossBetween val="midCat"/>
      </c:valAx>
      <c:valAx>
        <c:axId val="412321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23212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chart" Target="../charts/chart14.xml"/><Relationship Id="rId7" Type="http://schemas.openxmlformats.org/officeDocument/2006/relationships/image" Target="../media/image7.png"/><Relationship Id="rId2" Type="http://schemas.openxmlformats.org/officeDocument/2006/relationships/chart" Target="../charts/chart13.xml"/><Relationship Id="rId1" Type="http://schemas.openxmlformats.org/officeDocument/2006/relationships/image" Target="../media/image5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5" Type="http://schemas.openxmlformats.org/officeDocument/2006/relationships/chart" Target="../charts/chart16.xml"/><Relationship Id="rId10" Type="http://schemas.openxmlformats.org/officeDocument/2006/relationships/image" Target="../media/image10.png"/><Relationship Id="rId4" Type="http://schemas.openxmlformats.org/officeDocument/2006/relationships/chart" Target="../charts/chart15.xml"/><Relationship Id="rId9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6.png"/><Relationship Id="rId3" Type="http://schemas.openxmlformats.org/officeDocument/2006/relationships/chart" Target="../charts/chart22.xml"/><Relationship Id="rId7" Type="http://schemas.openxmlformats.org/officeDocument/2006/relationships/image" Target="../media/image15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4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image" Target="../media/image1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image" Target="../media/image18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3" Type="http://schemas.openxmlformats.org/officeDocument/2006/relationships/chart" Target="../charts/chart26.xml"/><Relationship Id="rId7" Type="http://schemas.openxmlformats.org/officeDocument/2006/relationships/image" Target="../media/image23.png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image" Target="../media/image22.png"/><Relationship Id="rId5" Type="http://schemas.openxmlformats.org/officeDocument/2006/relationships/image" Target="../media/image21.png"/><Relationship Id="rId4" Type="http://schemas.openxmlformats.org/officeDocument/2006/relationships/chart" Target="../charts/chart27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xmlns="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xmlns="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xmlns="" id="{8696CF88-4D17-58E0-4547-0F4FEA49BBCA}"/>
            </a:ext>
            <a:ext uri="{147F2762-F138-4A5C-976F-8EAC2B608ADB}">
              <a16:predDERef xmlns:a16="http://schemas.microsoft.com/office/drawing/2014/main" xmlns="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xmlns="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10EB7F2F-3037-0F02-65F4-9470FC24037D}"/>
            </a:ext>
            <a:ext uri="{147F2762-F138-4A5C-976F-8EAC2B608ADB}">
              <a16:predDERef xmlns:a16="http://schemas.microsoft.com/office/drawing/2014/main" xmlns="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1E1B4768-DDEF-37F2-E2F6-DF6922649F41}"/>
            </a:ext>
            <a:ext uri="{147F2762-F138-4A5C-976F-8EAC2B608ADB}">
              <a16:predDERef xmlns:a16="http://schemas.microsoft.com/office/drawing/2014/main" xmlns="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E128D49A-3629-4BBF-9581-DB9D69B8A541}"/>
            </a:ext>
            <a:ext uri="{147F2762-F138-4A5C-976F-8EAC2B608ADB}">
              <a16:predDERef xmlns:a16="http://schemas.microsoft.com/office/drawing/2014/main" xmlns="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4705D049-9711-4AD6-8388-EAF961A55C4C}"/>
            </a:ext>
            <a:ext uri="{147F2762-F138-4A5C-976F-8EAC2B608ADB}">
              <a16:predDERef xmlns:a16="http://schemas.microsoft.com/office/drawing/2014/main" xmlns="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64CC32F9-70E7-407E-A2B4-7366728088AD}"/>
            </a:ext>
            <a:ext uri="{147F2762-F138-4A5C-976F-8EAC2B608ADB}">
              <a16:predDERef xmlns:a16="http://schemas.microsoft.com/office/drawing/2014/main" xmlns="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250CC376-444D-4A69-B396-08361C76F808}"/>
            </a:ext>
            <a:ext uri="{147F2762-F138-4A5C-976F-8EAC2B608ADB}">
              <a16:predDERef xmlns:a16="http://schemas.microsoft.com/office/drawing/2014/main" xmlns="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C15CA873-26E1-4AC6-B585-4EB97F3C73DC}"/>
            </a:ext>
            <a:ext uri="{147F2762-F138-4A5C-976F-8EAC2B608ADB}">
              <a16:predDERef xmlns:a16="http://schemas.microsoft.com/office/drawing/2014/main" xmlns="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A60D0BB-D2DB-4D29-AC4E-706AD0B20703}"/>
            </a:ext>
            <a:ext uri="{147F2762-F138-4A5C-976F-8EAC2B608ADB}">
              <a16:predDERef xmlns:a16="http://schemas.microsoft.com/office/drawing/2014/main" xmlns="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xmlns="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E18AE237-AB9B-443B-9AC6-0A486D849990}"/>
            </a:ext>
            <a:ext uri="{147F2762-F138-4A5C-976F-8EAC2B608ADB}">
              <a16:predDERef xmlns:a16="http://schemas.microsoft.com/office/drawing/2014/main" xmlns="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xmlns="" id="{D877167B-41EB-4438-B309-3687EC1249E9}"/>
            </a:ext>
            <a:ext uri="{6ECC49D1-AA05-4338-93AA-15A1B29DFB0A}">
              <asl:scriptLink xmlns:asl="http://schemas.microsoft.com/office/drawing/2021/scriptlink" xmlns="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77695</xdr:colOff>
      <xdr:row>1</xdr:row>
      <xdr:rowOff>28015</xdr:rowOff>
    </xdr:from>
    <xdr:to>
      <xdr:col>3</xdr:col>
      <xdr:colOff>607395</xdr:colOff>
      <xdr:row>4</xdr:row>
      <xdr:rowOff>124759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4577" y="207309"/>
          <a:ext cx="1986465" cy="713068"/>
        </a:xfrm>
        <a:prstGeom prst="rect">
          <a:avLst/>
        </a:prstGeom>
      </xdr:spPr>
    </xdr:pic>
    <xdr:clientData/>
  </xdr:twoCellAnchor>
  <xdr:twoCellAnchor>
    <xdr:from>
      <xdr:col>1</xdr:col>
      <xdr:colOff>18914</xdr:colOff>
      <xdr:row>40</xdr:row>
      <xdr:rowOff>66674</xdr:rowOff>
    </xdr:from>
    <xdr:to>
      <xdr:col>5</xdr:col>
      <xdr:colOff>450849</xdr:colOff>
      <xdr:row>55</xdr:row>
      <xdr:rowOff>142874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xmlns="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488015</xdr:colOff>
      <xdr:row>40</xdr:row>
      <xdr:rowOff>66677</xdr:rowOff>
    </xdr:from>
    <xdr:to>
      <xdr:col>9</xdr:col>
      <xdr:colOff>787400</xdr:colOff>
      <xdr:row>55</xdr:row>
      <xdr:rowOff>142876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xmlns="" id="{00000000-0008-0000-0400-00000E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29884</xdr:colOff>
      <xdr:row>74</xdr:row>
      <xdr:rowOff>167340</xdr:rowOff>
    </xdr:from>
    <xdr:to>
      <xdr:col>8</xdr:col>
      <xdr:colOff>657411</xdr:colOff>
      <xdr:row>77</xdr:row>
      <xdr:rowOff>29882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xmlns="" id="{71D255C3-B7C8-885E-5A39-030847CD4A9D}"/>
            </a:ext>
          </a:extLst>
        </xdr:cNvPr>
        <xdr:cNvGrpSpPr/>
      </xdr:nvGrpSpPr>
      <xdr:grpSpPr>
        <a:xfrm>
          <a:off x="186766" y="12090399"/>
          <a:ext cx="5726204" cy="400424"/>
          <a:chOff x="209178" y="10454341"/>
          <a:chExt cx="5333998" cy="327213"/>
        </a:xfrm>
      </xdr:grpSpPr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35039B84-95EB-4B9C-BDA4-0DCB3DE4F8A8}"/>
              </a:ext>
            </a:extLst>
          </xdr:cNvPr>
          <xdr:cNvSpPr/>
        </xdr:nvSpPr>
        <xdr:spPr>
          <a:xfrm>
            <a:off x="794871" y="10454341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A</a:t>
            </a:r>
          </a:p>
        </xdr:txBody>
      </xdr:sp>
      <xdr:sp macro="" textlink="">
        <xdr:nvSpPr>
          <xdr:cNvPr id="6" name="Rectangle 5">
            <a:extLst>
              <a:ext uri="{FF2B5EF4-FFF2-40B4-BE49-F238E27FC236}">
                <a16:creationId xmlns:a16="http://schemas.microsoft.com/office/drawing/2014/main" xmlns="" id="{1B301DA2-140D-48D3-BB55-FE0B9E4BB6B2}"/>
              </a:ext>
            </a:extLst>
          </xdr:cNvPr>
          <xdr:cNvSpPr/>
        </xdr:nvSpPr>
        <xdr:spPr>
          <a:xfrm>
            <a:off x="1821330" y="10457330"/>
            <a:ext cx="941294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7" name="Rectangle 6">
            <a:extLst>
              <a:ext uri="{FF2B5EF4-FFF2-40B4-BE49-F238E27FC236}">
                <a16:creationId xmlns:a16="http://schemas.microsoft.com/office/drawing/2014/main" xmlns="" id="{39ABA03E-531F-41FA-8279-E125A001E17D}"/>
              </a:ext>
            </a:extLst>
          </xdr:cNvPr>
          <xdr:cNvSpPr/>
        </xdr:nvSpPr>
        <xdr:spPr>
          <a:xfrm>
            <a:off x="2810436" y="10460318"/>
            <a:ext cx="2732740" cy="321236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400" b="1">
                <a:solidFill>
                  <a:sysClr val="windowText" lastClr="000000"/>
                </a:solidFill>
              </a:rPr>
              <a:t>C</a:t>
            </a:r>
          </a:p>
        </xdr:txBody>
      </xdr:sp>
      <xdr:sp macro="" textlink="">
        <xdr:nvSpPr>
          <xdr:cNvPr id="8" name="Isosceles Triangle 7">
            <a:extLst>
              <a:ext uri="{FF2B5EF4-FFF2-40B4-BE49-F238E27FC236}">
                <a16:creationId xmlns:a16="http://schemas.microsoft.com/office/drawing/2014/main" xmlns="" id="{3C25669D-ADCA-8EE4-D25E-A2CE8FA40B6C}"/>
              </a:ext>
            </a:extLst>
          </xdr:cNvPr>
          <xdr:cNvSpPr/>
        </xdr:nvSpPr>
        <xdr:spPr>
          <a:xfrm rot="16200000">
            <a:off x="328708" y="10339293"/>
            <a:ext cx="298822" cy="537882"/>
          </a:xfrm>
          <a:prstGeom prst="triangle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xmlns="" id="{FD18F55E-DD9F-444C-9333-1900AE17FAA9}"/>
              </a:ext>
            </a:extLst>
          </xdr:cNvPr>
          <xdr:cNvSpPr/>
        </xdr:nvSpPr>
        <xdr:spPr>
          <a:xfrm>
            <a:off x="1501589" y="10512613"/>
            <a:ext cx="1621118" cy="211130"/>
          </a:xfrm>
          <a:prstGeom prst="rect">
            <a:avLst/>
          </a:prstGeom>
          <a:noFill/>
          <a:ln>
            <a:solidFill>
              <a:schemeClr val="tx2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endParaRPr lang="en-US" sz="1400"/>
          </a:p>
        </xdr:txBody>
      </xdr:sp>
    </xdr:grpSp>
    <xdr:clientData/>
  </xdr:twoCellAnchor>
  <xdr:twoCellAnchor>
    <xdr:from>
      <xdr:col>0</xdr:col>
      <xdr:colOff>135031</xdr:colOff>
      <xdr:row>121</xdr:row>
      <xdr:rowOff>8405</xdr:rowOff>
    </xdr:from>
    <xdr:to>
      <xdr:col>7</xdr:col>
      <xdr:colOff>526863</xdr:colOff>
      <xdr:row>136</xdr:row>
      <xdr:rowOff>133724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xmlns="" id="{8F28B114-4F46-6AE9-2D00-B87DF6B18A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429559</xdr:colOff>
      <xdr:row>78</xdr:row>
      <xdr:rowOff>144904</xdr:rowOff>
    </xdr:from>
    <xdr:to>
      <xdr:col>5</xdr:col>
      <xdr:colOff>30011</xdr:colOff>
      <xdr:row>80</xdr:row>
      <xdr:rowOff>135631</xdr:rowOff>
    </xdr:to>
    <xdr:sp macro="" textlink="">
      <xdr:nvSpPr>
        <xdr:cNvPr id="21" name="Oval 20">
          <a:extLst>
            <a:ext uri="{FF2B5EF4-FFF2-40B4-BE49-F238E27FC236}">
              <a16:creationId xmlns:a16="http://schemas.microsoft.com/office/drawing/2014/main" xmlns="" id="{FDE2A564-B24B-7660-D27B-9097916C0119}"/>
            </a:ext>
          </a:extLst>
        </xdr:cNvPr>
        <xdr:cNvSpPr/>
      </xdr:nvSpPr>
      <xdr:spPr>
        <a:xfrm>
          <a:off x="2787818" y="11693145"/>
          <a:ext cx="336176" cy="358589"/>
        </a:xfrm>
        <a:prstGeom prst="ellipse">
          <a:avLst/>
        </a:prstGeom>
        <a:solidFill>
          <a:schemeClr val="tx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203887</xdr:colOff>
      <xdr:row>77</xdr:row>
      <xdr:rowOff>77929</xdr:rowOff>
    </xdr:from>
    <xdr:to>
      <xdr:col>5</xdr:col>
      <xdr:colOff>323417</xdr:colOff>
      <xdr:row>82</xdr:row>
      <xdr:rowOff>89584</xdr:rowOff>
    </xdr:to>
    <xdr:sp macro="" textlink="">
      <xdr:nvSpPr>
        <xdr:cNvPr id="31" name="Arrow: Circular 30">
          <a:extLst>
            <a:ext uri="{FF2B5EF4-FFF2-40B4-BE49-F238E27FC236}">
              <a16:creationId xmlns:a16="http://schemas.microsoft.com/office/drawing/2014/main" xmlns="" id="{5F3D1949-27EB-B9D1-D501-D1C28B1E5AE5}"/>
            </a:ext>
          </a:extLst>
        </xdr:cNvPr>
        <xdr:cNvSpPr/>
      </xdr:nvSpPr>
      <xdr:spPr>
        <a:xfrm rot="19698365">
          <a:off x="2562146" y="11442239"/>
          <a:ext cx="855254" cy="937879"/>
        </a:xfrm>
        <a:prstGeom prst="circular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474382</xdr:colOff>
      <xdr:row>78</xdr:row>
      <xdr:rowOff>167317</xdr:rowOff>
    </xdr:from>
    <xdr:to>
      <xdr:col>4</xdr:col>
      <xdr:colOff>728382</xdr:colOff>
      <xdr:row>80</xdr:row>
      <xdr:rowOff>83337</xdr:rowOff>
    </xdr:to>
    <xdr:sp macro="" textlink="">
      <xdr:nvSpPr>
        <xdr:cNvPr id="32" name="Plus Sign 31">
          <a:extLst>
            <a:ext uri="{FF2B5EF4-FFF2-40B4-BE49-F238E27FC236}">
              <a16:creationId xmlns:a16="http://schemas.microsoft.com/office/drawing/2014/main" xmlns="" id="{1E0E7BB6-0DEB-FF58-BBBD-CC7E7B59492D}"/>
            </a:ext>
          </a:extLst>
        </xdr:cNvPr>
        <xdr:cNvSpPr/>
      </xdr:nvSpPr>
      <xdr:spPr>
        <a:xfrm>
          <a:off x="2832641" y="11715558"/>
          <a:ext cx="254000" cy="283882"/>
        </a:xfrm>
        <a:prstGeom prst="mathPlus">
          <a:avLst/>
        </a:prstGeom>
        <a:solidFill>
          <a:sysClr val="window" lastClr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66674</xdr:colOff>
      <xdr:row>76</xdr:row>
      <xdr:rowOff>12196</xdr:rowOff>
    </xdr:from>
    <xdr:to>
      <xdr:col>2</xdr:col>
      <xdr:colOff>268006</xdr:colOff>
      <xdr:row>78</xdr:row>
      <xdr:rowOff>171450</xdr:rowOff>
    </xdr:to>
    <xdr:sp macro="" textlink="">
      <xdr:nvSpPr>
        <xdr:cNvPr id="33" name="Arrow: Up 32">
          <a:extLst>
            <a:ext uri="{FF2B5EF4-FFF2-40B4-BE49-F238E27FC236}">
              <a16:creationId xmlns:a16="http://schemas.microsoft.com/office/drawing/2014/main" xmlns="" id="{A1663DC9-DD9F-0D43-D4CB-150A91081E0C}"/>
            </a:ext>
          </a:extLst>
        </xdr:cNvPr>
        <xdr:cNvSpPr/>
      </xdr:nvSpPr>
      <xdr:spPr>
        <a:xfrm rot="10800000">
          <a:off x="885824" y="11489821"/>
          <a:ext cx="201332" cy="521204"/>
        </a:xfrm>
        <a:prstGeom prst="upArrow">
          <a:avLst/>
        </a:prstGeom>
        <a:solidFill>
          <a:schemeClr val="accent1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8</xdr:col>
      <xdr:colOff>123564</xdr:colOff>
      <xdr:row>75</xdr:row>
      <xdr:rowOff>180422</xdr:rowOff>
    </xdr:from>
    <xdr:to>
      <xdr:col>8</xdr:col>
      <xdr:colOff>370093</xdr:colOff>
      <xdr:row>80</xdr:row>
      <xdr:rowOff>114299</xdr:rowOff>
    </xdr:to>
    <xdr:sp macro="" textlink="">
      <xdr:nvSpPr>
        <xdr:cNvPr id="34" name="Arrow: Up 33">
          <a:extLst>
            <a:ext uri="{FF2B5EF4-FFF2-40B4-BE49-F238E27FC236}">
              <a16:creationId xmlns:a16="http://schemas.microsoft.com/office/drawing/2014/main" xmlns="" id="{E5378644-7622-4C10-9C7F-B7881026715E}"/>
            </a:ext>
          </a:extLst>
        </xdr:cNvPr>
        <xdr:cNvSpPr/>
      </xdr:nvSpPr>
      <xdr:spPr>
        <a:xfrm rot="10800000">
          <a:off x="5000364" y="11477072"/>
          <a:ext cx="246529" cy="838752"/>
        </a:xfrm>
        <a:prstGeom prst="upArrow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130175</xdr:colOff>
      <xdr:row>136</xdr:row>
      <xdr:rowOff>143436</xdr:rowOff>
    </xdr:from>
    <xdr:to>
      <xdr:col>7</xdr:col>
      <xdr:colOff>531532</xdr:colOff>
      <xdr:row>151</xdr:row>
      <xdr:rowOff>85165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xmlns="" id="{99D37E3A-4F98-454B-A0B0-786AFFF92E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84535</xdr:colOff>
      <xdr:row>74</xdr:row>
      <xdr:rowOff>82153</xdr:rowOff>
    </xdr:from>
    <xdr:to>
      <xdr:col>9</xdr:col>
      <xdr:colOff>714703</xdr:colOff>
      <xdr:row>77</xdr:row>
      <xdr:rowOff>109539</xdr:rowOff>
    </xdr:to>
    <xdr:grpSp>
      <xdr:nvGrpSpPr>
        <xdr:cNvPr id="28" name="Group 27">
          <a:extLst>
            <a:ext uri="{FF2B5EF4-FFF2-40B4-BE49-F238E27FC236}">
              <a16:creationId xmlns:a16="http://schemas.microsoft.com/office/drawing/2014/main" xmlns="" id="{00000000-0008-0000-0400-00001C000000}"/>
            </a:ext>
          </a:extLst>
        </xdr:cNvPr>
        <xdr:cNvGrpSpPr/>
      </xdr:nvGrpSpPr>
      <xdr:grpSpPr>
        <a:xfrm>
          <a:off x="6068476" y="12005212"/>
          <a:ext cx="630168" cy="565268"/>
          <a:chOff x="4602956" y="9523809"/>
          <a:chExt cx="630168" cy="563167"/>
        </a:xfrm>
      </xdr:grpSpPr>
      <xdr:grpSp>
        <xdr:nvGrpSpPr>
          <xdr:cNvPr id="27" name="Group 26">
            <a:extLst>
              <a:ext uri="{FF2B5EF4-FFF2-40B4-BE49-F238E27FC236}">
                <a16:creationId xmlns:a16="http://schemas.microsoft.com/office/drawing/2014/main" xmlns="" id="{00000000-0008-0000-0400-00001B000000}"/>
              </a:ext>
            </a:extLst>
          </xdr:cNvPr>
          <xdr:cNvGrpSpPr/>
        </xdr:nvGrpSpPr>
        <xdr:grpSpPr>
          <a:xfrm>
            <a:off x="4612482" y="9772651"/>
            <a:ext cx="314324" cy="314325"/>
            <a:chOff x="4035029" y="9814322"/>
            <a:chExt cx="314324" cy="314325"/>
          </a:xfrm>
        </xdr:grpSpPr>
        <xdr:cxnSp macro="">
          <xdr:nvCxnSpPr>
            <xdr:cNvPr id="15" name="Straight Arrow Connector 14">
              <a:extLst>
                <a:ext uri="{FF2B5EF4-FFF2-40B4-BE49-F238E27FC236}">
                  <a16:creationId xmlns:a16="http://schemas.microsoft.com/office/drawing/2014/main" xmlns="" id="{00000000-0008-0000-0400-00000F000000}"/>
                </a:ext>
              </a:extLst>
            </xdr:cNvPr>
            <xdr:cNvCxnSpPr/>
          </xdr:nvCxnSpPr>
          <xdr:spPr>
            <a:xfrm flipH="1">
              <a:off x="4035029" y="9814322"/>
              <a:ext cx="314324" cy="0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3" name="Straight Arrow Connector 42">
              <a:extLst>
                <a:ext uri="{FF2B5EF4-FFF2-40B4-BE49-F238E27FC236}">
                  <a16:creationId xmlns:a16="http://schemas.microsoft.com/office/drawing/2014/main" xmlns="" id="{00000000-0008-0000-0400-00002B000000}"/>
                </a:ext>
              </a:extLst>
            </xdr:cNvPr>
            <xdr:cNvCxnSpPr/>
          </xdr:nvCxnSpPr>
          <xdr:spPr>
            <a:xfrm>
              <a:off x="4339828" y="9814322"/>
              <a:ext cx="0" cy="314325"/>
            </a:xfrm>
            <a:prstGeom prst="straightConnector1">
              <a:avLst/>
            </a:prstGeom>
            <a:ln>
              <a:tailEnd type="triangle"/>
            </a:ln>
          </xdr:spPr>
          <xdr:style>
            <a:lnRef idx="2">
              <a:schemeClr val="accent1"/>
            </a:lnRef>
            <a:fillRef idx="0">
              <a:schemeClr val="accent1"/>
            </a:fillRef>
            <a:effectRef idx="1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26" name="Group 25">
            <a:extLst>
              <a:ext uri="{FF2B5EF4-FFF2-40B4-BE49-F238E27FC236}">
                <a16:creationId xmlns:a16="http://schemas.microsoft.com/office/drawing/2014/main" xmlns="" id="{00000000-0008-0000-0400-00001A000000}"/>
              </a:ext>
            </a:extLst>
          </xdr:cNvPr>
          <xdr:cNvGrpSpPr/>
        </xdr:nvGrpSpPr>
        <xdr:grpSpPr>
          <a:xfrm>
            <a:off x="4602956" y="9523809"/>
            <a:ext cx="630168" cy="491354"/>
            <a:chOff x="4025503" y="9571434"/>
            <a:chExt cx="630168" cy="491354"/>
          </a:xfrm>
        </xdr:grpSpPr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00000000-0008-0000-0400-000013000000}"/>
                </a:ext>
              </a:extLst>
            </xdr:cNvPr>
            <xdr:cNvSpPr txBox="1"/>
          </xdr:nvSpPr>
          <xdr:spPr>
            <a:xfrm>
              <a:off x="4301728" y="9814322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+Y</a:t>
              </a:r>
            </a:p>
          </xdr:txBody>
        </xdr:sp>
        <xdr:sp macro="" textlink="">
          <xdr:nvSpPr>
            <xdr:cNvPr id="44" name="TextBox 43">
              <a:extLst>
                <a:ext uri="{FF2B5EF4-FFF2-40B4-BE49-F238E27FC236}">
                  <a16:creationId xmlns:a16="http://schemas.microsoft.com/office/drawing/2014/main" xmlns="" id="{00000000-0008-0000-0400-00002C000000}"/>
                </a:ext>
              </a:extLst>
            </xdr:cNvPr>
            <xdr:cNvSpPr txBox="1"/>
          </xdr:nvSpPr>
          <xdr:spPr>
            <a:xfrm>
              <a:off x="4025503" y="9571434"/>
              <a:ext cx="353943" cy="2484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US" sz="1100"/>
                <a:t>+X</a:t>
              </a:r>
            </a:p>
          </xdr:txBody>
        </xdr:sp>
      </xdr:grpSp>
    </xdr:grpSp>
    <xdr:clientData/>
  </xdr:twoCellAnchor>
  <xdr:twoCellAnchor editAs="oneCell">
    <xdr:from>
      <xdr:col>10</xdr:col>
      <xdr:colOff>272142</xdr:colOff>
      <xdr:row>54</xdr:row>
      <xdr:rowOff>108858</xdr:rowOff>
    </xdr:from>
    <xdr:to>
      <xdr:col>18</xdr:col>
      <xdr:colOff>27213</xdr:colOff>
      <xdr:row>70</xdr:row>
      <xdr:rowOff>125546</xdr:rowOff>
    </xdr:to>
    <xdr:pic>
      <xdr:nvPicPr>
        <xdr:cNvPr id="42" name="Picture 41" descr="International pressure units - WIKA blog">
          <a:extLst>
            <a:ext uri="{FF2B5EF4-FFF2-40B4-BE49-F238E27FC236}">
              <a16:creationId xmlns:a16="http://schemas.microsoft.com/office/drawing/2014/main" xmlns="" id="{00000000-0008-0000-0400-00002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25392" y="6477001"/>
          <a:ext cx="5061857" cy="285967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27214</xdr:colOff>
      <xdr:row>264</xdr:row>
      <xdr:rowOff>0</xdr:rowOff>
    </xdr:from>
    <xdr:to>
      <xdr:col>21</xdr:col>
      <xdr:colOff>492661</xdr:colOff>
      <xdr:row>287</xdr:row>
      <xdr:rowOff>140298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xmlns="" id="{00000000-0008-0000-04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6980464" y="50492788"/>
          <a:ext cx="7718054" cy="4207926"/>
        </a:xfrm>
        <a:prstGeom prst="rect">
          <a:avLst/>
        </a:prstGeom>
      </xdr:spPr>
    </xdr:pic>
    <xdr:clientData/>
  </xdr:twoCellAnchor>
  <xdr:twoCellAnchor editAs="oneCell">
    <xdr:from>
      <xdr:col>10</xdr:col>
      <xdr:colOff>304800</xdr:colOff>
      <xdr:row>26</xdr:row>
      <xdr:rowOff>18459</xdr:rowOff>
    </xdr:from>
    <xdr:to>
      <xdr:col>19</xdr:col>
      <xdr:colOff>285750</xdr:colOff>
      <xdr:row>48</xdr:row>
      <xdr:rowOff>83042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xmlns="" id="{1E038EC2-EC3C-1B9E-7790-D0AE345E5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05600" y="2809284"/>
          <a:ext cx="5391150" cy="4046033"/>
        </a:xfrm>
        <a:prstGeom prst="rect">
          <a:avLst/>
        </a:prstGeom>
      </xdr:spPr>
    </xdr:pic>
    <xdr:clientData/>
  </xdr:twoCellAnchor>
  <xdr:twoCellAnchor>
    <xdr:from>
      <xdr:col>2</xdr:col>
      <xdr:colOff>200025</xdr:colOff>
      <xdr:row>73</xdr:row>
      <xdr:rowOff>57150</xdr:rowOff>
    </xdr:from>
    <xdr:to>
      <xdr:col>4</xdr:col>
      <xdr:colOff>527049</xdr:colOff>
      <xdr:row>74</xdr:row>
      <xdr:rowOff>133350</xdr:rowOff>
    </xdr:to>
    <xdr:grpSp>
      <xdr:nvGrpSpPr>
        <xdr:cNvPr id="50" name="Group 49">
          <a:extLst>
            <a:ext uri="{FF2B5EF4-FFF2-40B4-BE49-F238E27FC236}">
              <a16:creationId xmlns:a16="http://schemas.microsoft.com/office/drawing/2014/main" xmlns="" id="{3C2DB7E1-74D8-496C-96DB-0C9100686BAE}"/>
            </a:ext>
          </a:extLst>
        </xdr:cNvPr>
        <xdr:cNvGrpSpPr/>
      </xdr:nvGrpSpPr>
      <xdr:grpSpPr>
        <a:xfrm>
          <a:off x="1085290" y="11789709"/>
          <a:ext cx="1783788" cy="266700"/>
          <a:chOff x="3597275" y="9848850"/>
          <a:chExt cx="1000125" cy="571500"/>
        </a:xfrm>
      </xdr:grpSpPr>
      <xdr:cxnSp macro="">
        <xdr:nvCxnSpPr>
          <xdr:cNvPr id="51" name="Straight Arrow Connector 50">
            <a:extLst>
              <a:ext uri="{FF2B5EF4-FFF2-40B4-BE49-F238E27FC236}">
                <a16:creationId xmlns:a16="http://schemas.microsoft.com/office/drawing/2014/main" xmlns="" id="{26F73A6A-81E9-F259-01C4-77D63F8F959E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2" name="Straight Arrow Connector 51">
            <a:extLst>
              <a:ext uri="{FF2B5EF4-FFF2-40B4-BE49-F238E27FC236}">
                <a16:creationId xmlns:a16="http://schemas.microsoft.com/office/drawing/2014/main" xmlns="" id="{12E7DCD0-156E-579C-018B-C2F3D8640ABD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Arrow Connector 52">
            <a:extLst>
              <a:ext uri="{FF2B5EF4-FFF2-40B4-BE49-F238E27FC236}">
                <a16:creationId xmlns:a16="http://schemas.microsoft.com/office/drawing/2014/main" xmlns="" id="{21259BB9-C661-0C74-DEF3-12A5AE1D2D23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4" name="Straight Arrow Connector 53">
            <a:extLst>
              <a:ext uri="{FF2B5EF4-FFF2-40B4-BE49-F238E27FC236}">
                <a16:creationId xmlns:a16="http://schemas.microsoft.com/office/drawing/2014/main" xmlns="" id="{825EC7C6-2E66-8D0A-538D-278D92FB04B8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5" name="Straight Arrow Connector 54">
            <a:extLst>
              <a:ext uri="{FF2B5EF4-FFF2-40B4-BE49-F238E27FC236}">
                <a16:creationId xmlns:a16="http://schemas.microsoft.com/office/drawing/2014/main" xmlns="" id="{4ACAD2AC-C1D7-1607-0618-2D59BAF84B3F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Arrow Connector 55">
            <a:extLst>
              <a:ext uri="{FF2B5EF4-FFF2-40B4-BE49-F238E27FC236}">
                <a16:creationId xmlns:a16="http://schemas.microsoft.com/office/drawing/2014/main" xmlns="" id="{54B0F0E9-62E9-5C55-5408-C8C1B30146F3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7" name="Straight Arrow Connector 56">
            <a:extLst>
              <a:ext uri="{FF2B5EF4-FFF2-40B4-BE49-F238E27FC236}">
                <a16:creationId xmlns:a16="http://schemas.microsoft.com/office/drawing/2014/main" xmlns="" id="{74D9F84F-B9FE-F387-7F3A-F80ACDE5A0D0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85726</xdr:colOff>
      <xdr:row>71</xdr:row>
      <xdr:rowOff>57150</xdr:rowOff>
    </xdr:from>
    <xdr:to>
      <xdr:col>8</xdr:col>
      <xdr:colOff>228601</xdr:colOff>
      <xdr:row>74</xdr:row>
      <xdr:rowOff>82550</xdr:rowOff>
    </xdr:to>
    <xdr:grpSp>
      <xdr:nvGrpSpPr>
        <xdr:cNvPr id="58" name="Group 57">
          <a:extLst>
            <a:ext uri="{FF2B5EF4-FFF2-40B4-BE49-F238E27FC236}">
              <a16:creationId xmlns:a16="http://schemas.microsoft.com/office/drawing/2014/main" xmlns="" id="{86219524-58D5-4E93-8BF3-AD7D38173E37}"/>
            </a:ext>
          </a:extLst>
        </xdr:cNvPr>
        <xdr:cNvGrpSpPr/>
      </xdr:nvGrpSpPr>
      <xdr:grpSpPr>
        <a:xfrm>
          <a:off x="3156138" y="11408709"/>
          <a:ext cx="2328022" cy="596900"/>
          <a:chOff x="3597275" y="9848850"/>
          <a:chExt cx="1000125" cy="571500"/>
        </a:xfrm>
      </xdr:grpSpPr>
      <xdr:cxnSp macro="">
        <xdr:nvCxnSpPr>
          <xdr:cNvPr id="59" name="Straight Arrow Connector 58">
            <a:extLst>
              <a:ext uri="{FF2B5EF4-FFF2-40B4-BE49-F238E27FC236}">
                <a16:creationId xmlns:a16="http://schemas.microsoft.com/office/drawing/2014/main" xmlns="" id="{163EB054-41D3-922D-8582-9A862E8152F5}"/>
              </a:ext>
            </a:extLst>
          </xdr:cNvPr>
          <xdr:cNvCxnSpPr/>
        </xdr:nvCxnSpPr>
        <xdr:spPr>
          <a:xfrm flipV="1">
            <a:off x="3597275" y="9877425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Straight Arrow Connector 59">
            <a:extLst>
              <a:ext uri="{FF2B5EF4-FFF2-40B4-BE49-F238E27FC236}">
                <a16:creationId xmlns:a16="http://schemas.microsoft.com/office/drawing/2014/main" xmlns="" id="{5C92FD6C-60EA-0166-BE1B-125AF640D8F3}"/>
              </a:ext>
            </a:extLst>
          </xdr:cNvPr>
          <xdr:cNvCxnSpPr/>
        </xdr:nvCxnSpPr>
        <xdr:spPr>
          <a:xfrm flipV="1">
            <a:off x="393065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1" name="Straight Arrow Connector 60">
            <a:extLst>
              <a:ext uri="{FF2B5EF4-FFF2-40B4-BE49-F238E27FC236}">
                <a16:creationId xmlns:a16="http://schemas.microsoft.com/office/drawing/2014/main" xmlns="" id="{0190BD91-2BD4-E657-68E7-48B4ACF326D7}"/>
              </a:ext>
            </a:extLst>
          </xdr:cNvPr>
          <xdr:cNvCxnSpPr/>
        </xdr:nvCxnSpPr>
        <xdr:spPr>
          <a:xfrm flipV="1">
            <a:off x="3768725" y="98742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2" name="Straight Arrow Connector 61">
            <a:extLst>
              <a:ext uri="{FF2B5EF4-FFF2-40B4-BE49-F238E27FC236}">
                <a16:creationId xmlns:a16="http://schemas.microsoft.com/office/drawing/2014/main" xmlns="" id="{30DF63C9-D624-562F-1C91-3A172EFAE0FA}"/>
              </a:ext>
            </a:extLst>
          </xdr:cNvPr>
          <xdr:cNvCxnSpPr/>
        </xdr:nvCxnSpPr>
        <xdr:spPr>
          <a:xfrm flipV="1">
            <a:off x="4086225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3" name="Straight Arrow Connector 62">
            <a:extLst>
              <a:ext uri="{FF2B5EF4-FFF2-40B4-BE49-F238E27FC236}">
                <a16:creationId xmlns:a16="http://schemas.microsoft.com/office/drawing/2014/main" xmlns="" id="{6871C9C5-7558-D3BB-0673-1E0ADCD4D818}"/>
              </a:ext>
            </a:extLst>
          </xdr:cNvPr>
          <xdr:cNvCxnSpPr/>
        </xdr:nvCxnSpPr>
        <xdr:spPr>
          <a:xfrm flipV="1">
            <a:off x="4264025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4" name="Straight Arrow Connector 63">
            <a:extLst>
              <a:ext uri="{FF2B5EF4-FFF2-40B4-BE49-F238E27FC236}">
                <a16:creationId xmlns:a16="http://schemas.microsoft.com/office/drawing/2014/main" xmlns="" id="{1F7D1E5C-E6FA-BE68-6521-50D51F1A79B0}"/>
              </a:ext>
            </a:extLst>
          </xdr:cNvPr>
          <xdr:cNvCxnSpPr/>
        </xdr:nvCxnSpPr>
        <xdr:spPr>
          <a:xfrm flipV="1">
            <a:off x="4425950" y="984885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5" name="Straight Arrow Connector 64">
            <a:extLst>
              <a:ext uri="{FF2B5EF4-FFF2-40B4-BE49-F238E27FC236}">
                <a16:creationId xmlns:a16="http://schemas.microsoft.com/office/drawing/2014/main" xmlns="" id="{A07A0140-21B0-9D92-F006-73D3D9F560F9}"/>
              </a:ext>
            </a:extLst>
          </xdr:cNvPr>
          <xdr:cNvCxnSpPr/>
        </xdr:nvCxnSpPr>
        <xdr:spPr>
          <a:xfrm flipV="1">
            <a:off x="4597400" y="9855200"/>
            <a:ext cx="0" cy="542925"/>
          </a:xfrm>
          <a:prstGeom prst="straightConnector1">
            <a:avLst/>
          </a:prstGeom>
          <a:ln>
            <a:tailEnd type="triangle"/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19</xdr:col>
      <xdr:colOff>482600</xdr:colOff>
      <xdr:row>28</xdr:row>
      <xdr:rowOff>44450</xdr:rowOff>
    </xdr:from>
    <xdr:to>
      <xdr:col>26</xdr:col>
      <xdr:colOff>429209</xdr:colOff>
      <xdr:row>46</xdr:row>
      <xdr:rowOff>9949</xdr:rowOff>
    </xdr:to>
    <xdr:grpSp>
      <xdr:nvGrpSpPr>
        <xdr:cNvPr id="70" name="Group 69">
          <a:extLst>
            <a:ext uri="{FF2B5EF4-FFF2-40B4-BE49-F238E27FC236}">
              <a16:creationId xmlns:a16="http://schemas.microsoft.com/office/drawing/2014/main" xmlns="" id="{123796AF-603C-C960-208F-01DAA693AD4F}"/>
            </a:ext>
          </a:extLst>
        </xdr:cNvPr>
        <xdr:cNvGrpSpPr/>
      </xdr:nvGrpSpPr>
      <xdr:grpSpPr>
        <a:xfrm>
          <a:off x="13324541" y="3596715"/>
          <a:ext cx="4675492" cy="3260028"/>
          <a:chOff x="12293600" y="3559175"/>
          <a:chExt cx="4185234" cy="3042074"/>
        </a:xfrm>
      </xdr:grpSpPr>
      <xdr:pic>
        <xdr:nvPicPr>
          <xdr:cNvPr id="68" name="Picture 67">
            <a:extLst>
              <a:ext uri="{FF2B5EF4-FFF2-40B4-BE49-F238E27FC236}">
                <a16:creationId xmlns:a16="http://schemas.microsoft.com/office/drawing/2014/main" xmlns="" id="{466EBCF4-92C0-AC25-EBCC-A0E7F31A699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/>
          <a:stretch>
            <a:fillRect/>
          </a:stretch>
        </xdr:blipFill>
        <xdr:spPr>
          <a:xfrm>
            <a:off x="12293600" y="3559175"/>
            <a:ext cx="4185234" cy="3042074"/>
          </a:xfrm>
          <a:prstGeom prst="rect">
            <a:avLst/>
          </a:prstGeom>
        </xdr:spPr>
      </xdr:pic>
      <xdr:sp macro="" textlink="">
        <xdr:nvSpPr>
          <xdr:cNvPr id="69" name="TextBox 68">
            <a:extLst>
              <a:ext uri="{FF2B5EF4-FFF2-40B4-BE49-F238E27FC236}">
                <a16:creationId xmlns:a16="http://schemas.microsoft.com/office/drawing/2014/main" xmlns="" id="{B56D87BF-4C7B-B166-8009-90B4EEFBF1E9}"/>
              </a:ext>
            </a:extLst>
          </xdr:cNvPr>
          <xdr:cNvSpPr txBox="1"/>
        </xdr:nvSpPr>
        <xdr:spPr>
          <a:xfrm>
            <a:off x="12773025" y="3733800"/>
            <a:ext cx="894476" cy="264560"/>
          </a:xfrm>
          <a:prstGeom prst="rect">
            <a:avLst/>
          </a:prstGeom>
          <a:solidFill>
            <a:schemeClr val="accent2"/>
          </a:solidFill>
          <a:ln>
            <a:solidFill>
              <a:schemeClr val="accent1"/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sz="1100"/>
              <a:t>Shear failure</a:t>
            </a:r>
          </a:p>
        </xdr:txBody>
      </xdr:sp>
    </xdr:grpSp>
    <xdr:clientData/>
  </xdr:twoCellAnchor>
  <xdr:twoCellAnchor editAs="oneCell">
    <xdr:from>
      <xdr:col>18</xdr:col>
      <xdr:colOff>210773</xdr:colOff>
      <xdr:row>49</xdr:row>
      <xdr:rowOff>161925</xdr:rowOff>
    </xdr:from>
    <xdr:to>
      <xdr:col>27</xdr:col>
      <xdr:colOff>140868</xdr:colOff>
      <xdr:row>68</xdr:row>
      <xdr:rowOff>714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xmlns="" id="{48258DB5-36F4-384F-C16C-6E4408CA5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1440748" y="7477125"/>
          <a:ext cx="5359345" cy="3274139"/>
        </a:xfrm>
        <a:prstGeom prst="rect">
          <a:avLst/>
        </a:prstGeom>
      </xdr:spPr>
    </xdr:pic>
    <xdr:clientData/>
  </xdr:twoCellAnchor>
  <xdr:twoCellAnchor editAs="oneCell">
    <xdr:from>
      <xdr:col>10</xdr:col>
      <xdr:colOff>669924</xdr:colOff>
      <xdr:row>186</xdr:row>
      <xdr:rowOff>122998</xdr:rowOff>
    </xdr:from>
    <xdr:to>
      <xdr:col>20</xdr:col>
      <xdr:colOff>274339</xdr:colOff>
      <xdr:row>207</xdr:row>
      <xdr:rowOff>159634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xmlns="" id="{75FA5368-22D3-CE96-C04F-72C7D1DF22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070724" y="32441323"/>
          <a:ext cx="5595640" cy="383711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xmlns="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50606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xmlns="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11844</xdr:colOff>
      <xdr:row>577</xdr:row>
      <xdr:rowOff>64772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273797</xdr:colOff>
      <xdr:row>563</xdr:row>
      <xdr:rowOff>106659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xmlns="" id="{6CD0C531-CFCF-08EE-F524-3CCEEAE2F5F4}"/>
            </a:ext>
          </a:extLst>
        </xdr:cNvPr>
        <xdr:cNvGrpSpPr/>
      </xdr:nvGrpSpPr>
      <xdr:grpSpPr>
        <a:xfrm>
          <a:off x="13338736" y="25870649"/>
          <a:ext cx="4763794" cy="2224668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xmlns="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xmlns="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xmlns="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xmlns="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xmlns="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xmlns="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xmlns="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xmlns="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xmlns="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xmlns="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xmlns="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xmlns="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xmlns="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xmlns="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xmlns="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xmlns="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xmlns="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xmlns="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xmlns="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xmlns="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id="1" name="Table1" displayName="Table1" ref="B76:G81" totalsRowShown="0" headerRowDxfId="9" dataDxfId="8">
  <autoFilter ref="B76:G81"/>
  <tableColumns count="6">
    <tableColumn id="1" name="Fin type" dataDxfId="7"/>
    <tableColumn id="2" name="Sweeped" dataDxfId="6">
      <calculatedColumnFormula>I64</calculatedColumnFormula>
    </tableColumn>
    <tableColumn id="3" name="Tapered 1/4" dataDxfId="5">
      <calculatedColumnFormula>K64</calculatedColumnFormula>
    </tableColumn>
    <tableColumn id="4" name="Tapered sweeped" dataDxfId="4"/>
    <tableColumn id="5" name="Column4" dataDxfId="3"/>
    <tableColumn id="6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comments" Target="../comments4.xml"/><Relationship Id="rId3" Type="http://schemas.openxmlformats.org/officeDocument/2006/relationships/hyperlink" Target="https://www.fibraq.com/collections/material-para-vacio-e-infusion/products/pelicula-antiadherente-malla-de-sangrado" TargetMode="External"/><Relationship Id="rId7" Type="http://schemas.openxmlformats.org/officeDocument/2006/relationships/vmlDrawing" Target="../drawings/vmlDrawing5.vml"/><Relationship Id="rId2" Type="http://schemas.openxmlformats.org/officeDocument/2006/relationships/hyperlink" Target="https://www.fibraq.com/collections/material-para-vacio-e-infusion/products/tubo-de-absorcion-pebd-de-infusion-o-10-x-12-mm" TargetMode="External"/><Relationship Id="rId1" Type="http://schemas.openxmlformats.org/officeDocument/2006/relationships/hyperlink" Target="https://courses.hardhatengineer.com/courses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ibraq.com/collections/material-para-vacio-e-infusion/products/toma-de-infusion-para-vacio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875" defaultRowHeight="12.75"/>
  <cols>
    <col min="1" max="1" width="12.75" style="112" customWidth="1"/>
    <col min="2" max="9" width="7.25" style="112" customWidth="1"/>
    <col min="10" max="16384" width="8.87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.5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.5" thickBot="1"/>
    <row r="105" spans="1:12" ht="13.5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.5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.5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401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401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.5" thickBot="1">
      <c r="A110" s="401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2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.5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.5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.5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.5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401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401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.5" thickBot="1">
      <c r="A162" s="401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.5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.5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.5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.5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.5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.5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401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401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.5" thickBot="1">
      <c r="A214" s="401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>
      <c r="A216" s="134" t="s">
        <v>90</v>
      </c>
    </row>
    <row r="217" spans="1:12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.5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.5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.5" thickBot="1"/>
    <row r="243" spans="1:7" ht="15" customHeight="1" thickBot="1">
      <c r="C243" s="402" t="s">
        <v>113</v>
      </c>
      <c r="D243" s="403"/>
      <c r="E243" s="403"/>
      <c r="F243" s="403"/>
      <c r="G243" s="404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.5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402" t="s">
        <v>123</v>
      </c>
      <c r="D247" s="403"/>
      <c r="E247" s="403"/>
      <c r="F247" s="403"/>
      <c r="G247" s="404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.5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.5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405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406"/>
    </row>
    <row r="259" spans="1:12" ht="13.5" thickBot="1"/>
    <row r="260" spans="1:12" ht="13.5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.5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.5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25">
      <c r="A263" s="401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25">
      <c r="A264" s="401"/>
      <c r="B264" s="158" t="s">
        <v>136</v>
      </c>
      <c r="L264" s="149"/>
    </row>
    <row r="265" spans="1:12" ht="13.5" thickBot="1">
      <c r="A265" s="401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>
      <c r="A267" s="134" t="s">
        <v>137</v>
      </c>
    </row>
    <row r="268" spans="1:12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/>
    <hyperlink ref="B264" r:id="rId2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AA21"/>
  <sheetViews>
    <sheetView workbookViewId="0">
      <selection activeCell="D21" sqref="D21"/>
    </sheetView>
  </sheetViews>
  <sheetFormatPr defaultColWidth="15.375" defaultRowHeight="14.25"/>
  <cols>
    <col min="1" max="1" width="24.25" customWidth="1"/>
    <col min="7" max="7" width="9.125" bestFit="1" customWidth="1"/>
    <col min="8" max="8" width="20.125" customWidth="1"/>
  </cols>
  <sheetData>
    <row r="1" spans="1:27" ht="42.95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4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4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4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4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4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4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4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4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4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4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4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4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4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45" customHeight="1"/>
    <row r="19" spans="1:14">
      <c r="A19" s="13" t="s">
        <v>181</v>
      </c>
    </row>
    <row r="21" spans="1:14" ht="15">
      <c r="C21" s="306"/>
    </row>
  </sheetData>
  <autoFilter ref="A1:E8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1:X104"/>
  <sheetViews>
    <sheetView zoomScale="91" zoomScaleNormal="70" workbookViewId="0">
      <pane xSplit="1" ySplit="9" topLeftCell="B16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875" defaultRowHeight="14.25"/>
  <cols>
    <col min="1" max="1" width="1.125" style="1" customWidth="1"/>
    <col min="2" max="2" width="20.75" style="1" bestFit="1" customWidth="1"/>
    <col min="3" max="3" width="15.875" style="1" bestFit="1" customWidth="1"/>
    <col min="4" max="4" width="12.75" style="1" customWidth="1"/>
    <col min="5" max="6" width="11.875" style="1" bestFit="1" customWidth="1"/>
    <col min="7" max="7" width="8.875" style="1"/>
    <col min="8" max="8" width="13.75" style="1" bestFit="1" customWidth="1"/>
    <col min="9" max="9" width="11.875" style="1" bestFit="1" customWidth="1"/>
    <col min="10" max="10" width="8.875" style="1"/>
    <col min="11" max="11" width="13.125" style="1" customWidth="1"/>
    <col min="12" max="12" width="11.875" style="1" bestFit="1" customWidth="1"/>
    <col min="13" max="13" width="3.375" style="1" customWidth="1"/>
    <col min="14" max="14" width="11.25" style="1" customWidth="1"/>
    <col min="15" max="15" width="16.25" style="1" customWidth="1"/>
    <col min="16" max="20" width="8.875" style="1"/>
    <col min="21" max="21" width="11.375" style="1" bestFit="1" customWidth="1"/>
    <col min="22" max="22" width="12" style="1" bestFit="1" customWidth="1"/>
    <col min="23" max="16384" width="8.875" style="1"/>
  </cols>
  <sheetData>
    <row r="1" spans="2:22" ht="15" thickBot="1"/>
    <row r="2" spans="2:22" ht="37.15" customHeight="1">
      <c r="B2" s="407" t="s">
        <v>182</v>
      </c>
      <c r="C2" s="408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411" t="s">
        <v>185</v>
      </c>
      <c r="D12" s="412"/>
      <c r="E12" s="412"/>
      <c r="F12" s="412"/>
      <c r="G12" s="413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411" t="s">
        <v>189</v>
      </c>
      <c r="P12" s="412"/>
      <c r="Q12" s="412"/>
      <c r="R12" s="412"/>
      <c r="S12" s="413"/>
      <c r="T12" s="1" t="s">
        <v>186</v>
      </c>
      <c r="U12" s="1" t="s">
        <v>187</v>
      </c>
      <c r="V12" s="1" t="s">
        <v>188</v>
      </c>
    </row>
    <row r="13" spans="2:22">
      <c r="B13" s="409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409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410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410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410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410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410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410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410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410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410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410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410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410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410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410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410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410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410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414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45" customHeight="1">
      <c r="B23" s="418" t="s">
        <v>191</v>
      </c>
      <c r="C23" s="65"/>
      <c r="D23" s="64" t="s">
        <v>186</v>
      </c>
      <c r="E23" s="64"/>
      <c r="F23" s="64"/>
      <c r="G23" s="64"/>
      <c r="K23" s="416"/>
      <c r="N23" s="417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418"/>
      <c r="C24" s="66" t="s">
        <v>193</v>
      </c>
      <c r="D24" s="1">
        <f>(F25/2)/(F26)</f>
        <v>0.13333333333333333</v>
      </c>
      <c r="K24" s="416"/>
      <c r="N24" s="418"/>
      <c r="O24" s="66" t="s">
        <v>193</v>
      </c>
      <c r="P24" s="1" t="s">
        <v>194</v>
      </c>
    </row>
    <row r="25" spans="2:22">
      <c r="B25" s="418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416"/>
      <c r="N25" s="418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45" customHeight="1">
      <c r="B26" s="418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416"/>
      <c r="N26" s="418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45" customHeight="1">
      <c r="B27" s="2" t="s">
        <v>199</v>
      </c>
      <c r="C27" s="419" t="s">
        <v>200</v>
      </c>
      <c r="D27" s="419"/>
      <c r="E27" s="419"/>
      <c r="F27" s="419"/>
      <c r="G27" s="419"/>
      <c r="L27" s="63"/>
      <c r="M27" s="63"/>
      <c r="N27" s="2" t="s">
        <v>199</v>
      </c>
      <c r="O27" s="419" t="s">
        <v>200</v>
      </c>
      <c r="P27" s="419"/>
      <c r="Q27" s="419"/>
      <c r="R27" s="419"/>
      <c r="S27" s="419"/>
    </row>
    <row r="28" spans="2:22" ht="57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409" t="s">
        <v>203</v>
      </c>
      <c r="C31" s="407"/>
      <c r="D31" s="420"/>
      <c r="E31" s="420"/>
      <c r="F31" s="420"/>
      <c r="G31" s="408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410"/>
      <c r="C32" s="421"/>
      <c r="D32" s="415"/>
      <c r="E32" s="415"/>
      <c r="F32" s="415"/>
      <c r="G32" s="422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410"/>
      <c r="C33" s="421"/>
      <c r="D33" s="415"/>
      <c r="E33" s="415"/>
      <c r="F33" s="415"/>
      <c r="G33" s="422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410"/>
      <c r="C34" s="421"/>
      <c r="D34" s="415"/>
      <c r="E34" s="415"/>
      <c r="F34" s="415"/>
      <c r="G34" s="422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410"/>
      <c r="C35" s="421"/>
      <c r="D35" s="415"/>
      <c r="E35" s="415"/>
      <c r="F35" s="415"/>
      <c r="G35" s="422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410"/>
      <c r="C36" s="421"/>
      <c r="D36" s="415"/>
      <c r="E36" s="415"/>
      <c r="F36" s="415"/>
      <c r="G36" s="422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410"/>
      <c r="C37" s="421"/>
      <c r="D37" s="415"/>
      <c r="E37" s="415"/>
      <c r="F37" s="415"/>
      <c r="G37" s="422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410"/>
      <c r="C38" s="421"/>
      <c r="D38" s="415"/>
      <c r="E38" s="415"/>
      <c r="F38" s="415"/>
      <c r="G38" s="422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45" customHeight="1">
      <c r="B39" s="410"/>
      <c r="C39" s="421"/>
      <c r="D39" s="415"/>
      <c r="E39" s="415"/>
      <c r="F39" s="415"/>
      <c r="G39" s="422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414"/>
      <c r="C40" s="423"/>
      <c r="D40" s="424"/>
      <c r="E40" s="424"/>
      <c r="F40" s="424"/>
      <c r="G40" s="425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8.5">
      <c r="B41" s="419" t="s">
        <v>191</v>
      </c>
      <c r="C41" s="1" t="s">
        <v>204</v>
      </c>
      <c r="H41" s="12"/>
    </row>
    <row r="42" spans="2:24">
      <c r="B42" s="415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415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415" t="s">
        <v>206</v>
      </c>
      <c r="D44" s="415"/>
      <c r="E44" s="415"/>
      <c r="F44" s="415"/>
      <c r="G44" s="415"/>
    </row>
    <row r="45" spans="2:24">
      <c r="B45" s="415" t="s">
        <v>201</v>
      </c>
    </row>
    <row r="46" spans="2:24">
      <c r="B46" s="415"/>
    </row>
    <row r="47" spans="2:24" ht="15" thickBot="1">
      <c r="B47" s="415"/>
    </row>
    <row r="48" spans="2:24" ht="15" customHeight="1" thickBot="1">
      <c r="K48" s="426" t="s">
        <v>207</v>
      </c>
      <c r="L48" s="428"/>
      <c r="W48" s="416" t="s">
        <v>207</v>
      </c>
      <c r="X48" s="416"/>
    </row>
    <row r="49" spans="2:24" ht="15" thickBot="1">
      <c r="B49" s="8" t="s">
        <v>184</v>
      </c>
      <c r="C49" s="426" t="s">
        <v>208</v>
      </c>
      <c r="D49" s="427"/>
      <c r="E49" s="427"/>
      <c r="F49" s="427"/>
      <c r="G49" s="428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426" t="s">
        <v>212</v>
      </c>
      <c r="P49" s="427"/>
      <c r="Q49" s="427"/>
      <c r="R49" s="427"/>
      <c r="S49" s="428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409" t="s">
        <v>214</v>
      </c>
      <c r="C50" s="407"/>
      <c r="D50" s="420"/>
      <c r="E50" s="420"/>
      <c r="F50" s="420"/>
      <c r="G50" s="408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409" t="s">
        <v>214</v>
      </c>
      <c r="O50" s="407"/>
      <c r="P50" s="420"/>
      <c r="Q50" s="420"/>
      <c r="R50" s="420"/>
      <c r="S50" s="408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410"/>
      <c r="C51" s="421"/>
      <c r="D51" s="415"/>
      <c r="E51" s="415"/>
      <c r="F51" s="415"/>
      <c r="G51" s="422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410"/>
      <c r="O51" s="421"/>
      <c r="P51" s="415"/>
      <c r="Q51" s="415"/>
      <c r="R51" s="415"/>
      <c r="S51" s="422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410"/>
      <c r="C52" s="421"/>
      <c r="D52" s="415"/>
      <c r="E52" s="415"/>
      <c r="F52" s="415"/>
      <c r="G52" s="422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410"/>
      <c r="O52" s="421"/>
      <c r="P52" s="415"/>
      <c r="Q52" s="415"/>
      <c r="R52" s="415"/>
      <c r="S52" s="422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410"/>
      <c r="C53" s="421"/>
      <c r="D53" s="415"/>
      <c r="E53" s="415"/>
      <c r="F53" s="415"/>
      <c r="G53" s="422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410"/>
      <c r="O53" s="421"/>
      <c r="P53" s="415"/>
      <c r="Q53" s="415"/>
      <c r="R53" s="415"/>
      <c r="S53" s="422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410"/>
      <c r="C54" s="421"/>
      <c r="D54" s="415"/>
      <c r="E54" s="415"/>
      <c r="F54" s="415"/>
      <c r="G54" s="422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410"/>
      <c r="O54" s="421"/>
      <c r="P54" s="415"/>
      <c r="Q54" s="415"/>
      <c r="R54" s="415"/>
      <c r="S54" s="422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410"/>
      <c r="C55" s="421"/>
      <c r="D55" s="415"/>
      <c r="E55" s="415"/>
      <c r="F55" s="415"/>
      <c r="G55" s="422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410"/>
      <c r="O55" s="421"/>
      <c r="P55" s="415"/>
      <c r="Q55" s="415"/>
      <c r="R55" s="415"/>
      <c r="S55" s="422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410"/>
      <c r="C56" s="421"/>
      <c r="D56" s="415"/>
      <c r="E56" s="415"/>
      <c r="F56" s="415"/>
      <c r="G56" s="422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410"/>
      <c r="O56" s="421"/>
      <c r="P56" s="415"/>
      <c r="Q56" s="415"/>
      <c r="R56" s="415"/>
      <c r="S56" s="422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410"/>
      <c r="C57" s="421"/>
      <c r="D57" s="415"/>
      <c r="E57" s="415"/>
      <c r="F57" s="415"/>
      <c r="G57" s="422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410"/>
      <c r="O57" s="421"/>
      <c r="P57" s="415"/>
      <c r="Q57" s="415"/>
      <c r="R57" s="415"/>
      <c r="S57" s="422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410"/>
      <c r="C58" s="421"/>
      <c r="D58" s="415"/>
      <c r="E58" s="415"/>
      <c r="F58" s="415"/>
      <c r="G58" s="422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410"/>
      <c r="O58" s="421"/>
      <c r="P58" s="415"/>
      <c r="Q58" s="415"/>
      <c r="R58" s="415"/>
      <c r="S58" s="422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414"/>
      <c r="C59" s="429"/>
      <c r="D59" s="430"/>
      <c r="E59" s="430"/>
      <c r="F59" s="430"/>
      <c r="G59" s="431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414"/>
      <c r="O59" s="423"/>
      <c r="P59" s="424"/>
      <c r="Q59" s="424"/>
      <c r="R59" s="424"/>
      <c r="S59" s="425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432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437" t="s">
        <v>218</v>
      </c>
      <c r="I60" s="438"/>
      <c r="J60" s="439"/>
      <c r="K60" s="81" t="s">
        <v>219</v>
      </c>
      <c r="L60" s="57">
        <f>K67^2/K68</f>
        <v>1.1707317073170729</v>
      </c>
      <c r="N60" s="419" t="s">
        <v>191</v>
      </c>
      <c r="O60" s="1" t="s">
        <v>220</v>
      </c>
    </row>
    <row r="61" spans="2:24" ht="16.149999999999999" customHeight="1" thickBot="1">
      <c r="B61" s="433"/>
      <c r="C61" s="80" t="s">
        <v>221</v>
      </c>
      <c r="D61" s="82">
        <f>-I50+D60*H50</f>
        <v>23.499999999999979</v>
      </c>
      <c r="E61" s="77"/>
      <c r="F61" s="61"/>
      <c r="G61" s="62"/>
      <c r="H61" s="440"/>
      <c r="I61" s="441"/>
      <c r="J61" s="442"/>
      <c r="K61" s="80"/>
      <c r="L61" s="62"/>
      <c r="N61" s="419"/>
    </row>
    <row r="62" spans="2:24" ht="27.6" customHeight="1">
      <c r="B62" s="433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419"/>
    </row>
    <row r="63" spans="2:24" ht="27.6" customHeight="1">
      <c r="B63" s="433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419"/>
    </row>
    <row r="64" spans="2:24">
      <c r="B64" s="434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419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435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415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435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415"/>
    </row>
    <row r="67" spans="2:19">
      <c r="B67" s="435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415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25" thickBot="1">
      <c r="B68" s="436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415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599999999999994" customHeight="1">
      <c r="B69" s="55" t="s">
        <v>199</v>
      </c>
      <c r="C69" s="419" t="s">
        <v>237</v>
      </c>
      <c r="D69" s="419"/>
      <c r="E69" s="419"/>
      <c r="F69" s="419"/>
      <c r="G69" s="419"/>
      <c r="N69" s="2" t="s">
        <v>199</v>
      </c>
      <c r="O69" s="415" t="s">
        <v>238</v>
      </c>
      <c r="P69" s="415"/>
      <c r="Q69" s="415"/>
      <c r="R69" s="415"/>
      <c r="S69" s="415"/>
    </row>
    <row r="70" spans="2:19">
      <c r="B70" s="415" t="s">
        <v>201</v>
      </c>
      <c r="C70" s="65"/>
      <c r="D70" s="64"/>
      <c r="E70" s="64"/>
      <c r="F70" s="64"/>
      <c r="G70" s="93"/>
      <c r="N70" s="415" t="s">
        <v>201</v>
      </c>
    </row>
    <row r="71" spans="2:19">
      <c r="B71" s="415"/>
      <c r="C71" s="66"/>
      <c r="G71" s="94"/>
      <c r="N71" s="415"/>
    </row>
    <row r="72" spans="2:19">
      <c r="B72" s="415"/>
      <c r="C72" s="67"/>
      <c r="D72" s="68"/>
      <c r="E72" s="68"/>
      <c r="F72" s="68"/>
      <c r="G72" s="95"/>
      <c r="N72" s="415"/>
    </row>
    <row r="73" spans="2:19" ht="15" thickBot="1"/>
    <row r="74" spans="2:19" ht="15" thickBot="1">
      <c r="B74" s="84" t="s">
        <v>239</v>
      </c>
    </row>
    <row r="76" spans="2:19" ht="28.5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409" t="s">
        <v>246</v>
      </c>
      <c r="C88" s="407"/>
      <c r="D88" s="420"/>
      <c r="E88" s="420"/>
      <c r="F88" s="420"/>
      <c r="G88" s="408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410"/>
      <c r="C89" s="421"/>
      <c r="D89" s="415"/>
      <c r="E89" s="415"/>
      <c r="F89" s="415"/>
      <c r="G89" s="422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410"/>
      <c r="C90" s="421"/>
      <c r="D90" s="415"/>
      <c r="E90" s="415"/>
      <c r="F90" s="415"/>
      <c r="G90" s="422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410"/>
      <c r="C91" s="421"/>
      <c r="D91" s="415"/>
      <c r="E91" s="415"/>
      <c r="F91" s="415"/>
      <c r="G91" s="422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410"/>
      <c r="C92" s="421"/>
      <c r="D92" s="415"/>
      <c r="E92" s="415"/>
      <c r="F92" s="415"/>
      <c r="G92" s="422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410"/>
      <c r="C93" s="421"/>
      <c r="D93" s="415"/>
      <c r="E93" s="415"/>
      <c r="F93" s="415"/>
      <c r="G93" s="422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410"/>
      <c r="C94" s="421"/>
      <c r="D94" s="415"/>
      <c r="E94" s="415"/>
      <c r="F94" s="415"/>
      <c r="G94" s="422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410"/>
      <c r="C95" s="421"/>
      <c r="D95" s="415"/>
      <c r="E95" s="415"/>
      <c r="F95" s="415"/>
      <c r="G95" s="422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410"/>
      <c r="C96" s="421"/>
      <c r="D96" s="415"/>
      <c r="E96" s="415"/>
      <c r="F96" s="415"/>
      <c r="G96" s="422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414"/>
      <c r="C97" s="423"/>
      <c r="D97" s="424"/>
      <c r="E97" s="424"/>
      <c r="F97" s="424"/>
      <c r="G97" s="425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8.5">
      <c r="B98" s="419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8.5">
      <c r="B99" s="415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415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" customHeight="1">
      <c r="B101" s="2" t="s">
        <v>199</v>
      </c>
      <c r="C101" s="415" t="s">
        <v>249</v>
      </c>
      <c r="D101" s="415"/>
      <c r="E101" s="415"/>
      <c r="F101" s="415"/>
      <c r="G101" s="415"/>
    </row>
    <row r="102" spans="2:10">
      <c r="B102" s="415" t="s">
        <v>201</v>
      </c>
    </row>
    <row r="103" spans="2:10">
      <c r="B103" s="415"/>
    </row>
    <row r="104" spans="2:10">
      <c r="B104" s="415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/>
    <hyperlink ref="O28" r:id="rId2" display="https://www.youtube.com/watch?v=-05AlwGI7Jo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B14:V68"/>
  <sheetViews>
    <sheetView zoomScale="70" zoomScaleNormal="70" workbookViewId="0">
      <selection activeCell="H60" sqref="H60"/>
    </sheetView>
  </sheetViews>
  <sheetFormatPr defaultColWidth="8.875" defaultRowHeight="14.25"/>
  <cols>
    <col min="1" max="1" width="4.75" style="14" customWidth="1"/>
    <col min="2" max="2" width="20" style="14" customWidth="1"/>
    <col min="3" max="3" width="10.25" style="14" customWidth="1"/>
    <col min="4" max="6" width="9" style="14" bestFit="1" customWidth="1"/>
    <col min="7" max="7" width="13" style="14" bestFit="1" customWidth="1"/>
    <col min="8" max="8" width="10.625" style="14" bestFit="1" customWidth="1"/>
    <col min="9" max="9" width="9" style="14" bestFit="1" customWidth="1"/>
    <col min="10" max="10" width="8.875" style="14"/>
    <col min="11" max="11" width="17.375" style="14" customWidth="1"/>
    <col min="12" max="12" width="10.125" style="14" bestFit="1" customWidth="1"/>
    <col min="13" max="13" width="9" style="14" bestFit="1" customWidth="1"/>
    <col min="14" max="14" width="11.625" style="14" customWidth="1"/>
    <col min="15" max="15" width="13.25" style="14" customWidth="1"/>
    <col min="16" max="16" width="9" style="14" bestFit="1" customWidth="1"/>
    <col min="17" max="17" width="14.875" style="14" customWidth="1"/>
    <col min="18" max="18" width="9" style="14" bestFit="1" customWidth="1"/>
    <col min="19" max="19" width="8.875" style="14"/>
    <col min="20" max="20" width="13" style="14" bestFit="1" customWidth="1"/>
    <col min="21" max="21" width="12.75" style="14" bestFit="1" customWidth="1"/>
    <col min="22" max="22" width="11.25" style="14" bestFit="1" customWidth="1"/>
    <col min="23" max="16384" width="8.87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446" t="s">
        <v>252</v>
      </c>
      <c r="U15" s="447"/>
      <c r="V15" s="448"/>
    </row>
    <row r="16" spans="2:22" ht="15.7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49" t="s">
        <v>252</v>
      </c>
      <c r="U23" s="450"/>
      <c r="V23" s="451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.75" thickBot="1">
      <c r="B28" s="22" t="s">
        <v>283</v>
      </c>
      <c r="C28" s="19">
        <f>SUM(C17:C27)</f>
        <v>3469</v>
      </c>
      <c r="D28" s="355">
        <f>G28/($C$28*9.81)</f>
        <v>55.85471317382531</v>
      </c>
      <c r="E28" s="355">
        <f>H28/($C$28*9.81)</f>
        <v>0</v>
      </c>
      <c r="F28" s="355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2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52" t="s">
        <v>712</v>
      </c>
      <c r="L33" s="453"/>
      <c r="M33" s="453"/>
      <c r="N33" s="453"/>
      <c r="O33" s="453"/>
      <c r="P33" s="453"/>
      <c r="Q33" s="453"/>
      <c r="R33" s="453"/>
      <c r="S33" s="454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30</v>
      </c>
      <c r="M37" s="14" t="s">
        <v>196</v>
      </c>
      <c r="N37" s="14">
        <f>L37/100</f>
        <v>0.3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2.149556233402473E-4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324.58299124377345</v>
      </c>
      <c r="M42" s="181" t="s">
        <v>309</v>
      </c>
      <c r="N42" s="258">
        <f>N41*N39</f>
        <v>0.32458299124377343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52" t="s">
        <v>713</v>
      </c>
      <c r="L44" s="453"/>
      <c r="M44" s="453"/>
      <c r="N44" s="453"/>
      <c r="O44" s="453"/>
      <c r="P44" s="453"/>
      <c r="Q44" s="453"/>
      <c r="R44" s="453"/>
      <c r="S44" s="454"/>
    </row>
    <row r="45" spans="2:19" ht="15" thickBot="1">
      <c r="B45" s="443" t="s">
        <v>311</v>
      </c>
      <c r="C45" s="444"/>
      <c r="D45" s="444"/>
      <c r="E45" s="444"/>
      <c r="F45" s="445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2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2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T281"/>
  <sheetViews>
    <sheetView tabSelected="1" topLeftCell="A265" zoomScale="85" zoomScaleNormal="85" zoomScaleSheetLayoutView="100" workbookViewId="0">
      <selection activeCell="E277" sqref="E277"/>
    </sheetView>
  </sheetViews>
  <sheetFormatPr defaultRowHeight="14.25" outlineLevelRow="1"/>
  <cols>
    <col min="1" max="1" width="2" customWidth="1"/>
    <col min="2" max="9" width="9.625" customWidth="1"/>
    <col min="10" max="10" width="12.125" customWidth="1"/>
    <col min="11" max="11" width="10.875" customWidth="1"/>
    <col min="12" max="20" width="8.375" customWidth="1"/>
    <col min="21" max="21" width="8.75" customWidth="1"/>
  </cols>
  <sheetData>
    <row r="2" spans="2:9" ht="20.45" customHeight="1">
      <c r="E2" s="354" t="s">
        <v>714</v>
      </c>
      <c r="F2" s="351"/>
    </row>
    <row r="3" spans="2:9">
      <c r="E3" s="455" t="s">
        <v>720</v>
      </c>
      <c r="F3" s="455"/>
      <c r="G3" s="455"/>
      <c r="H3" s="455"/>
    </row>
    <row r="4" spans="2:9">
      <c r="E4" s="455"/>
      <c r="F4" s="455"/>
      <c r="G4" s="455"/>
      <c r="H4" s="455"/>
    </row>
    <row r="6" spans="2:9">
      <c r="B6" t="s">
        <v>705</v>
      </c>
      <c r="G6" t="s">
        <v>684</v>
      </c>
      <c r="I6" s="352">
        <v>45923</v>
      </c>
    </row>
    <row r="7" spans="2:9" hidden="1" outlineLevel="1">
      <c r="B7" t="s">
        <v>685</v>
      </c>
    </row>
    <row r="8" spans="2:9" hidden="1" outlineLevel="1">
      <c r="B8" s="352">
        <v>45902</v>
      </c>
      <c r="C8" t="s">
        <v>686</v>
      </c>
    </row>
    <row r="9" spans="2:9" hidden="1" outlineLevel="1"/>
    <row r="10" spans="2:9" hidden="1" outlineLevel="1">
      <c r="B10" t="s">
        <v>409</v>
      </c>
    </row>
    <row r="11" spans="2:9" hidden="1" outlineLevel="1">
      <c r="B11" t="s">
        <v>748</v>
      </c>
    </row>
    <row r="12" spans="2:9" hidden="1" outlineLevel="1">
      <c r="B12" t="s">
        <v>702</v>
      </c>
    </row>
    <row r="13" spans="2:9" hidden="1" outlineLevel="1">
      <c r="B13" s="364" t="s">
        <v>701</v>
      </c>
    </row>
    <row r="14" spans="2:9" hidden="1" outlineLevel="1"/>
    <row r="15" spans="2:9" hidden="1" outlineLevel="1">
      <c r="B15" t="s">
        <v>703</v>
      </c>
    </row>
    <row r="16" spans="2:9" collapsed="1"/>
    <row r="17" spans="2:13" ht="15">
      <c r="B17" s="356" t="s">
        <v>735</v>
      </c>
      <c r="C17" s="186"/>
      <c r="D17" s="186"/>
    </row>
    <row r="18" spans="2:13" ht="15">
      <c r="B18" s="371" t="s">
        <v>843</v>
      </c>
      <c r="C18" t="s">
        <v>844</v>
      </c>
      <c r="F18" s="306" t="s">
        <v>917</v>
      </c>
      <c r="G18" t="s">
        <v>919</v>
      </c>
    </row>
    <row r="19" spans="2:13" ht="15">
      <c r="B19" s="371" t="s">
        <v>845</v>
      </c>
      <c r="C19" t="s">
        <v>846</v>
      </c>
      <c r="F19" s="306" t="s">
        <v>918</v>
      </c>
    </row>
    <row r="20" spans="2:13">
      <c r="B20" t="s">
        <v>850</v>
      </c>
      <c r="D20">
        <v>191</v>
      </c>
      <c r="E20" t="s">
        <v>848</v>
      </c>
      <c r="F20" t="s">
        <v>850</v>
      </c>
      <c r="H20">
        <v>198</v>
      </c>
      <c r="I20" t="s">
        <v>848</v>
      </c>
    </row>
    <row r="21" spans="2:13">
      <c r="B21" t="s">
        <v>851</v>
      </c>
      <c r="D21">
        <v>0.2</v>
      </c>
      <c r="E21" t="s">
        <v>227</v>
      </c>
      <c r="F21" t="s">
        <v>851</v>
      </c>
      <c r="H21">
        <v>0.25</v>
      </c>
      <c r="I21" t="s">
        <v>227</v>
      </c>
      <c r="L21" t="s">
        <v>797</v>
      </c>
      <c r="M21" t="s">
        <v>801</v>
      </c>
    </row>
    <row r="22" spans="2:13">
      <c r="B22" t="s">
        <v>849</v>
      </c>
      <c r="D22">
        <f>D20/D21</f>
        <v>955</v>
      </c>
      <c r="E22" t="s">
        <v>294</v>
      </c>
      <c r="F22" t="s">
        <v>849</v>
      </c>
      <c r="H22">
        <f>H20/H21</f>
        <v>792</v>
      </c>
      <c r="I22" t="s">
        <v>294</v>
      </c>
      <c r="L22" t="s">
        <v>798</v>
      </c>
      <c r="M22" t="s">
        <v>800</v>
      </c>
    </row>
    <row r="23" spans="2:13">
      <c r="H23" t="s">
        <v>723</v>
      </c>
      <c r="J23" t="s">
        <v>724</v>
      </c>
      <c r="L23" t="s">
        <v>799</v>
      </c>
      <c r="M23" t="s">
        <v>802</v>
      </c>
    </row>
    <row r="24" spans="2:13" ht="15">
      <c r="B24" s="374" t="s">
        <v>920</v>
      </c>
      <c r="G24" t="s">
        <v>806</v>
      </c>
      <c r="H24">
        <v>219</v>
      </c>
      <c r="I24" t="s">
        <v>721</v>
      </c>
      <c r="J24" s="375">
        <v>1.4999999999999999E-2</v>
      </c>
    </row>
    <row r="25" spans="2:13">
      <c r="B25" t="s">
        <v>715</v>
      </c>
      <c r="D25">
        <v>955</v>
      </c>
      <c r="E25" t="s">
        <v>314</v>
      </c>
      <c r="F25" s="357">
        <v>0.55000000000000004</v>
      </c>
      <c r="G25" s="382" t="s">
        <v>807</v>
      </c>
      <c r="H25" s="389">
        <f>H24*0.1</f>
        <v>21.900000000000002</v>
      </c>
      <c r="I25" s="382" t="s">
        <v>746</v>
      </c>
      <c r="J25" s="384">
        <v>1.4999999999999999E-2</v>
      </c>
    </row>
    <row r="26" spans="2:13">
      <c r="B26" s="382" t="s">
        <v>716</v>
      </c>
      <c r="C26" s="382"/>
      <c r="D26" s="382">
        <v>1090</v>
      </c>
      <c r="E26" s="382" t="s">
        <v>314</v>
      </c>
      <c r="F26" s="383">
        <f>1-F25</f>
        <v>0.44999999999999996</v>
      </c>
      <c r="G26" s="386" t="s">
        <v>897</v>
      </c>
      <c r="H26" s="186"/>
      <c r="I26" s="382" t="s">
        <v>898</v>
      </c>
      <c r="J26" s="384">
        <v>1.4999999999999999E-2</v>
      </c>
    </row>
    <row r="27" spans="2:13" ht="15">
      <c r="B27" t="s">
        <v>813</v>
      </c>
      <c r="D27" s="190">
        <f>(H24/J24)/1000</f>
        <v>14.6</v>
      </c>
      <c r="E27" t="s">
        <v>740</v>
      </c>
      <c r="G27" t="s">
        <v>808</v>
      </c>
      <c r="H27" s="389">
        <f>H28*0.8</f>
        <v>34.03921568627451</v>
      </c>
      <c r="I27" t="s">
        <v>722</v>
      </c>
      <c r="J27" s="376">
        <v>1.9E-2</v>
      </c>
    </row>
    <row r="28" spans="2:13" ht="15">
      <c r="B28" s="186" t="s">
        <v>814</v>
      </c>
      <c r="C28" s="186"/>
      <c r="D28" s="277">
        <f>(H28/J28)/1000</f>
        <v>1.5196078431372551</v>
      </c>
      <c r="E28" s="186" t="s">
        <v>740</v>
      </c>
      <c r="G28" t="s">
        <v>809</v>
      </c>
      <c r="H28">
        <f>434*(0.1/1.02)</f>
        <v>42.549019607843135</v>
      </c>
      <c r="I28" t="s">
        <v>733</v>
      </c>
      <c r="J28" s="376">
        <f>2.8/100</f>
        <v>2.7999999999999997E-2</v>
      </c>
    </row>
    <row r="29" spans="2:13" ht="15">
      <c r="B29" t="s">
        <v>815</v>
      </c>
      <c r="D29" s="372">
        <v>0</v>
      </c>
      <c r="E29" t="s">
        <v>740</v>
      </c>
      <c r="G29" t="s">
        <v>810</v>
      </c>
      <c r="H29">
        <f>1239*(0.1/1.02)</f>
        <v>121.47058823529412</v>
      </c>
      <c r="I29" t="s">
        <v>734</v>
      </c>
      <c r="J29" s="376">
        <f>J28</f>
        <v>2.7999999999999997E-2</v>
      </c>
    </row>
    <row r="30" spans="2:13" ht="15">
      <c r="B30" t="s">
        <v>816</v>
      </c>
      <c r="D30" s="190">
        <f>(H29/J29)/1000</f>
        <v>4.3382352941176476</v>
      </c>
      <c r="E30" t="s">
        <v>740</v>
      </c>
      <c r="G30" t="s">
        <v>841</v>
      </c>
      <c r="H30" s="389">
        <f>H29*0.8</f>
        <v>97.176470588235304</v>
      </c>
      <c r="I30" t="s">
        <v>842</v>
      </c>
      <c r="J30" s="376">
        <f>J27</f>
        <v>1.9E-2</v>
      </c>
    </row>
    <row r="31" spans="2:13">
      <c r="D31" s="190"/>
      <c r="G31" t="s">
        <v>905</v>
      </c>
      <c r="H31" s="389">
        <f>819*(0.1/1.02)</f>
        <v>80.294117647058826</v>
      </c>
      <c r="J31" s="376"/>
    </row>
    <row r="33" spans="2:10">
      <c r="B33" s="186" t="s">
        <v>719</v>
      </c>
      <c r="C33" s="186"/>
      <c r="D33" s="186"/>
      <c r="G33" s="186" t="s">
        <v>725</v>
      </c>
      <c r="H33" s="186"/>
    </row>
    <row r="34" spans="2:10">
      <c r="B34" t="s">
        <v>717</v>
      </c>
      <c r="D34">
        <f>D25*(F25)+D26*(F26)</f>
        <v>1015.75</v>
      </c>
      <c r="E34" t="s">
        <v>314</v>
      </c>
      <c r="G34" t="s">
        <v>728</v>
      </c>
      <c r="H34" s="281">
        <f>H35/(H36+H35)</f>
        <v>0.8771929824561403</v>
      </c>
    </row>
    <row r="35" spans="2:10">
      <c r="B35" t="s">
        <v>817</v>
      </c>
      <c r="D35">
        <f>D27*F25+D28*F26</f>
        <v>8.7138235294117656</v>
      </c>
      <c r="E35" t="s">
        <v>740</v>
      </c>
      <c r="G35" t="s">
        <v>726</v>
      </c>
      <c r="H35" s="281">
        <v>100</v>
      </c>
      <c r="I35" t="s">
        <v>729</v>
      </c>
    </row>
    <row r="36" spans="2:10">
      <c r="B36" t="s">
        <v>803</v>
      </c>
      <c r="D36">
        <f>IF(J27=J24,C44,IF(J27&lt;J24,B44,D44))</f>
        <v>130.70735294117648</v>
      </c>
      <c r="E36" t="s">
        <v>723</v>
      </c>
      <c r="G36" t="s">
        <v>727</v>
      </c>
      <c r="H36" s="281">
        <v>14</v>
      </c>
      <c r="I36" t="s">
        <v>729</v>
      </c>
    </row>
    <row r="37" spans="2:10">
      <c r="B37" t="s">
        <v>804</v>
      </c>
      <c r="D37">
        <f>H24*F25+H28*F26</f>
        <v>139.59705882352941</v>
      </c>
      <c r="E37" t="s">
        <v>723</v>
      </c>
      <c r="G37" s="263" t="s">
        <v>730</v>
      </c>
      <c r="H37" s="358">
        <v>1000</v>
      </c>
      <c r="I37" s="263" t="s">
        <v>729</v>
      </c>
      <c r="J37" s="263"/>
    </row>
    <row r="38" spans="2:10" ht="15">
      <c r="B38" t="s">
        <v>819</v>
      </c>
      <c r="D38">
        <f>D39*0.8</f>
        <v>53.365411764705883</v>
      </c>
      <c r="E38" t="s">
        <v>820</v>
      </c>
      <c r="H38" s="359">
        <f>H37*H34</f>
        <v>877.19298245614027</v>
      </c>
      <c r="I38" t="s">
        <v>731</v>
      </c>
    </row>
    <row r="39" spans="2:10" ht="15">
      <c r="B39" t="s">
        <v>805</v>
      </c>
      <c r="D39">
        <f>IF(J27=J24,C45,IF(J27&lt;J24,B45,D45))</f>
        <v>66.70676470588235</v>
      </c>
      <c r="E39" t="s">
        <v>723</v>
      </c>
      <c r="H39" s="359">
        <f>H37-H38</f>
        <v>122.80701754385973</v>
      </c>
      <c r="I39" t="s">
        <v>732</v>
      </c>
    </row>
    <row r="40" spans="2:10" ht="15">
      <c r="B40" t="s">
        <v>899</v>
      </c>
      <c r="D40">
        <f>H26*F25+H31*F26</f>
        <v>36.132352941176471</v>
      </c>
      <c r="E40" t="s">
        <v>723</v>
      </c>
      <c r="H40" s="359"/>
    </row>
    <row r="41" spans="2:10" ht="15">
      <c r="H41" s="359"/>
    </row>
    <row r="43" spans="2:10">
      <c r="B43" t="s">
        <v>745</v>
      </c>
    </row>
    <row r="44" spans="2:10">
      <c r="B44">
        <f>(F25*(D27/D28)+(1-F25))*H27</f>
        <v>195.18964705882348</v>
      </c>
      <c r="C44">
        <f>F25*H24+F26*H27</f>
        <v>135.76764705882354</v>
      </c>
      <c r="D44">
        <f>(F25+F26*(D28/D27))*H24</f>
        <v>130.70735294117648</v>
      </c>
      <c r="E44" t="s">
        <v>811</v>
      </c>
    </row>
    <row r="45" spans="2:10">
      <c r="B45">
        <f>(F25*(D29/D30)+(1-F25))*H29</f>
        <v>54.661764705882348</v>
      </c>
      <c r="C45">
        <f>F25*H25+F26*H29</f>
        <v>66.70676470588235</v>
      </c>
      <c r="D45">
        <f>C45</f>
        <v>66.70676470588235</v>
      </c>
      <c r="E45" t="s">
        <v>812</v>
      </c>
    </row>
    <row r="46" spans="2:10">
      <c r="B46" s="361">
        <f>J27</f>
        <v>1.9E-2</v>
      </c>
      <c r="C46" s="363">
        <f>F25*J24+F26*J27</f>
        <v>1.6799999999999999E-2</v>
      </c>
      <c r="D46" s="361">
        <f>J24</f>
        <v>1.4999999999999999E-2</v>
      </c>
    </row>
    <row r="47" spans="2:10">
      <c r="B47" t="s">
        <v>741</v>
      </c>
      <c r="C47" t="s">
        <v>742</v>
      </c>
      <c r="D47" t="s">
        <v>743</v>
      </c>
    </row>
    <row r="48" spans="2:10">
      <c r="B48" t="s">
        <v>254</v>
      </c>
      <c r="C48" t="s">
        <v>840</v>
      </c>
      <c r="D48" t="s">
        <v>255</v>
      </c>
      <c r="E48" t="s">
        <v>839</v>
      </c>
    </row>
    <row r="49" spans="2:15">
      <c r="B49" s="362">
        <v>0</v>
      </c>
      <c r="C49" s="360">
        <v>0</v>
      </c>
      <c r="D49" s="281">
        <v>0</v>
      </c>
      <c r="E49" s="281">
        <v>0</v>
      </c>
      <c r="G49" t="s">
        <v>736</v>
      </c>
    </row>
    <row r="50" spans="2:15">
      <c r="B50" s="362">
        <f>J24</f>
        <v>1.4999999999999999E-2</v>
      </c>
      <c r="C50" s="360">
        <f>J25</f>
        <v>1.4999999999999999E-2</v>
      </c>
      <c r="D50" s="281">
        <f>H24</f>
        <v>219</v>
      </c>
      <c r="E50" s="281">
        <f>D50*0.1</f>
        <v>21.900000000000002</v>
      </c>
    </row>
    <row r="51" spans="2:15">
      <c r="B51" s="362">
        <v>0</v>
      </c>
      <c r="C51" s="360">
        <v>0</v>
      </c>
      <c r="D51" s="281">
        <v>0</v>
      </c>
      <c r="E51" s="281">
        <v>0</v>
      </c>
      <c r="G51" t="s">
        <v>737</v>
      </c>
    </row>
    <row r="52" spans="2:15">
      <c r="B52" s="362">
        <f>J27</f>
        <v>1.9E-2</v>
      </c>
      <c r="C52" s="360">
        <f>J30</f>
        <v>1.9E-2</v>
      </c>
      <c r="D52" s="281">
        <f>H27</f>
        <v>34.03921568627451</v>
      </c>
      <c r="E52" s="281">
        <f>E53*0.8</f>
        <v>97.176470588235304</v>
      </c>
      <c r="G52" t="s">
        <v>738</v>
      </c>
    </row>
    <row r="53" spans="2:15">
      <c r="B53" s="362">
        <f>J28</f>
        <v>2.7999999999999997E-2</v>
      </c>
      <c r="C53" s="360">
        <f>J29</f>
        <v>2.7999999999999997E-2</v>
      </c>
      <c r="D53" s="281">
        <f>H28</f>
        <v>42.549019607843135</v>
      </c>
      <c r="E53" s="281">
        <f>H29</f>
        <v>121.47058823529412</v>
      </c>
      <c r="G53" t="s">
        <v>739</v>
      </c>
      <c r="M53" t="s">
        <v>836</v>
      </c>
      <c r="N53" t="s">
        <v>834</v>
      </c>
      <c r="O53" t="s">
        <v>837</v>
      </c>
    </row>
    <row r="54" spans="2:15">
      <c r="B54" s="362">
        <v>0</v>
      </c>
      <c r="C54" s="360">
        <v>0</v>
      </c>
      <c r="D54" s="281">
        <v>0</v>
      </c>
      <c r="E54" s="281">
        <v>0</v>
      </c>
      <c r="G54" t="s">
        <v>744</v>
      </c>
      <c r="M54" t="s">
        <v>833</v>
      </c>
      <c r="N54" t="s">
        <v>834</v>
      </c>
      <c r="O54" t="s">
        <v>835</v>
      </c>
    </row>
    <row r="55" spans="2:15">
      <c r="B55" s="362">
        <f>IF(J27=J24,C46,IF(J27&lt;J24,B46,D46))</f>
        <v>1.4999999999999999E-2</v>
      </c>
      <c r="C55" s="360">
        <f>F25*J25+F26*J30</f>
        <v>1.6799999999999999E-2</v>
      </c>
      <c r="D55" s="281">
        <f>D36</f>
        <v>130.70735294117648</v>
      </c>
      <c r="E55" s="281">
        <f>D38</f>
        <v>53.365411764705883</v>
      </c>
    </row>
    <row r="58" spans="2:15">
      <c r="B58" s="186" t="s">
        <v>847</v>
      </c>
      <c r="C58" s="186"/>
      <c r="D58" s="186"/>
    </row>
    <row r="59" spans="2:15">
      <c r="B59">
        <f>D36</f>
        <v>130.70735294117648</v>
      </c>
      <c r="C59" t="s">
        <v>803</v>
      </c>
    </row>
    <row r="60" spans="2:15">
      <c r="B60">
        <f>D38</f>
        <v>53.365411764705883</v>
      </c>
      <c r="C60" t="s">
        <v>819</v>
      </c>
    </row>
    <row r="61" spans="2:15">
      <c r="B61">
        <f>D39</f>
        <v>66.70676470588235</v>
      </c>
      <c r="C61" t="s">
        <v>818</v>
      </c>
    </row>
    <row r="70" spans="2:4" ht="15.75">
      <c r="B70" s="398" t="s">
        <v>706</v>
      </c>
      <c r="C70" s="186"/>
      <c r="D70" s="186"/>
    </row>
    <row r="71" spans="2:4">
      <c r="B71" t="s">
        <v>782</v>
      </c>
    </row>
    <row r="72" spans="2:4" ht="15">
      <c r="D72" s="366"/>
    </row>
    <row r="73" spans="2:4" ht="15">
      <c r="D73" s="366"/>
    </row>
    <row r="74" spans="2:4" ht="15">
      <c r="D74" s="366"/>
    </row>
    <row r="82" spans="2:12">
      <c r="B82" s="379" t="s">
        <v>858</v>
      </c>
      <c r="C82" s="186"/>
      <c r="D82" s="186"/>
      <c r="E82" s="186"/>
      <c r="G82" s="379" t="s">
        <v>942</v>
      </c>
      <c r="H82" s="186"/>
      <c r="I82" s="186"/>
      <c r="J82" s="186"/>
    </row>
    <row r="83" spans="2:12">
      <c r="B83" t="s">
        <v>765</v>
      </c>
      <c r="D83">
        <v>3.5</v>
      </c>
      <c r="E83" t="s">
        <v>749</v>
      </c>
      <c r="G83" t="s">
        <v>205</v>
      </c>
      <c r="I83">
        <v>1620</v>
      </c>
      <c r="J83" t="s">
        <v>227</v>
      </c>
    </row>
    <row r="84" spans="2:12">
      <c r="D84" s="281">
        <f>D83*25.4</f>
        <v>88.899999999999991</v>
      </c>
      <c r="E84" t="s">
        <v>227</v>
      </c>
      <c r="G84" t="s">
        <v>226</v>
      </c>
      <c r="I84" s="190">
        <v>1.4075101552646612</v>
      </c>
      <c r="J84" t="s">
        <v>227</v>
      </c>
    </row>
    <row r="85" spans="2:12">
      <c r="B85" t="s">
        <v>859</v>
      </c>
      <c r="D85" t="s">
        <v>753</v>
      </c>
      <c r="G85" t="s">
        <v>707</v>
      </c>
      <c r="I85" s="190">
        <f>I86+2*I84</f>
        <v>91.715020310529326</v>
      </c>
      <c r="J85" t="s">
        <v>227</v>
      </c>
    </row>
    <row r="86" spans="2:12">
      <c r="B86" t="s">
        <v>772</v>
      </c>
      <c r="D86">
        <v>20</v>
      </c>
      <c r="E86" t="s">
        <v>769</v>
      </c>
      <c r="G86" t="s">
        <v>708</v>
      </c>
      <c r="I86" s="190">
        <v>88.9</v>
      </c>
      <c r="J86" t="s">
        <v>227</v>
      </c>
    </row>
    <row r="87" spans="2:12">
      <c r="B87" t="s">
        <v>768</v>
      </c>
      <c r="D87">
        <v>100</v>
      </c>
      <c r="E87" t="s">
        <v>769</v>
      </c>
      <c r="G87" t="s">
        <v>709</v>
      </c>
      <c r="I87" s="190">
        <f>(I85+I86)*0.5</f>
        <v>90.307510155264666</v>
      </c>
      <c r="J87" t="s">
        <v>227</v>
      </c>
    </row>
    <row r="88" spans="2:12">
      <c r="D88">
        <f>CONVERT(D87,"C","F")</f>
        <v>212</v>
      </c>
      <c r="E88" t="s">
        <v>770</v>
      </c>
      <c r="G88" t="s">
        <v>323</v>
      </c>
      <c r="I88" s="190">
        <f>1620/2</f>
        <v>810</v>
      </c>
      <c r="J88" t="s">
        <v>227</v>
      </c>
      <c r="L88" t="s">
        <v>779</v>
      </c>
    </row>
    <row r="89" spans="2:12">
      <c r="B89" t="s">
        <v>766</v>
      </c>
      <c r="D89">
        <f>VLOOKUP(D85,B256:C262,2,)</f>
        <v>23.2</v>
      </c>
      <c r="E89" t="s">
        <v>771</v>
      </c>
      <c r="G89" t="s">
        <v>747</v>
      </c>
      <c r="I89" s="190">
        <f>((PI()*I85^2)/4)-((PI()*I86^2)/4)</f>
        <v>399.32387637752981</v>
      </c>
      <c r="J89" t="s">
        <v>872</v>
      </c>
      <c r="L89" t="s">
        <v>780</v>
      </c>
    </row>
    <row r="90" spans="2:12" ht="15">
      <c r="B90" t="s">
        <v>767</v>
      </c>
      <c r="D90">
        <f>D84+((D87-D86)*(D89/1000))</f>
        <v>90.755999999999986</v>
      </c>
      <c r="E90" t="s">
        <v>227</v>
      </c>
      <c r="G90" t="s">
        <v>873</v>
      </c>
      <c r="I90" s="190">
        <f>(PI()/(32*I85))*((I85^4)-I86^4)</f>
        <v>8879.2859383022005</v>
      </c>
      <c r="J90" t="s">
        <v>871</v>
      </c>
      <c r="L90" t="s">
        <v>781</v>
      </c>
    </row>
    <row r="92" spans="2:12">
      <c r="B92" t="s">
        <v>946</v>
      </c>
      <c r="D92" s="281">
        <f>I95</f>
        <v>85.788892562927941</v>
      </c>
      <c r="E92" t="s">
        <v>227</v>
      </c>
      <c r="G92" s="186" t="s">
        <v>943</v>
      </c>
      <c r="H92" s="186"/>
      <c r="I92" s="186"/>
      <c r="J92" s="186"/>
    </row>
    <row r="93" spans="2:12">
      <c r="B93" t="s">
        <v>947</v>
      </c>
      <c r="D93" s="281">
        <f>D92+((D86-D87)*D89/1000)</f>
        <v>83.932892562927947</v>
      </c>
      <c r="E93" t="s">
        <v>227</v>
      </c>
      <c r="G93" s="385" t="s">
        <v>226</v>
      </c>
      <c r="H93" s="382"/>
      <c r="I93" s="397">
        <f>0.5*I86-(0.125*(I86^4)-0.0625*(I85^4))^(1/4)</f>
        <v>1.5555537185360322</v>
      </c>
      <c r="J93" s="382" t="s">
        <v>227</v>
      </c>
    </row>
    <row r="94" spans="2:12">
      <c r="B94" t="s">
        <v>948</v>
      </c>
      <c r="D94" s="281">
        <f>(D92-D93)/2</f>
        <v>0.92799999999999727</v>
      </c>
      <c r="E94" t="s">
        <v>227</v>
      </c>
      <c r="G94" s="385" t="s">
        <v>945</v>
      </c>
      <c r="H94" s="382"/>
      <c r="I94" s="396">
        <f>I86</f>
        <v>88.9</v>
      </c>
      <c r="J94" s="382" t="s">
        <v>227</v>
      </c>
    </row>
    <row r="95" spans="2:12">
      <c r="C95" t="s">
        <v>951</v>
      </c>
      <c r="D95">
        <v>0.2</v>
      </c>
      <c r="E95" t="s">
        <v>787</v>
      </c>
      <c r="G95" s="385" t="s">
        <v>944</v>
      </c>
      <c r="I95">
        <f>I94-2*I93</f>
        <v>85.788892562927941</v>
      </c>
      <c r="J95" t="s">
        <v>227</v>
      </c>
    </row>
    <row r="96" spans="2:12">
      <c r="D96">
        <v>0</v>
      </c>
      <c r="E96" t="s">
        <v>194</v>
      </c>
      <c r="G96" t="s">
        <v>949</v>
      </c>
    </row>
    <row r="97" spans="2:10">
      <c r="G97" t="s">
        <v>950</v>
      </c>
    </row>
    <row r="98" spans="2:10">
      <c r="B98" s="186" t="s">
        <v>860</v>
      </c>
      <c r="C98" s="186"/>
      <c r="D98" s="186"/>
      <c r="E98" s="186"/>
      <c r="F98" s="186"/>
      <c r="G98" s="186"/>
      <c r="H98" s="186"/>
      <c r="I98" s="186"/>
      <c r="J98" s="186"/>
    </row>
    <row r="99" spans="2:10">
      <c r="B99" t="s">
        <v>866</v>
      </c>
    </row>
    <row r="100" spans="2:10">
      <c r="B100" t="s">
        <v>861</v>
      </c>
    </row>
    <row r="101" spans="2:10">
      <c r="B101" t="s">
        <v>84</v>
      </c>
      <c r="C101" t="s">
        <v>862</v>
      </c>
      <c r="D101" t="s">
        <v>863</v>
      </c>
      <c r="E101">
        <v>18</v>
      </c>
      <c r="F101" t="s">
        <v>864</v>
      </c>
      <c r="G101" t="s">
        <v>865</v>
      </c>
      <c r="H101">
        <v>0.5</v>
      </c>
    </row>
    <row r="103" spans="2:10" ht="28.5">
      <c r="B103" s="186" t="s">
        <v>852</v>
      </c>
      <c r="C103" s="186" t="s">
        <v>783</v>
      </c>
      <c r="D103" s="380" t="s">
        <v>867</v>
      </c>
      <c r="E103" s="186" t="s">
        <v>409</v>
      </c>
      <c r="F103" s="186"/>
      <c r="G103" s="186"/>
      <c r="H103" s="186"/>
      <c r="I103" s="186"/>
      <c r="J103" s="186"/>
    </row>
    <row r="104" spans="2:10">
      <c r="B104" t="s">
        <v>773</v>
      </c>
      <c r="C104" t="s">
        <v>788</v>
      </c>
      <c r="D104" t="s">
        <v>775</v>
      </c>
      <c r="E104" t="s">
        <v>776</v>
      </c>
    </row>
    <row r="105" spans="2:10">
      <c r="B105" s="190">
        <v>89</v>
      </c>
      <c r="C105" s="368" t="s">
        <v>787</v>
      </c>
      <c r="D105">
        <v>150</v>
      </c>
      <c r="E105" t="s">
        <v>778</v>
      </c>
    </row>
    <row r="106" spans="2:10" ht="15">
      <c r="B106" s="190">
        <v>350</v>
      </c>
      <c r="C106" s="369" t="s">
        <v>787</v>
      </c>
      <c r="D106">
        <v>1500</v>
      </c>
      <c r="E106" t="s">
        <v>855</v>
      </c>
      <c r="I106" s="371"/>
      <c r="J106" s="281"/>
    </row>
    <row r="107" spans="2:10" ht="15">
      <c r="B107" s="190">
        <f>(B105+B106-(B108*D108))/D107</f>
        <v>-7.0269360269360301E-2</v>
      </c>
      <c r="C107" s="370" t="s">
        <v>194</v>
      </c>
      <c r="D107">
        <f>I88-D105</f>
        <v>660</v>
      </c>
      <c r="E107" t="s">
        <v>857</v>
      </c>
      <c r="I107" s="306"/>
      <c r="J107" s="306"/>
    </row>
    <row r="108" spans="2:10" ht="15">
      <c r="B108" s="190">
        <f>(B106*(2*D108+D107)-(B105*D107))/((D108^2)+D107*D108)</f>
        <v>0.70344605475040256</v>
      </c>
      <c r="C108" s="367" t="s">
        <v>194</v>
      </c>
      <c r="D108">
        <f>D106-I88</f>
        <v>690</v>
      </c>
      <c r="E108" t="s">
        <v>856</v>
      </c>
      <c r="H108" t="s">
        <v>877</v>
      </c>
      <c r="I108">
        <f>SUM(D107:D108)</f>
        <v>1350</v>
      </c>
      <c r="J108" s="306"/>
    </row>
    <row r="110" spans="2:10">
      <c r="B110" t="s">
        <v>868</v>
      </c>
      <c r="F110" t="s">
        <v>870</v>
      </c>
    </row>
    <row r="111" spans="2:10">
      <c r="B111" t="s">
        <v>878</v>
      </c>
      <c r="D111" s="281">
        <f>B105-B107*D107</f>
        <v>135.37777777777779</v>
      </c>
      <c r="E111" t="s">
        <v>718</v>
      </c>
    </row>
    <row r="112" spans="2:10">
      <c r="B112" t="s">
        <v>869</v>
      </c>
      <c r="D112" s="281">
        <f>(B105^2)/(2*B107)</f>
        <v>-56361.691423095326</v>
      </c>
      <c r="E112" t="s">
        <v>793</v>
      </c>
      <c r="F112">
        <f>B105/B107</f>
        <v>-1266.5548634403444</v>
      </c>
      <c r="G112" t="s">
        <v>227</v>
      </c>
    </row>
    <row r="113" spans="2:14">
      <c r="B113" t="s">
        <v>875</v>
      </c>
      <c r="D113" s="281">
        <f>((D111^2)/(2*B108))-D111*(I108-D107)+B108*(0.5*I108^2+0.5*D107^2-I108*D107)</f>
        <v>87071.353355919797</v>
      </c>
      <c r="E113" t="s">
        <v>793</v>
      </c>
      <c r="F113">
        <f>(D111/B108)+D107</f>
        <v>852.44940939474407</v>
      </c>
      <c r="G113" t="s">
        <v>227</v>
      </c>
      <c r="H113" s="381" t="s">
        <v>908</v>
      </c>
    </row>
    <row r="114" spans="2:14">
      <c r="B114" t="s">
        <v>796</v>
      </c>
      <c r="D114" s="281">
        <f>MAX(D112:D113)</f>
        <v>87071.353355919797</v>
      </c>
      <c r="E114" t="s">
        <v>793</v>
      </c>
      <c r="H114" s="381" t="s">
        <v>909</v>
      </c>
    </row>
    <row r="115" spans="2:14">
      <c r="B115" t="s">
        <v>874</v>
      </c>
      <c r="D115" s="281">
        <f>D114/tubeZ</f>
        <v>9.8061211184025261</v>
      </c>
      <c r="E115" t="s">
        <v>723</v>
      </c>
    </row>
    <row r="116" spans="2:14">
      <c r="B116" t="s">
        <v>904</v>
      </c>
      <c r="D116" s="281">
        <f>B106/(PI()*I87*I84)</f>
        <v>0.87648152465870166</v>
      </c>
      <c r="E116" t="s">
        <v>723</v>
      </c>
    </row>
    <row r="117" spans="2:14">
      <c r="B117" t="s">
        <v>900</v>
      </c>
      <c r="D117" s="281">
        <f>StyComp/D115</f>
        <v>13.329159548711496</v>
      </c>
    </row>
    <row r="118" spans="2:14">
      <c r="B118" t="s">
        <v>901</v>
      </c>
      <c r="D118" s="281">
        <f>ScyComp/D115</f>
        <v>5.442051053658556</v>
      </c>
    </row>
    <row r="119" spans="2:14">
      <c r="B119" t="s">
        <v>903</v>
      </c>
      <c r="D119" s="281">
        <f>SsyComp/D116</f>
        <v>41.2243178260332</v>
      </c>
      <c r="F119" s="381" t="s">
        <v>906</v>
      </c>
    </row>
    <row r="120" spans="2:14">
      <c r="F120" s="381" t="s">
        <v>907</v>
      </c>
    </row>
    <row r="121" spans="2:14">
      <c r="L121" t="s">
        <v>789</v>
      </c>
    </row>
    <row r="122" spans="2:14">
      <c r="B122" t="s">
        <v>876</v>
      </c>
      <c r="C122">
        <v>15</v>
      </c>
      <c r="D122">
        <f>I108/C122</f>
        <v>90</v>
      </c>
      <c r="L122" t="s">
        <v>785</v>
      </c>
      <c r="M122" t="s">
        <v>792</v>
      </c>
    </row>
    <row r="123" spans="2:14">
      <c r="B123" s="373" t="s">
        <v>794</v>
      </c>
      <c r="C123" s="373" t="s">
        <v>320</v>
      </c>
      <c r="D123" s="373" t="s">
        <v>795</v>
      </c>
      <c r="L123">
        <f>D105</f>
        <v>150</v>
      </c>
      <c r="M123">
        <v>0</v>
      </c>
    </row>
    <row r="124" spans="2:14">
      <c r="B124">
        <v>0</v>
      </c>
      <c r="C124">
        <f t="shared" ref="C124:C140" si="0">IF(B124&lt;$D$107,$B$105-$B$107*B124,$D$111-$B$108*(B124-$D$107))</f>
        <v>89</v>
      </c>
      <c r="D124">
        <f>IF(B124&lt;$D$107,$B$105*B124-$B$107*(B124^2)*0.5,$D$111*B124+$B$108*($D$107*B124+0.5*$I$108^2-0.5*B124^2)-$I$108*($D$111+$B$108*$D$107))</f>
        <v>0</v>
      </c>
      <c r="L124">
        <f>L123</f>
        <v>150</v>
      </c>
      <c r="M124">
        <f>B105</f>
        <v>89</v>
      </c>
      <c r="N124" t="s">
        <v>786</v>
      </c>
    </row>
    <row r="125" spans="2:14">
      <c r="B125">
        <f>D122</f>
        <v>90</v>
      </c>
      <c r="C125">
        <f t="shared" si="0"/>
        <v>95.324242424242428</v>
      </c>
      <c r="D125">
        <f t="shared" ref="D125:D141" si="1">IF(B125&lt;$D$107,$B$105*B125-$B$107*(B125^2)*0.5,$D$111*B125+$B$108*($D$107*B125+0.5*$I$108^2-0.5*B125^2)-$I$108*($D$111+$B$108*$D$107))</f>
        <v>8294.5909090909099</v>
      </c>
      <c r="L125" t="e">
        <f>#REF!</f>
        <v>#REF!</v>
      </c>
      <c r="M125">
        <f>M124</f>
        <v>89</v>
      </c>
    </row>
    <row r="126" spans="2:14">
      <c r="B126">
        <f>B125+$D$122</f>
        <v>180</v>
      </c>
      <c r="C126">
        <f t="shared" si="0"/>
        <v>101.64848484848486</v>
      </c>
      <c r="D126">
        <f t="shared" si="1"/>
        <v>17158.363636363636</v>
      </c>
      <c r="L126" t="e">
        <f>L125</f>
        <v>#REF!</v>
      </c>
      <c r="M126" t="e">
        <f>M125-#REF!</f>
        <v>#REF!</v>
      </c>
    </row>
    <row r="127" spans="2:14">
      <c r="B127">
        <f t="shared" ref="B127:B140" si="2">B126+$D$122</f>
        <v>270</v>
      </c>
      <c r="C127">
        <f t="shared" si="0"/>
        <v>107.97272727272728</v>
      </c>
      <c r="D127">
        <f t="shared" si="1"/>
        <v>26591.318181818184</v>
      </c>
      <c r="L127">
        <f>D106</f>
        <v>1500</v>
      </c>
      <c r="M127" t="e">
        <f>M126</f>
        <v>#REF!</v>
      </c>
    </row>
    <row r="128" spans="2:14">
      <c r="B128">
        <f t="shared" si="2"/>
        <v>360</v>
      </c>
      <c r="C128">
        <f t="shared" si="0"/>
        <v>114.29696969696971</v>
      </c>
      <c r="D128">
        <f t="shared" si="1"/>
        <v>36593.454545454544</v>
      </c>
      <c r="L128">
        <f>L127</f>
        <v>1500</v>
      </c>
      <c r="M128" t="e">
        <f>M126+B106</f>
        <v>#REF!</v>
      </c>
    </row>
    <row r="129" spans="2:13">
      <c r="B129">
        <f t="shared" si="2"/>
        <v>450</v>
      </c>
      <c r="C129">
        <f t="shared" si="0"/>
        <v>120.62121212121214</v>
      </c>
      <c r="D129">
        <f t="shared" si="1"/>
        <v>47164.772727272728</v>
      </c>
    </row>
    <row r="130" spans="2:13">
      <c r="B130">
        <f t="shared" si="2"/>
        <v>540</v>
      </c>
      <c r="C130">
        <f t="shared" si="0"/>
        <v>126.94545454545457</v>
      </c>
      <c r="D130">
        <f t="shared" si="1"/>
        <v>58305.272727272735</v>
      </c>
    </row>
    <row r="131" spans="2:13">
      <c r="B131">
        <f t="shared" si="2"/>
        <v>630</v>
      </c>
      <c r="C131">
        <f t="shared" si="0"/>
        <v>133.26969696969698</v>
      </c>
      <c r="D131">
        <f t="shared" si="1"/>
        <v>70014.954545454559</v>
      </c>
    </row>
    <row r="132" spans="2:13">
      <c r="B132">
        <f>D107</f>
        <v>660</v>
      </c>
      <c r="C132">
        <f t="shared" si="0"/>
        <v>135.37777777777779</v>
      </c>
      <c r="D132">
        <f t="shared" si="1"/>
        <v>74044.666666666628</v>
      </c>
    </row>
    <row r="133" spans="2:13">
      <c r="B133">
        <f>B131+$D$122</f>
        <v>720</v>
      </c>
      <c r="C133">
        <f t="shared" si="0"/>
        <v>93.171014492753642</v>
      </c>
      <c r="D133">
        <f t="shared" si="1"/>
        <v>80901.130434782477</v>
      </c>
    </row>
    <row r="134" spans="2:13">
      <c r="B134">
        <f t="shared" si="2"/>
        <v>810</v>
      </c>
      <c r="C134">
        <f t="shared" si="0"/>
        <v>29.860869565217413</v>
      </c>
      <c r="D134">
        <f>IF(B134&lt;$D$107,$B$105*B134-$B$107*(B134^2)*0.5,$D$111*B134+$B$108*($D$107*B134+0.5*$I$108^2-0.5*B134^2)-$I$108*($D$111+$B$108*$D$107))</f>
        <v>86437.565217391239</v>
      </c>
      <c r="L134" t="s">
        <v>790</v>
      </c>
    </row>
    <row r="135" spans="2:13">
      <c r="B135">
        <f t="shared" si="2"/>
        <v>900</v>
      </c>
      <c r="C135">
        <f t="shared" si="0"/>
        <v>-33.449275362318815</v>
      </c>
      <c r="D135">
        <f t="shared" si="1"/>
        <v>86276.086956521613</v>
      </c>
      <c r="L135" t="s">
        <v>785</v>
      </c>
      <c r="M135" t="s">
        <v>791</v>
      </c>
    </row>
    <row r="136" spans="2:13">
      <c r="B136">
        <f t="shared" si="2"/>
        <v>990</v>
      </c>
      <c r="C136">
        <f t="shared" si="0"/>
        <v>-96.759420289855058</v>
      </c>
      <c r="D136">
        <f t="shared" si="1"/>
        <v>80416.695652173832</v>
      </c>
      <c r="L136">
        <f>L123</f>
        <v>150</v>
      </c>
      <c r="M136">
        <f>M123</f>
        <v>0</v>
      </c>
    </row>
    <row r="137" spans="2:13">
      <c r="B137">
        <f t="shared" si="2"/>
        <v>1080</v>
      </c>
      <c r="C137">
        <f t="shared" si="0"/>
        <v>-160.0695652173913</v>
      </c>
      <c r="D137">
        <f t="shared" si="1"/>
        <v>68859.391304347781</v>
      </c>
      <c r="L137" t="e">
        <f>L125</f>
        <v>#REF!</v>
      </c>
      <c r="M137" t="e">
        <f>(L137-L136)*M125</f>
        <v>#REF!</v>
      </c>
    </row>
    <row r="138" spans="2:13">
      <c r="B138">
        <f t="shared" si="2"/>
        <v>1170</v>
      </c>
      <c r="C138">
        <f t="shared" si="0"/>
        <v>-223.37971014492751</v>
      </c>
      <c r="D138">
        <f t="shared" si="1"/>
        <v>51604.173913043342</v>
      </c>
      <c r="L138">
        <f>L127</f>
        <v>1500</v>
      </c>
      <c r="M138" t="e">
        <f>M137-(L138-L137)*M126</f>
        <v>#REF!</v>
      </c>
    </row>
    <row r="139" spans="2:13">
      <c r="B139">
        <f t="shared" si="2"/>
        <v>1260</v>
      </c>
      <c r="C139">
        <f t="shared" si="0"/>
        <v>-286.68985507246373</v>
      </c>
      <c r="D139">
        <f t="shared" si="1"/>
        <v>28651.043478260748</v>
      </c>
    </row>
    <row r="140" spans="2:13">
      <c r="B140">
        <f t="shared" si="2"/>
        <v>1350</v>
      </c>
      <c r="C140">
        <f t="shared" si="0"/>
        <v>-350</v>
      </c>
      <c r="D140">
        <f t="shared" si="1"/>
        <v>-1.1641532182693481E-10</v>
      </c>
    </row>
    <row r="141" spans="2:13">
      <c r="B141">
        <f>B140</f>
        <v>1350</v>
      </c>
      <c r="C141">
        <f>0</f>
        <v>0</v>
      </c>
      <c r="D141">
        <f t="shared" si="1"/>
        <v>-1.1641532182693481E-10</v>
      </c>
    </row>
    <row r="157" spans="2:10">
      <c r="B157" s="186" t="s">
        <v>784</v>
      </c>
      <c r="C157" s="186" t="s">
        <v>783</v>
      </c>
      <c r="D157" s="186" t="s">
        <v>774</v>
      </c>
      <c r="E157" s="186" t="s">
        <v>409</v>
      </c>
      <c r="F157" s="186"/>
      <c r="G157" s="186"/>
      <c r="H157" s="186"/>
      <c r="I157" s="186"/>
      <c r="J157" s="186"/>
    </row>
    <row r="158" spans="2:10">
      <c r="B158" t="s">
        <v>773</v>
      </c>
      <c r="C158" t="s">
        <v>788</v>
      </c>
      <c r="D158" t="s">
        <v>775</v>
      </c>
      <c r="E158" t="s">
        <v>776</v>
      </c>
    </row>
    <row r="159" spans="2:10">
      <c r="B159">
        <v>6</v>
      </c>
      <c r="C159" s="368" t="s">
        <v>194</v>
      </c>
      <c r="D159">
        <v>0</v>
      </c>
      <c r="E159" t="s">
        <v>853</v>
      </c>
    </row>
    <row r="160" spans="2:10">
      <c r="B160">
        <v>150</v>
      </c>
      <c r="C160" s="369" t="s">
        <v>194</v>
      </c>
      <c r="E160" t="s">
        <v>854</v>
      </c>
    </row>
    <row r="161" spans="2:10">
      <c r="B161" s="281">
        <f>(H164*9.81*(1+H163))</f>
        <v>1261.6950899999999</v>
      </c>
      <c r="C161" s="370" t="s">
        <v>194</v>
      </c>
      <c r="E161" t="s">
        <v>895</v>
      </c>
      <c r="I161" s="378"/>
      <c r="J161" s="378"/>
    </row>
    <row r="162" spans="2:10">
      <c r="B162">
        <v>1200</v>
      </c>
      <c r="C162" t="s">
        <v>787</v>
      </c>
      <c r="D162" t="s">
        <v>88</v>
      </c>
      <c r="E162" t="s">
        <v>777</v>
      </c>
    </row>
    <row r="163" spans="2:10">
      <c r="G163" t="s">
        <v>879</v>
      </c>
      <c r="H163">
        <f>(B162/H164)/9.81</f>
        <v>19.450494358627243</v>
      </c>
      <c r="I163" t="s">
        <v>884</v>
      </c>
    </row>
    <row r="164" spans="2:10">
      <c r="G164" t="s">
        <v>881</v>
      </c>
      <c r="H164">
        <f>H166-H165</f>
        <v>6.2889999999999997</v>
      </c>
    </row>
    <row r="165" spans="2:10">
      <c r="G165" t="s">
        <v>882</v>
      </c>
      <c r="H165">
        <f>3.423-2.328</f>
        <v>1.0950000000000002</v>
      </c>
    </row>
    <row r="166" spans="2:10">
      <c r="G166" t="s">
        <v>880</v>
      </c>
      <c r="H166">
        <v>7.3840000000000003</v>
      </c>
    </row>
    <row r="167" spans="2:10">
      <c r="G167" t="s">
        <v>883</v>
      </c>
    </row>
    <row r="168" spans="2:10">
      <c r="B168" t="s">
        <v>885</v>
      </c>
      <c r="D168" s="281">
        <f>B160/I89</f>
        <v>0.37563493913944335</v>
      </c>
      <c r="E168" t="s">
        <v>723</v>
      </c>
    </row>
    <row r="169" spans="2:10">
      <c r="B169" t="s">
        <v>886</v>
      </c>
      <c r="D169" s="281">
        <f>B161/I89</f>
        <v>3.159578388964563</v>
      </c>
      <c r="E169" t="s">
        <v>723</v>
      </c>
      <c r="F169" t="s">
        <v>891</v>
      </c>
    </row>
    <row r="170" spans="2:10">
      <c r="B170" t="s">
        <v>887</v>
      </c>
      <c r="D170" s="281">
        <f>Sbending</f>
        <v>9.8061211184025261</v>
      </c>
      <c r="E170" t="s">
        <v>723</v>
      </c>
      <c r="F170" t="s">
        <v>892</v>
      </c>
    </row>
    <row r="171" spans="2:10">
      <c r="B171" t="s">
        <v>888</v>
      </c>
      <c r="D171" s="281">
        <f>SUM(D168:D170)</f>
        <v>13.341334446506533</v>
      </c>
      <c r="E171" t="s">
        <v>723</v>
      </c>
      <c r="F171" t="s">
        <v>893</v>
      </c>
    </row>
    <row r="172" spans="2:10">
      <c r="B172" t="s">
        <v>902</v>
      </c>
      <c r="D172" s="281">
        <f>D111</f>
        <v>135.37777777777779</v>
      </c>
      <c r="F172" t="s">
        <v>894</v>
      </c>
      <c r="G172">
        <f>(B160/H164)/9.81</f>
        <v>2.4313117948284053</v>
      </c>
    </row>
    <row r="173" spans="2:10">
      <c r="B173" s="273" t="s">
        <v>890</v>
      </c>
      <c r="C173" s="273"/>
      <c r="D173" s="387">
        <f>ScyComp/D171</f>
        <v>4.0000055450734742</v>
      </c>
    </row>
    <row r="174" spans="2:10">
      <c r="B174" s="273" t="s">
        <v>889</v>
      </c>
      <c r="C174" s="273"/>
      <c r="D174" s="387">
        <f>StyComp/Sbending</f>
        <v>13.329159548711496</v>
      </c>
    </row>
    <row r="175" spans="2:10">
      <c r="B175" s="273" t="s">
        <v>896</v>
      </c>
      <c r="C175" s="273"/>
      <c r="D175" s="387">
        <f>D119</f>
        <v>41.2243178260332</v>
      </c>
    </row>
    <row r="176" spans="2:10">
      <c r="B176" s="388"/>
      <c r="C176" s="388"/>
      <c r="D176" s="388"/>
      <c r="E176" s="388"/>
      <c r="F176" s="388"/>
      <c r="G176" s="388"/>
      <c r="H176" s="388"/>
      <c r="I176" s="388"/>
    </row>
    <row r="177" spans="2:12">
      <c r="B177" s="388" t="s">
        <v>928</v>
      </c>
      <c r="C177" s="388"/>
      <c r="D177" s="388"/>
      <c r="E177" s="388"/>
      <c r="F177" s="388" t="s">
        <v>952</v>
      </c>
      <c r="G177" s="388"/>
      <c r="H177" s="388"/>
      <c r="I177" s="388"/>
    </row>
    <row r="178" spans="2:12">
      <c r="B178" s="388" t="s">
        <v>921</v>
      </c>
      <c r="C178" s="388"/>
      <c r="D178" s="388">
        <f>(I89*I83)/(1000^3)</f>
        <v>6.4690467973159838E-4</v>
      </c>
      <c r="E178" s="388" t="s">
        <v>680</v>
      </c>
      <c r="F178" s="388" t="s">
        <v>954</v>
      </c>
      <c r="G178" s="388"/>
      <c r="H178" s="388"/>
      <c r="I178" s="388"/>
    </row>
    <row r="179" spans="2:12">
      <c r="B179" s="388" t="s">
        <v>922</v>
      </c>
      <c r="C179" s="388"/>
      <c r="D179" s="388">
        <f>F26*D178</f>
        <v>2.9110710587921927E-4</v>
      </c>
      <c r="E179" s="388" t="s">
        <v>680</v>
      </c>
      <c r="F179" s="388" t="s">
        <v>953</v>
      </c>
      <c r="G179" s="388">
        <f>I193</f>
        <v>0.67485735107802547</v>
      </c>
      <c r="H179" s="388" t="s">
        <v>955</v>
      </c>
      <c r="I179" s="388"/>
    </row>
    <row r="180" spans="2:12">
      <c r="C180" s="388"/>
      <c r="D180" s="388">
        <f>D179*(1000)</f>
        <v>0.29110710587921929</v>
      </c>
      <c r="E180" s="388" t="s">
        <v>403</v>
      </c>
      <c r="F180" s="390" t="s">
        <v>959</v>
      </c>
      <c r="G180" s="388"/>
      <c r="H180" s="388"/>
      <c r="I180" s="388"/>
    </row>
    <row r="181" spans="2:12">
      <c r="B181" s="388" t="s">
        <v>923</v>
      </c>
      <c r="C181" s="388"/>
      <c r="D181" s="388">
        <f>F25*D178</f>
        <v>3.5579757385237912E-4</v>
      </c>
      <c r="E181" s="388" t="s">
        <v>680</v>
      </c>
      <c r="F181" s="390" t="s">
        <v>961</v>
      </c>
      <c r="G181" s="388"/>
      <c r="H181" s="388"/>
      <c r="I181" s="388"/>
    </row>
    <row r="182" spans="2:12">
      <c r="B182" s="388" t="s">
        <v>924</v>
      </c>
      <c r="C182" s="388"/>
      <c r="D182" s="388">
        <f>D25*D181</f>
        <v>0.33978668302902204</v>
      </c>
      <c r="E182" s="388" t="s">
        <v>310</v>
      </c>
      <c r="F182" s="388" t="s">
        <v>962</v>
      </c>
      <c r="H182" s="388"/>
      <c r="I182" s="388"/>
    </row>
    <row r="183" spans="2:12">
      <c r="B183" s="388" t="s">
        <v>925</v>
      </c>
      <c r="C183" s="388"/>
      <c r="D183" s="388">
        <f>D182/(D20/1000)</f>
        <v>1.7789878692618954</v>
      </c>
      <c r="E183" s="388" t="s">
        <v>223</v>
      </c>
      <c r="F183" s="391" t="s">
        <v>960</v>
      </c>
      <c r="G183" s="388"/>
      <c r="H183" s="388"/>
      <c r="I183" s="388"/>
    </row>
    <row r="184" spans="2:12">
      <c r="B184" s="388" t="s">
        <v>926</v>
      </c>
      <c r="C184" s="388"/>
      <c r="D184" s="388">
        <v>1.62</v>
      </c>
      <c r="E184" s="388" t="s">
        <v>197</v>
      </c>
      <c r="F184" s="388"/>
      <c r="G184" s="388"/>
      <c r="H184" s="388"/>
      <c r="I184" s="388"/>
    </row>
    <row r="185" spans="2:12">
      <c r="B185" s="388" t="s">
        <v>927</v>
      </c>
      <c r="C185" s="388"/>
      <c r="D185" s="388">
        <f>D183/D184</f>
        <v>1.0981406600382071</v>
      </c>
      <c r="E185" s="388" t="s">
        <v>197</v>
      </c>
      <c r="F185" s="388"/>
      <c r="G185" s="388"/>
      <c r="H185" s="388"/>
      <c r="I185" s="388"/>
    </row>
    <row r="186" spans="2:12">
      <c r="B186" s="388"/>
      <c r="C186" s="388"/>
      <c r="D186" s="388"/>
      <c r="E186" s="388"/>
      <c r="F186" s="388"/>
      <c r="G186" s="388"/>
      <c r="H186" s="388" t="s">
        <v>957</v>
      </c>
      <c r="I186" s="388" t="s">
        <v>956</v>
      </c>
    </row>
    <row r="187" spans="2:12">
      <c r="B187" s="388" t="s">
        <v>929</v>
      </c>
      <c r="C187" s="388"/>
      <c r="D187" s="388"/>
      <c r="E187" s="388"/>
      <c r="F187" s="388" t="s">
        <v>937</v>
      </c>
      <c r="G187" s="388"/>
      <c r="H187" s="388"/>
      <c r="I187" s="388" t="s">
        <v>679</v>
      </c>
    </row>
    <row r="188" spans="2:12">
      <c r="B188" s="388" t="s">
        <v>930</v>
      </c>
      <c r="C188" s="388"/>
      <c r="D188" s="392">
        <v>0.2</v>
      </c>
      <c r="E188" s="388" t="s">
        <v>227</v>
      </c>
      <c r="F188" s="388">
        <v>0.3</v>
      </c>
      <c r="G188" s="388" t="s">
        <v>935</v>
      </c>
      <c r="I188" s="388">
        <f>($I$89/1000^2)*F188</f>
        <v>1.1979716291325894E-4</v>
      </c>
      <c r="L188" s="388"/>
    </row>
    <row r="189" spans="2:12">
      <c r="B189" s="388" t="s">
        <v>932</v>
      </c>
      <c r="C189" s="388"/>
      <c r="D189" s="392">
        <f>PI()*I87</f>
        <v>283.70941046776511</v>
      </c>
      <c r="E189" s="388" t="s">
        <v>227</v>
      </c>
      <c r="F189" s="388">
        <v>0.22</v>
      </c>
      <c r="G189" s="388" t="s">
        <v>936</v>
      </c>
      <c r="I189" s="388">
        <f t="shared" ref="I189:I191" si="3">($I$89/1000^2)*F189</f>
        <v>8.7851252803056561E-5</v>
      </c>
      <c r="J189" s="388"/>
      <c r="K189" s="388"/>
      <c r="L189" s="388"/>
    </row>
    <row r="190" spans="2:12">
      <c r="B190" s="388" t="s">
        <v>205</v>
      </c>
      <c r="C190" s="388"/>
      <c r="D190" s="392">
        <v>1620</v>
      </c>
      <c r="E190" s="388" t="s">
        <v>227</v>
      </c>
      <c r="F190" s="388">
        <v>0.37</v>
      </c>
      <c r="G190" s="388" t="s">
        <v>938</v>
      </c>
      <c r="H190" s="388"/>
      <c r="I190" s="388">
        <f t="shared" si="3"/>
        <v>1.4774983425968604E-4</v>
      </c>
      <c r="L190" s="388"/>
    </row>
    <row r="191" spans="2:12">
      <c r="B191" s="388" t="s">
        <v>931</v>
      </c>
      <c r="C191" s="388"/>
      <c r="D191" s="392">
        <f>ROUNDUP(I84/D188,0)</f>
        <v>8</v>
      </c>
      <c r="E191" s="388" t="s">
        <v>934</v>
      </c>
      <c r="F191" s="388">
        <v>0.8</v>
      </c>
      <c r="G191" s="388" t="s">
        <v>939</v>
      </c>
      <c r="H191" s="388"/>
      <c r="I191" s="388">
        <f t="shared" si="3"/>
        <v>3.1945910110202391E-4</v>
      </c>
    </row>
    <row r="192" spans="2:12">
      <c r="B192" s="388" t="s">
        <v>933</v>
      </c>
      <c r="D192" s="281">
        <f>(D189/1000)*(D190/1000)*D191</f>
        <v>3.676873959662236</v>
      </c>
      <c r="E192" t="s">
        <v>223</v>
      </c>
      <c r="F192" s="388">
        <f>SUM(F188:F191)</f>
        <v>1.69</v>
      </c>
      <c r="G192" s="393">
        <f>SUM(F190:F191)</f>
        <v>1.17</v>
      </c>
      <c r="H192" s="388" t="s">
        <v>940</v>
      </c>
      <c r="I192" s="388">
        <f>SUM(I188:I191)</f>
        <v>6.7485735107802544E-4</v>
      </c>
    </row>
    <row r="193" spans="2:10">
      <c r="B193" s="388" t="s">
        <v>926</v>
      </c>
      <c r="C193" s="388"/>
      <c r="D193" s="392">
        <v>1.17</v>
      </c>
      <c r="I193" s="388">
        <f>I192*1000</f>
        <v>0.67485735107802547</v>
      </c>
      <c r="J193" t="s">
        <v>958</v>
      </c>
    </row>
    <row r="194" spans="2:10">
      <c r="B194" s="386" t="s">
        <v>927</v>
      </c>
      <c r="C194" s="386"/>
      <c r="D194" s="394">
        <f>D192/D193</f>
        <v>3.1426273159506293</v>
      </c>
      <c r="I194" s="388"/>
    </row>
    <row r="195" spans="2:10">
      <c r="B195" s="388" t="s">
        <v>930</v>
      </c>
      <c r="C195" s="388"/>
      <c r="D195" s="392">
        <v>0.2</v>
      </c>
      <c r="E195" s="388" t="s">
        <v>227</v>
      </c>
      <c r="F195" s="393">
        <v>1.17</v>
      </c>
      <c r="G195" s="388" t="s">
        <v>940</v>
      </c>
      <c r="I195" s="388"/>
    </row>
    <row r="196" spans="2:10">
      <c r="B196" s="388" t="s">
        <v>932</v>
      </c>
      <c r="C196" s="388"/>
      <c r="D196" s="392">
        <f>PI()*I87</f>
        <v>283.70941046776511</v>
      </c>
      <c r="E196" s="388" t="s">
        <v>227</v>
      </c>
      <c r="I196" s="388"/>
    </row>
    <row r="197" spans="2:10">
      <c r="B197" s="388" t="s">
        <v>205</v>
      </c>
      <c r="C197" s="388"/>
      <c r="D197" s="392">
        <v>1170</v>
      </c>
      <c r="E197" s="388" t="s">
        <v>227</v>
      </c>
      <c r="I197" s="388"/>
    </row>
    <row r="198" spans="2:10">
      <c r="B198" s="388" t="s">
        <v>931</v>
      </c>
      <c r="C198" s="388"/>
      <c r="D198" s="392">
        <v>9</v>
      </c>
      <c r="E198" s="388" t="s">
        <v>934</v>
      </c>
      <c r="F198" s="388"/>
      <c r="G198" s="388"/>
      <c r="H198" s="388"/>
      <c r="I198" s="388"/>
    </row>
    <row r="199" spans="2:10">
      <c r="B199" s="388" t="s">
        <v>933</v>
      </c>
      <c r="D199" s="281">
        <f>(D196/1000)*(D197/1000)*D198</f>
        <v>2.9874600922255663</v>
      </c>
      <c r="E199" t="s">
        <v>223</v>
      </c>
      <c r="F199" s="388"/>
      <c r="G199" s="388"/>
      <c r="H199" s="388"/>
      <c r="I199" s="388"/>
    </row>
    <row r="200" spans="2:10">
      <c r="B200" s="388" t="s">
        <v>926</v>
      </c>
      <c r="C200" s="388"/>
      <c r="D200" s="392">
        <v>1.17</v>
      </c>
      <c r="H200" s="388"/>
      <c r="I200" s="388"/>
    </row>
    <row r="201" spans="2:10">
      <c r="B201" s="386" t="s">
        <v>927</v>
      </c>
      <c r="C201" s="386"/>
      <c r="D201" s="394">
        <f>D199/D200</f>
        <v>2.5533846942098859</v>
      </c>
      <c r="F201" s="388"/>
      <c r="G201" s="388"/>
      <c r="H201" s="388"/>
      <c r="I201" s="388"/>
    </row>
    <row r="202" spans="2:10">
      <c r="B202" s="388" t="s">
        <v>930</v>
      </c>
      <c r="C202" s="388"/>
      <c r="D202" s="392">
        <v>0.2</v>
      </c>
      <c r="E202" s="388" t="s">
        <v>227</v>
      </c>
      <c r="F202" s="301">
        <f>SUM(F188:F189)</f>
        <v>0.52</v>
      </c>
      <c r="G202" s="388" t="s">
        <v>941</v>
      </c>
      <c r="H202" s="388"/>
      <c r="I202" s="388"/>
    </row>
    <row r="203" spans="2:10">
      <c r="B203" s="388" t="s">
        <v>932</v>
      </c>
      <c r="C203" s="388"/>
      <c r="D203" s="392">
        <f>PI()*I87</f>
        <v>283.70941046776511</v>
      </c>
      <c r="E203" s="388" t="s">
        <v>227</v>
      </c>
      <c r="F203" s="388"/>
      <c r="G203" s="388"/>
      <c r="H203" s="388"/>
      <c r="I203" s="388"/>
    </row>
    <row r="204" spans="2:10">
      <c r="B204" s="388" t="s">
        <v>205</v>
      </c>
      <c r="C204" s="388"/>
      <c r="D204" s="392">
        <v>520</v>
      </c>
      <c r="E204" s="388" t="s">
        <v>227</v>
      </c>
      <c r="F204" s="388"/>
      <c r="G204" s="388"/>
      <c r="H204" s="388"/>
      <c r="I204" s="388"/>
    </row>
    <row r="205" spans="2:10">
      <c r="B205" s="388" t="s">
        <v>931</v>
      </c>
      <c r="C205" s="388"/>
      <c r="D205" s="392">
        <v>9</v>
      </c>
      <c r="E205" s="388" t="s">
        <v>934</v>
      </c>
      <c r="F205" s="388"/>
      <c r="G205" s="388"/>
      <c r="H205" s="388"/>
      <c r="I205" s="388"/>
    </row>
    <row r="206" spans="2:10">
      <c r="B206" s="388" t="s">
        <v>933</v>
      </c>
      <c r="D206" s="281">
        <f>(D203/1000)*(D204/1000)*D205</f>
        <v>1.3277600409891408</v>
      </c>
      <c r="E206" t="s">
        <v>223</v>
      </c>
      <c r="F206" s="388"/>
      <c r="G206" s="388"/>
      <c r="H206" s="388"/>
      <c r="I206" s="388"/>
    </row>
    <row r="207" spans="2:10">
      <c r="B207" s="388" t="s">
        <v>926</v>
      </c>
      <c r="C207" s="388"/>
      <c r="D207" s="392">
        <v>0.52</v>
      </c>
      <c r="F207" s="388"/>
      <c r="G207" s="388"/>
      <c r="H207" s="388"/>
      <c r="I207" s="388"/>
    </row>
    <row r="208" spans="2:10">
      <c r="B208" s="385" t="s">
        <v>927</v>
      </c>
      <c r="C208" s="385"/>
      <c r="D208" s="395">
        <f>D206/D207</f>
        <v>2.5533846942098859</v>
      </c>
      <c r="F208" s="388"/>
      <c r="G208" s="388"/>
      <c r="H208" s="388"/>
      <c r="I208" s="388"/>
    </row>
    <row r="210" spans="2:20">
      <c r="L210" t="s">
        <v>963</v>
      </c>
      <c r="Q210" t="s">
        <v>971</v>
      </c>
    </row>
    <row r="211" spans="2:20" ht="15.75">
      <c r="B211" s="398" t="s">
        <v>710</v>
      </c>
      <c r="C211" s="186"/>
      <c r="D211" s="186"/>
      <c r="L211" t="s">
        <v>964</v>
      </c>
      <c r="N211">
        <v>15</v>
      </c>
      <c r="O211" t="s">
        <v>196</v>
      </c>
      <c r="Q211" t="s">
        <v>974</v>
      </c>
      <c r="S211">
        <v>2</v>
      </c>
      <c r="T211" t="s">
        <v>227</v>
      </c>
    </row>
    <row r="212" spans="2:20">
      <c r="L212" t="s">
        <v>965</v>
      </c>
      <c r="N212">
        <v>10</v>
      </c>
      <c r="O212" t="s">
        <v>196</v>
      </c>
      <c r="Q212" t="s">
        <v>972</v>
      </c>
      <c r="S212">
        <v>0.25</v>
      </c>
      <c r="T212" t="s">
        <v>227</v>
      </c>
    </row>
    <row r="213" spans="2:20">
      <c r="L213" t="s">
        <v>966</v>
      </c>
      <c r="N213">
        <v>10</v>
      </c>
      <c r="O213" t="s">
        <v>196</v>
      </c>
      <c r="Q213" t="s">
        <v>973</v>
      </c>
      <c r="S213" s="286">
        <f>ROUNDUP(S211/S212,0)</f>
        <v>8</v>
      </c>
      <c r="T213" t="s">
        <v>934</v>
      </c>
    </row>
    <row r="214" spans="2:20">
      <c r="L214" t="s">
        <v>967</v>
      </c>
      <c r="N214">
        <v>40</v>
      </c>
      <c r="O214" t="s">
        <v>217</v>
      </c>
    </row>
    <row r="215" spans="2:20">
      <c r="Q215" t="s">
        <v>976</v>
      </c>
      <c r="S215">
        <f>4*S213</f>
        <v>32</v>
      </c>
      <c r="T215" t="s">
        <v>977</v>
      </c>
    </row>
    <row r="216" spans="2:20">
      <c r="L216" t="s">
        <v>968</v>
      </c>
      <c r="N216">
        <f>TAN(RADIANS(N214))*N213</f>
        <v>8.390996311772799</v>
      </c>
      <c r="O216" t="s">
        <v>196</v>
      </c>
    </row>
    <row r="217" spans="2:20">
      <c r="L217" t="s">
        <v>926</v>
      </c>
      <c r="N217">
        <f>N216+N212</f>
        <v>18.390996311772799</v>
      </c>
    </row>
    <row r="218" spans="2:20">
      <c r="L218" t="s">
        <v>927</v>
      </c>
      <c r="N218">
        <f>N213</f>
        <v>10</v>
      </c>
    </row>
    <row r="219" spans="2:20">
      <c r="L219" t="s">
        <v>969</v>
      </c>
      <c r="Q219" t="s">
        <v>975</v>
      </c>
    </row>
    <row r="220" spans="2:20">
      <c r="L220" t="s">
        <v>926</v>
      </c>
      <c r="N220" s="286">
        <f>N217+2.54*2</f>
        <v>23.470996311772801</v>
      </c>
      <c r="O220" t="s">
        <v>196</v>
      </c>
      <c r="Q220" t="s">
        <v>926</v>
      </c>
      <c r="R220">
        <v>8</v>
      </c>
      <c r="S220">
        <f>R220*N221</f>
        <v>120.64</v>
      </c>
    </row>
    <row r="221" spans="2:20">
      <c r="L221" t="s">
        <v>927</v>
      </c>
      <c r="N221" s="286">
        <f>N218+2.54*2</f>
        <v>15.08</v>
      </c>
      <c r="O221" t="s">
        <v>196</v>
      </c>
      <c r="Q221" t="s">
        <v>927</v>
      </c>
      <c r="R221">
        <f>S215/R220</f>
        <v>4</v>
      </c>
      <c r="S221">
        <f>R221*N220</f>
        <v>93.883985247091204</v>
      </c>
    </row>
    <row r="223" spans="2:20">
      <c r="L223" t="s">
        <v>970</v>
      </c>
      <c r="P223">
        <f>23/100</f>
        <v>0.23</v>
      </c>
      <c r="Q223">
        <f>15/100</f>
        <v>0.15</v>
      </c>
    </row>
    <row r="224" spans="2:20">
      <c r="L224" t="s">
        <v>926</v>
      </c>
      <c r="N224">
        <v>1.27</v>
      </c>
      <c r="O224" t="s">
        <v>197</v>
      </c>
      <c r="P224" s="281">
        <f>$N$224/P223</f>
        <v>5.5217391304347823</v>
      </c>
      <c r="Q224" s="281">
        <f>$N$224/Q223</f>
        <v>8.4666666666666668</v>
      </c>
    </row>
    <row r="225" spans="2:17">
      <c r="L225" t="s">
        <v>927</v>
      </c>
    </row>
    <row r="226" spans="2:17">
      <c r="Q226">
        <f>0.47*N221</f>
        <v>7.0875999999999992</v>
      </c>
    </row>
    <row r="227" spans="2:17" ht="15.75">
      <c r="B227" s="400" t="s">
        <v>711</v>
      </c>
      <c r="C227" s="186"/>
    </row>
    <row r="228" spans="2:17">
      <c r="L228" t="s">
        <v>978</v>
      </c>
    </row>
    <row r="239" spans="2:17">
      <c r="B239" s="399" t="s">
        <v>687</v>
      </c>
      <c r="C239" s="186"/>
      <c r="D239" s="186"/>
      <c r="E239" s="186"/>
    </row>
    <row r="240" spans="2:17" ht="42.75">
      <c r="B240" t="s">
        <v>690</v>
      </c>
      <c r="C240" t="s">
        <v>688</v>
      </c>
      <c r="D240" t="s">
        <v>691</v>
      </c>
      <c r="E240" t="s">
        <v>692</v>
      </c>
      <c r="F240" s="353" t="s">
        <v>696</v>
      </c>
      <c r="G240" t="s">
        <v>689</v>
      </c>
      <c r="H240" t="s">
        <v>694</v>
      </c>
      <c r="I240" t="s">
        <v>695</v>
      </c>
    </row>
    <row r="241" spans="2:9">
      <c r="B241">
        <v>2</v>
      </c>
      <c r="C241">
        <v>2.375</v>
      </c>
      <c r="D241">
        <f>C241-2*E241</f>
        <v>2.0670000000000002</v>
      </c>
      <c r="E241">
        <v>0.154</v>
      </c>
      <c r="F241" t="s">
        <v>697</v>
      </c>
      <c r="G241">
        <f>C241*25.4</f>
        <v>60.324999999999996</v>
      </c>
      <c r="H241">
        <f t="shared" ref="H241:I241" si="4">D241*25.4</f>
        <v>52.501800000000003</v>
      </c>
      <c r="I241">
        <f t="shared" si="4"/>
        <v>3.9115999999999995</v>
      </c>
    </row>
    <row r="242" spans="2:9">
      <c r="B242">
        <v>2</v>
      </c>
      <c r="C242">
        <v>2.375</v>
      </c>
      <c r="D242">
        <f t="shared" ref="D242:D250" si="5">C242-2*E242</f>
        <v>1.9390000000000001</v>
      </c>
      <c r="E242">
        <v>0.218</v>
      </c>
      <c r="F242" t="s">
        <v>698</v>
      </c>
      <c r="G242">
        <f t="shared" ref="G242:G250" si="6">C242*25.4</f>
        <v>60.324999999999996</v>
      </c>
      <c r="H242">
        <f t="shared" ref="H242:H250" si="7">D242*25.4</f>
        <v>49.250599999999999</v>
      </c>
      <c r="I242">
        <f t="shared" ref="I242:I250" si="8">E242*25.4</f>
        <v>5.5371999999999995</v>
      </c>
    </row>
    <row r="243" spans="2:9">
      <c r="B243">
        <v>2.5</v>
      </c>
      <c r="C243">
        <v>2.875</v>
      </c>
      <c r="D243">
        <f t="shared" si="5"/>
        <v>2.4689999999999999</v>
      </c>
      <c r="E243">
        <v>0.20300000000000001</v>
      </c>
      <c r="F243" t="s">
        <v>697</v>
      </c>
      <c r="G243">
        <f t="shared" si="6"/>
        <v>73.024999999999991</v>
      </c>
      <c r="H243">
        <f t="shared" si="7"/>
        <v>62.712599999999995</v>
      </c>
      <c r="I243">
        <f t="shared" si="8"/>
        <v>5.1562000000000001</v>
      </c>
    </row>
    <row r="244" spans="2:9">
      <c r="B244">
        <v>2.5</v>
      </c>
      <c r="C244">
        <v>2.875</v>
      </c>
      <c r="D244">
        <f t="shared" si="5"/>
        <v>2.323</v>
      </c>
      <c r="E244">
        <v>0.27600000000000002</v>
      </c>
      <c r="F244" t="s">
        <v>698</v>
      </c>
      <c r="G244">
        <f t="shared" si="6"/>
        <v>73.024999999999991</v>
      </c>
      <c r="H244">
        <f t="shared" si="7"/>
        <v>59.004199999999997</v>
      </c>
      <c r="I244">
        <f t="shared" si="8"/>
        <v>7.0104000000000006</v>
      </c>
    </row>
    <row r="245" spans="2:9">
      <c r="B245">
        <v>3</v>
      </c>
      <c r="C245">
        <v>3.5</v>
      </c>
      <c r="D245">
        <f t="shared" si="5"/>
        <v>3.0680000000000001</v>
      </c>
      <c r="E245">
        <v>0.216</v>
      </c>
      <c r="F245" t="s">
        <v>697</v>
      </c>
      <c r="G245">
        <f t="shared" si="6"/>
        <v>88.899999999999991</v>
      </c>
      <c r="H245">
        <f t="shared" si="7"/>
        <v>77.927199999999999</v>
      </c>
      <c r="I245">
        <f t="shared" si="8"/>
        <v>5.4863999999999997</v>
      </c>
    </row>
    <row r="246" spans="2:9">
      <c r="B246">
        <v>3</v>
      </c>
      <c r="C246">
        <v>3.5</v>
      </c>
      <c r="D246">
        <f t="shared" si="5"/>
        <v>2.9</v>
      </c>
      <c r="E246">
        <v>0.3</v>
      </c>
      <c r="F246" t="s">
        <v>698</v>
      </c>
      <c r="G246">
        <f t="shared" si="6"/>
        <v>88.899999999999991</v>
      </c>
      <c r="H246">
        <f t="shared" si="7"/>
        <v>73.66</v>
      </c>
      <c r="I246">
        <f t="shared" si="8"/>
        <v>7.6199999999999992</v>
      </c>
    </row>
    <row r="247" spans="2:9">
      <c r="B247">
        <v>3.5</v>
      </c>
      <c r="C247">
        <v>4</v>
      </c>
      <c r="D247">
        <f t="shared" si="5"/>
        <v>3.548</v>
      </c>
      <c r="E247">
        <v>0.22600000000000001</v>
      </c>
      <c r="F247" t="s">
        <v>697</v>
      </c>
      <c r="G247">
        <f t="shared" si="6"/>
        <v>101.6</v>
      </c>
      <c r="H247">
        <f t="shared" si="7"/>
        <v>90.119199999999992</v>
      </c>
      <c r="I247">
        <f t="shared" si="8"/>
        <v>5.7404000000000002</v>
      </c>
    </row>
    <row r="248" spans="2:9">
      <c r="B248">
        <v>3.5</v>
      </c>
      <c r="C248">
        <v>4</v>
      </c>
      <c r="D248">
        <f t="shared" si="5"/>
        <v>3.3639999999999999</v>
      </c>
      <c r="E248">
        <v>0.318</v>
      </c>
      <c r="F248" t="s">
        <v>698</v>
      </c>
      <c r="G248">
        <f t="shared" si="6"/>
        <v>101.6</v>
      </c>
      <c r="H248">
        <f t="shared" si="7"/>
        <v>85.445599999999999</v>
      </c>
      <c r="I248">
        <f t="shared" si="8"/>
        <v>8.0771999999999995</v>
      </c>
    </row>
    <row r="249" spans="2:9">
      <c r="B249">
        <v>4</v>
      </c>
      <c r="C249">
        <v>4.5</v>
      </c>
      <c r="D249">
        <f t="shared" si="5"/>
        <v>4.0259999999999998</v>
      </c>
      <c r="E249">
        <v>0.23699999999999999</v>
      </c>
      <c r="F249" t="s">
        <v>697</v>
      </c>
      <c r="G249">
        <f t="shared" si="6"/>
        <v>114.3</v>
      </c>
      <c r="H249">
        <f t="shared" si="7"/>
        <v>102.26039999999999</v>
      </c>
      <c r="I249">
        <f t="shared" si="8"/>
        <v>6.0197999999999992</v>
      </c>
    </row>
    <row r="250" spans="2:9">
      <c r="B250">
        <v>4</v>
      </c>
      <c r="C250">
        <v>4.5</v>
      </c>
      <c r="D250">
        <f t="shared" si="5"/>
        <v>3.8260000000000001</v>
      </c>
      <c r="E250">
        <v>0.33700000000000002</v>
      </c>
      <c r="F250" t="s">
        <v>698</v>
      </c>
      <c r="G250">
        <f t="shared" si="6"/>
        <v>114.3</v>
      </c>
      <c r="H250">
        <f t="shared" si="7"/>
        <v>97.180399999999992</v>
      </c>
      <c r="I250">
        <f t="shared" si="8"/>
        <v>8.5597999999999992</v>
      </c>
    </row>
    <row r="252" spans="2:9">
      <c r="B252" t="s">
        <v>693</v>
      </c>
      <c r="C252" t="s">
        <v>699</v>
      </c>
    </row>
    <row r="253" spans="2:9">
      <c r="B253" t="s">
        <v>704</v>
      </c>
      <c r="C253" t="s">
        <v>700</v>
      </c>
    </row>
    <row r="255" spans="2:9" ht="71.25">
      <c r="B255" s="353" t="s">
        <v>750</v>
      </c>
      <c r="C255" s="353" t="s">
        <v>821</v>
      </c>
      <c r="D255" t="s">
        <v>409</v>
      </c>
    </row>
    <row r="256" spans="2:9" ht="28.5">
      <c r="B256" s="63" t="s">
        <v>751</v>
      </c>
      <c r="C256" s="63">
        <v>23.6</v>
      </c>
      <c r="D256" s="365" t="s">
        <v>752</v>
      </c>
    </row>
    <row r="257" spans="2:8">
      <c r="B257" s="63" t="s">
        <v>753</v>
      </c>
      <c r="C257" s="63">
        <v>23.2</v>
      </c>
      <c r="D257" s="365" t="s">
        <v>754</v>
      </c>
    </row>
    <row r="258" spans="2:8">
      <c r="B258" s="63" t="s">
        <v>755</v>
      </c>
      <c r="C258" s="63">
        <v>22</v>
      </c>
      <c r="D258" s="365" t="s">
        <v>756</v>
      </c>
    </row>
    <row r="259" spans="2:8">
      <c r="B259" s="63" t="s">
        <v>757</v>
      </c>
      <c r="C259" s="63">
        <v>23.6</v>
      </c>
      <c r="D259" s="365" t="s">
        <v>758</v>
      </c>
    </row>
    <row r="260" spans="2:8">
      <c r="B260" s="63" t="s">
        <v>759</v>
      </c>
      <c r="C260" s="63">
        <v>23.5</v>
      </c>
      <c r="D260" s="365" t="s">
        <v>760</v>
      </c>
    </row>
    <row r="261" spans="2:8" ht="28.5">
      <c r="B261" s="63" t="s">
        <v>761</v>
      </c>
      <c r="C261" s="63">
        <v>21.5</v>
      </c>
      <c r="D261" s="365" t="s">
        <v>762</v>
      </c>
    </row>
    <row r="262" spans="2:8" ht="28.5">
      <c r="B262" s="63" t="s">
        <v>763</v>
      </c>
      <c r="C262" s="63">
        <v>21.5</v>
      </c>
      <c r="D262" s="365" t="s">
        <v>764</v>
      </c>
    </row>
    <row r="266" spans="2:8">
      <c r="B266" t="s">
        <v>822</v>
      </c>
    </row>
    <row r="267" spans="2:8">
      <c r="B267" t="s">
        <v>823</v>
      </c>
      <c r="C267" t="s">
        <v>838</v>
      </c>
      <c r="D267" t="s">
        <v>824</v>
      </c>
      <c r="E267" t="s">
        <v>825</v>
      </c>
    </row>
    <row r="268" spans="2:8">
      <c r="B268">
        <v>310</v>
      </c>
      <c r="C268">
        <f>B268*D268</f>
        <v>310</v>
      </c>
      <c r="D268">
        <v>1</v>
      </c>
      <c r="E268" s="301" t="s">
        <v>826</v>
      </c>
    </row>
    <row r="269" spans="2:8">
      <c r="B269">
        <v>840</v>
      </c>
      <c r="C269">
        <f t="shared" ref="C269:C279" si="9">B269*D269</f>
        <v>840</v>
      </c>
      <c r="D269">
        <v>1</v>
      </c>
      <c r="E269" s="301" t="s">
        <v>827</v>
      </c>
    </row>
    <row r="270" spans="2:8">
      <c r="B270">
        <v>840</v>
      </c>
      <c r="C270">
        <f t="shared" si="9"/>
        <v>840</v>
      </c>
      <c r="D270">
        <v>1</v>
      </c>
      <c r="E270" s="301" t="s">
        <v>910</v>
      </c>
    </row>
    <row r="271" spans="2:8">
      <c r="B271">
        <v>595</v>
      </c>
      <c r="C271" s="300">
        <f t="shared" si="9"/>
        <v>595</v>
      </c>
      <c r="D271">
        <v>1</v>
      </c>
      <c r="E271" t="s">
        <v>828</v>
      </c>
      <c r="H271" s="364" t="s">
        <v>911</v>
      </c>
    </row>
    <row r="272" spans="2:8">
      <c r="B272">
        <v>590</v>
      </c>
      <c r="C272" s="300">
        <f t="shared" si="9"/>
        <v>590</v>
      </c>
      <c r="D272">
        <v>1</v>
      </c>
      <c r="E272" t="s">
        <v>829</v>
      </c>
      <c r="H272" s="364" t="s">
        <v>912</v>
      </c>
    </row>
    <row r="273" spans="2:8">
      <c r="B273" s="300">
        <v>360</v>
      </c>
      <c r="C273" s="388">
        <f t="shared" si="9"/>
        <v>1800</v>
      </c>
      <c r="D273">
        <v>5</v>
      </c>
      <c r="E273" t="s">
        <v>830</v>
      </c>
      <c r="H273" s="364" t="s">
        <v>913</v>
      </c>
    </row>
    <row r="274" spans="2:8">
      <c r="B274">
        <v>649</v>
      </c>
      <c r="C274">
        <f>B274*D274</f>
        <v>649</v>
      </c>
      <c r="D274">
        <v>1</v>
      </c>
      <c r="E274" s="301" t="s">
        <v>831</v>
      </c>
    </row>
    <row r="275" spans="2:8">
      <c r="B275">
        <v>800</v>
      </c>
      <c r="C275" s="300">
        <f t="shared" si="9"/>
        <v>1600</v>
      </c>
      <c r="D275">
        <v>2</v>
      </c>
      <c r="E275" t="s">
        <v>832</v>
      </c>
    </row>
    <row r="276" spans="2:8">
      <c r="B276">
        <v>85</v>
      </c>
      <c r="C276">
        <f t="shared" si="9"/>
        <v>85</v>
      </c>
      <c r="D276">
        <v>1</v>
      </c>
      <c r="E276" s="301" t="s">
        <v>914</v>
      </c>
    </row>
    <row r="277" spans="2:8">
      <c r="B277">
        <v>320</v>
      </c>
      <c r="C277" s="300">
        <f>B277*D277</f>
        <v>960</v>
      </c>
      <c r="D277">
        <v>3</v>
      </c>
      <c r="E277" t="s">
        <v>915</v>
      </c>
    </row>
    <row r="278" spans="2:8">
      <c r="B278">
        <v>320</v>
      </c>
      <c r="C278">
        <f t="shared" si="9"/>
        <v>0</v>
      </c>
      <c r="E278" t="s">
        <v>916</v>
      </c>
    </row>
    <row r="279" spans="2:8">
      <c r="B279">
        <v>420</v>
      </c>
      <c r="C279">
        <f t="shared" si="9"/>
        <v>1260</v>
      </c>
      <c r="D279">
        <v>3</v>
      </c>
      <c r="E279" t="s">
        <v>979</v>
      </c>
    </row>
    <row r="281" spans="2:8">
      <c r="C281">
        <f>C271+B273+C275+C277</f>
        <v>3515</v>
      </c>
      <c r="D281" t="s">
        <v>324</v>
      </c>
    </row>
  </sheetData>
  <dataConsolidate/>
  <mergeCells count="1">
    <mergeCell ref="E3:H4"/>
  </mergeCells>
  <dataValidations disablePrompts="1" count="2">
    <dataValidation type="list" allowBlank="1" showInputMessage="1" showErrorMessage="1" sqref="D83">
      <formula1>$C$241:$C$250</formula1>
    </dataValidation>
    <dataValidation type="list" allowBlank="1" showInputMessage="1" showErrorMessage="1" sqref="D85">
      <formula1>$B$256:$B$262</formula1>
    </dataValidation>
  </dataValidations>
  <hyperlinks>
    <hyperlink ref="B13" r:id="rId1"/>
    <hyperlink ref="H272" r:id="rId2"/>
    <hyperlink ref="H271" r:id="rId3"/>
    <hyperlink ref="H273" r:id="rId4"/>
  </hyperlinks>
  <pageMargins left="0.25" right="0.25" top="0.75" bottom="0.75" header="0.3" footer="0.3"/>
  <pageSetup orientation="portrait" r:id="rId5"/>
  <drawing r:id="rId6"/>
  <legacyDrawing r:id="rId7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125" defaultRowHeight="15" customHeight="1" outlineLevelRow="1"/>
  <cols>
    <col min="1" max="1" width="39.375" customWidth="1"/>
    <col min="2" max="11" width="12.7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2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2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2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2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2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2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2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2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ht="15.75" thickBot="1">
      <c r="A14" s="267" t="s">
        <v>484</v>
      </c>
    </row>
    <row r="15" spans="1:11" ht="14.2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2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2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2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2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2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2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25" outlineLevel="1">
      <c r="A22" t="s">
        <v>347</v>
      </c>
    </row>
    <row r="23" spans="1:11" ht="14.25" outlineLevel="1">
      <c r="A23" t="s">
        <v>348</v>
      </c>
    </row>
    <row r="24" spans="1:11" ht="14.25" outlineLevel="1">
      <c r="A24" t="s">
        <v>349</v>
      </c>
    </row>
    <row r="25" spans="1:11" ht="14.2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2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2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2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2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2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ht="15.75" thickBot="1">
      <c r="A32" s="267" t="s">
        <v>350</v>
      </c>
    </row>
    <row r="33" spans="1:11" ht="14.2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2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2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2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2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2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2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2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2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2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2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2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2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2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ht="15.75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2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2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2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2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2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2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2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2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2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2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2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2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2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2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2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2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2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2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2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2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2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2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2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2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2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2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2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2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2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2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2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2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2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2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2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2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2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2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>
      <c r="A92" s="264" t="s">
        <v>371</v>
      </c>
    </row>
    <row r="93" spans="1:11" s="166" customFormat="1" ht="14.2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2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2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2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2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25" hidden="1" outlineLevel="1"/>
    <row r="99" spans="1:11" ht="14.2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2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2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2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2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2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2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2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2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2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2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2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2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2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2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25">
      <c r="A118" s="270" t="s">
        <v>526</v>
      </c>
    </row>
    <row r="119" spans="1:11" ht="14.2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2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2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2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2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25" collapsed="1"/>
    <row r="125" spans="1:11" s="186" customFormat="1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2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B591"/>
  <sheetViews>
    <sheetView zoomScale="85" zoomScaleNormal="85" workbookViewId="0">
      <pane ySplit="14" topLeftCell="A268" activePane="bottomLeft" state="frozen"/>
      <selection pane="bottomLeft" activeCell="B8" sqref="B8"/>
    </sheetView>
  </sheetViews>
  <sheetFormatPr defaultColWidth="9.125" defaultRowHeight="15" customHeight="1" outlineLevelRow="2"/>
  <cols>
    <col min="1" max="1" width="43.25" customWidth="1"/>
    <col min="2" max="2" width="12.75" style="190" customWidth="1"/>
    <col min="3" max="3" width="12.875" style="318" customWidth="1"/>
    <col min="4" max="11" width="12.875" style="190" customWidth="1"/>
    <col min="12" max="12" width="12.875" customWidth="1"/>
    <col min="13" max="13" width="4.5" style="330" customWidth="1"/>
    <col min="14" max="31" width="4.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2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25" outlineLevel="1">
      <c r="A3" t="s">
        <v>326</v>
      </c>
      <c r="B3" s="190">
        <f>B2*COS(RADIANS(B13))*COS(RADIANS(B14))</f>
        <v>164.29146131391354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2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25" outlineLevel="1">
      <c r="A5" t="s">
        <v>328</v>
      </c>
      <c r="B5" s="190">
        <f t="shared" ref="B5:K5" si="3">B2*SIN(RADIANS(B13))*COS(RADIANS(B14))</f>
        <v>44.021764382392163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25" outlineLevel="1">
      <c r="A6" t="s">
        <v>334</v>
      </c>
      <c r="B6" s="190">
        <v>0</v>
      </c>
    </row>
    <row r="7" spans="1:13" ht="14.25" outlineLevel="1">
      <c r="A7" t="s">
        <v>345</v>
      </c>
      <c r="B7" s="190">
        <f>B34</f>
        <v>5.0265482457436689E-3</v>
      </c>
    </row>
    <row r="8" spans="1:13" ht="14.25" outlineLevel="1">
      <c r="A8" t="s">
        <v>612</v>
      </c>
      <c r="B8" s="190">
        <f>B33</f>
        <v>17706.008941658431</v>
      </c>
    </row>
    <row r="9" spans="1:13" ht="14.25" outlineLevel="1">
      <c r="A9" t="s">
        <v>613</v>
      </c>
      <c r="B9" s="190">
        <f>B545</f>
        <v>1.35</v>
      </c>
    </row>
    <row r="10" spans="1:13" s="283" customFormat="1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25">
      <c r="A11" s="30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2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>
      <c r="A13" s="377" t="s">
        <v>330</v>
      </c>
      <c r="B13" s="285">
        <v>15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25">
      <c r="A15" t="s">
        <v>332</v>
      </c>
      <c r="B15" s="190">
        <f t="shared" ref="B15:K15" si="6">RADIANS(AoAfins)</f>
        <v>0.26179938779914941</v>
      </c>
      <c r="C15" s="318">
        <f t="shared" si="6"/>
        <v>0.26179938779914941</v>
      </c>
      <c r="D15" s="190">
        <f t="shared" si="6"/>
        <v>0.26179938779914941</v>
      </c>
      <c r="F15" s="190">
        <f t="shared" si="6"/>
        <v>0.26179938779914941</v>
      </c>
      <c r="G15" s="190">
        <f t="shared" si="6"/>
        <v>0.26179938779914941</v>
      </c>
      <c r="H15" s="190">
        <f t="shared" si="6"/>
        <v>0.26179938779914941</v>
      </c>
      <c r="I15" s="190">
        <f t="shared" si="6"/>
        <v>0.26179938779914941</v>
      </c>
      <c r="J15" s="190">
        <f t="shared" si="6"/>
        <v>0.26179938779914941</v>
      </c>
      <c r="K15" s="190">
        <f t="shared" si="6"/>
        <v>0.26179938779914941</v>
      </c>
    </row>
    <row r="16" spans="1:13" ht="14.2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ht="15.75" thickBot="1">
      <c r="A18" s="267" t="s">
        <v>484</v>
      </c>
    </row>
    <row r="19" spans="1:11" ht="14.2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2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2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2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2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2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2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25" hidden="1" outlineLevel="1">
      <c r="A26" t="s">
        <v>347</v>
      </c>
    </row>
    <row r="27" spans="1:11" ht="14.25" hidden="1" outlineLevel="1">
      <c r="A27" t="s">
        <v>348</v>
      </c>
    </row>
    <row r="28" spans="1:11" ht="14.25" hidden="1" outlineLevel="1">
      <c r="A28" t="s">
        <v>349</v>
      </c>
    </row>
    <row r="29" spans="1:11" ht="14.25" hidden="1" outlineLevel="1">
      <c r="A29" t="s">
        <v>340</v>
      </c>
      <c r="B29" s="190">
        <f t="shared" ref="B29:K29" si="14">DEGREES(ATAN((B5+B25)/B3))</f>
        <v>17.886441140114158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25" hidden="1" outlineLevel="1">
      <c r="A30" t="s">
        <v>341</v>
      </c>
      <c r="B30" s="190">
        <f t="shared" ref="B30:K30" si="15">DEGREES(ATAN((B4+B25)/B3))</f>
        <v>3.1355684427654356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25" hidden="1" outlineLevel="1">
      <c r="A31" t="s">
        <v>342</v>
      </c>
      <c r="B31" s="190">
        <f t="shared" ref="B31:K32" si="16">RADIANS(B29)</f>
        <v>0.31217728935916045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25" hidden="1" outlineLevel="1">
      <c r="A32" t="s">
        <v>343</v>
      </c>
      <c r="B32" s="190">
        <f t="shared" si="16"/>
        <v>5.4725993247888224E-2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2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2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t="15.75" hidden="1" outlineLevel="1" thickBot="1">
      <c r="A38" s="267" t="s">
        <v>350</v>
      </c>
    </row>
    <row r="39" spans="1:13" ht="14.2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2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2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2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2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2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2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2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2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2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2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2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2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2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t="15.75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2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2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2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2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2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2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2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2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2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2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2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2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2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2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2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2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2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2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2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2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2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2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2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2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2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2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2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2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2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2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2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2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2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2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2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2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2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2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idden="1" outlineLevel="1">
      <c r="A98" s="264" t="s">
        <v>371</v>
      </c>
    </row>
    <row r="99" spans="1:13" s="166" customFormat="1" ht="14.2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2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2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2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2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25" hidden="1" outlineLevel="2"/>
    <row r="105" spans="1:13" ht="14.25" hidden="1" outlineLevel="1" collapsed="1">
      <c r="A105" t="s">
        <v>376</v>
      </c>
      <c r="B105" s="185">
        <f>(B20*B3*B44)/B23</f>
        <v>1643771.1991620688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25" hidden="1" outlineLevel="1">
      <c r="A106" t="s">
        <v>377</v>
      </c>
      <c r="B106" s="185">
        <f>(B20*B3*B45)/B23</f>
        <v>109584746.61080459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25" hidden="1" outlineLevel="1">
      <c r="A109" t="s">
        <v>488</v>
      </c>
      <c r="B109" s="190">
        <f>(B108*B3)/B23</f>
        <v>166.19760893838935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idden="1" outlineLevel="1">
      <c r="A110" s="271" t="s">
        <v>493</v>
      </c>
      <c r="B110" s="277">
        <f>B122</f>
        <v>6.7411948224931262</v>
      </c>
      <c r="C110" s="328">
        <f t="shared" ref="C110:K110" si="50">C122</f>
        <v>8.1455404172422738E-2</v>
      </c>
      <c r="D110" s="277">
        <f t="shared" si="50"/>
        <v>0.24436621251726823</v>
      </c>
      <c r="E110" s="277"/>
      <c r="F110" s="277">
        <f t="shared" si="50"/>
        <v>0.57018782920695921</v>
      </c>
      <c r="G110" s="277">
        <f t="shared" si="50"/>
        <v>0.81455404172422752</v>
      </c>
      <c r="H110" s="277">
        <f t="shared" si="50"/>
        <v>1.2218310625863409</v>
      </c>
      <c r="I110" s="277">
        <f t="shared" si="50"/>
        <v>1.629108083448455</v>
      </c>
      <c r="J110" s="277">
        <f t="shared" si="50"/>
        <v>2.4436621251726818</v>
      </c>
      <c r="K110" s="277">
        <f t="shared" si="50"/>
        <v>4.0727702086211375</v>
      </c>
      <c r="M110" s="338"/>
    </row>
    <row r="111" spans="1:13" ht="14.2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25" hidden="1" outlineLevel="2">
      <c r="A112">
        <v>1</v>
      </c>
      <c r="B112" s="185">
        <f t="shared" ref="B112:D116" si="52">(B$20*B$3*($A112*B$111))/B$23</f>
        <v>328754.23983241373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25" hidden="1" outlineLevel="2">
      <c r="A113">
        <v>2</v>
      </c>
      <c r="B113" s="185">
        <f t="shared" si="52"/>
        <v>657508.47966482746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25" hidden="1" outlineLevel="2">
      <c r="A114">
        <v>3</v>
      </c>
      <c r="B114" s="185">
        <f t="shared" si="52"/>
        <v>986262.7194972412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25" hidden="1" outlineLevel="2">
      <c r="A115">
        <v>4</v>
      </c>
      <c r="B115" s="185">
        <f t="shared" si="52"/>
        <v>1315016.9593296549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25" hidden="1" outlineLevel="2">
      <c r="A116">
        <v>5</v>
      </c>
      <c r="B116" s="185">
        <f t="shared" si="52"/>
        <v>1643771.1991620688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2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25" hidden="1" outlineLevel="2">
      <c r="A118">
        <v>1</v>
      </c>
      <c r="B118" s="185">
        <f>B$109*(SQRT(0.0576/(2*($B112^(1/5)))))</f>
        <v>7.9183351375473006</v>
      </c>
      <c r="C118" s="322">
        <f t="shared" ref="C118:K122" si="54">C$109*(SQRT(0.0576/(2*($B112^(1/5)))))</f>
        <v>9.5679060757818596E-2</v>
      </c>
      <c r="D118" s="185">
        <f t="shared" si="54"/>
        <v>0.28703718227345582</v>
      </c>
      <c r="E118" s="185"/>
      <c r="F118" s="185">
        <f t="shared" si="54"/>
        <v>0.66975342530473025</v>
      </c>
      <c r="G118" s="185">
        <f t="shared" si="54"/>
        <v>0.95679060757818601</v>
      </c>
      <c r="H118" s="185">
        <f t="shared" si="54"/>
        <v>1.4351859113672789</v>
      </c>
      <c r="I118" s="185">
        <f t="shared" si="54"/>
        <v>1.913581215156372</v>
      </c>
      <c r="J118" s="185">
        <f t="shared" si="54"/>
        <v>2.8703718227345578</v>
      </c>
      <c r="K118" s="185">
        <f t="shared" si="54"/>
        <v>4.7839530378909307</v>
      </c>
    </row>
    <row r="119" spans="1:13" ht="14.25" hidden="1" outlineLevel="2">
      <c r="A119">
        <v>2</v>
      </c>
      <c r="B119" s="185">
        <f t="shared" ref="B119:B122" si="55">B$109*(SQRT(0.0576/(2*($B113^(1/5)))))</f>
        <v>7.3880679213767753</v>
      </c>
      <c r="C119" s="322">
        <f t="shared" si="54"/>
        <v>8.9271720286299441E-2</v>
      </c>
      <c r="D119" s="185">
        <f t="shared" si="54"/>
        <v>0.26781516085889834</v>
      </c>
      <c r="E119" s="185"/>
      <c r="F119" s="185">
        <f t="shared" si="54"/>
        <v>0.62490204200409616</v>
      </c>
      <c r="G119" s="185">
        <f t="shared" si="54"/>
        <v>0.8927172028629945</v>
      </c>
      <c r="H119" s="185">
        <f t="shared" si="54"/>
        <v>1.3390758042944915</v>
      </c>
      <c r="I119" s="185">
        <f t="shared" si="54"/>
        <v>1.785434405725989</v>
      </c>
      <c r="J119" s="185">
        <f t="shared" si="54"/>
        <v>2.6781516085889829</v>
      </c>
      <c r="K119" s="185">
        <f t="shared" si="54"/>
        <v>4.4635860143149726</v>
      </c>
    </row>
    <row r="120" spans="1:13" ht="14.25" hidden="1" outlineLevel="2">
      <c r="A120">
        <v>3</v>
      </c>
      <c r="B120" s="185">
        <f t="shared" si="55"/>
        <v>7.0944993543398702</v>
      </c>
      <c r="C120" s="322">
        <f t="shared" si="54"/>
        <v>8.5724463915585872E-2</v>
      </c>
      <c r="D120" s="185">
        <f t="shared" si="54"/>
        <v>0.25717339174675763</v>
      </c>
      <c r="E120" s="185"/>
      <c r="F120" s="185">
        <f t="shared" si="54"/>
        <v>0.60007124740910123</v>
      </c>
      <c r="G120" s="185">
        <f t="shared" si="54"/>
        <v>0.8572446391558588</v>
      </c>
      <c r="H120" s="185">
        <f t="shared" si="54"/>
        <v>1.2858669587337881</v>
      </c>
      <c r="I120" s="185">
        <f t="shared" si="54"/>
        <v>1.7144892783117176</v>
      </c>
      <c r="J120" s="185">
        <f t="shared" si="54"/>
        <v>2.5717339174675762</v>
      </c>
      <c r="K120" s="185">
        <f t="shared" si="54"/>
        <v>4.2862231957792947</v>
      </c>
    </row>
    <row r="121" spans="1:13" ht="14.25" hidden="1" outlineLevel="2">
      <c r="A121">
        <v>4</v>
      </c>
      <c r="B121" s="185">
        <f t="shared" si="55"/>
        <v>6.8933111143592978</v>
      </c>
      <c r="C121" s="322">
        <f t="shared" si="54"/>
        <v>8.3293460238363093E-2</v>
      </c>
      <c r="D121" s="185">
        <f t="shared" si="54"/>
        <v>0.24988038071508928</v>
      </c>
      <c r="E121" s="185"/>
      <c r="F121" s="185">
        <f t="shared" si="54"/>
        <v>0.58305422166854171</v>
      </c>
      <c r="G121" s="185">
        <f t="shared" si="54"/>
        <v>0.83293460238363104</v>
      </c>
      <c r="H121" s="185">
        <f t="shared" si="54"/>
        <v>1.2494019035754462</v>
      </c>
      <c r="I121" s="185">
        <f t="shared" si="54"/>
        <v>1.6658692047672621</v>
      </c>
      <c r="J121" s="185">
        <f t="shared" si="54"/>
        <v>2.4988038071508925</v>
      </c>
      <c r="K121" s="185">
        <f t="shared" si="54"/>
        <v>4.164673011918155</v>
      </c>
    </row>
    <row r="122" spans="1:13" ht="14.25" hidden="1" outlineLevel="2">
      <c r="A122">
        <v>5</v>
      </c>
      <c r="B122" s="185">
        <f t="shared" si="55"/>
        <v>6.7411948224931262</v>
      </c>
      <c r="C122" s="322">
        <f t="shared" si="54"/>
        <v>8.1455404172422738E-2</v>
      </c>
      <c r="D122" s="185">
        <f t="shared" si="54"/>
        <v>0.24436621251726823</v>
      </c>
      <c r="E122" s="185"/>
      <c r="F122" s="185">
        <f t="shared" si="54"/>
        <v>0.57018782920695921</v>
      </c>
      <c r="G122" s="185">
        <f t="shared" si="54"/>
        <v>0.81455404172422752</v>
      </c>
      <c r="H122" s="185">
        <f t="shared" si="54"/>
        <v>1.2218310625863409</v>
      </c>
      <c r="I122" s="185">
        <f t="shared" si="54"/>
        <v>1.629108083448455</v>
      </c>
      <c r="J122" s="185">
        <f t="shared" si="54"/>
        <v>2.4436621251726818</v>
      </c>
      <c r="K122" s="185">
        <f t="shared" si="54"/>
        <v>4.0727702086211375</v>
      </c>
    </row>
    <row r="123" spans="1:13" s="186" customFormat="1" hidden="1" outlineLevel="1" collapsed="1">
      <c r="A123" s="271" t="s">
        <v>492</v>
      </c>
      <c r="B123" s="277">
        <f>B129</f>
        <v>6.6648315483583875</v>
      </c>
      <c r="C123" s="328">
        <f t="shared" ref="C123:K123" si="56">C129</f>
        <v>8.1417411350857796E-2</v>
      </c>
      <c r="D123" s="277">
        <f t="shared" si="56"/>
        <v>0.24335039274824533</v>
      </c>
      <c r="E123" s="277"/>
      <c r="F123" s="277">
        <f t="shared" si="56"/>
        <v>0.55787550956958654</v>
      </c>
      <c r="G123" s="277">
        <f t="shared" si="56"/>
        <v>0.78060455649454119</v>
      </c>
      <c r="H123" s="277">
        <f t="shared" si="56"/>
        <v>1.1202932866525079</v>
      </c>
      <c r="I123" s="277">
        <f t="shared" si="56"/>
        <v>1.4201812307149726</v>
      </c>
      <c r="J123" s="277">
        <f t="shared" si="56"/>
        <v>1.9214529625666641</v>
      </c>
      <c r="K123" s="277">
        <f t="shared" si="56"/>
        <v>2.6803505086955641</v>
      </c>
      <c r="M123" s="338"/>
    </row>
    <row r="124" spans="1:13" ht="14.25" hidden="1" outlineLevel="1">
      <c r="A124" s="270" t="s">
        <v>526</v>
      </c>
    </row>
    <row r="125" spans="1:13" ht="14.25" hidden="1" outlineLevel="2">
      <c r="A125">
        <v>1</v>
      </c>
      <c r="B125" s="185">
        <f>B118*SQRT((1+0.2*B$11^2)^(-0.467))</f>
        <v>7.8286373891924139</v>
      </c>
      <c r="C125" s="322">
        <f t="shared" ref="C125:K129" si="57">C118*SQRT((1+0.2*C$11^2)^(-0.467))</f>
        <v>9.5634433669907051E-2</v>
      </c>
      <c r="D125" s="185">
        <f t="shared" si="57"/>
        <v>0.28584398112999826</v>
      </c>
      <c r="E125" s="185"/>
      <c r="F125" s="185">
        <f t="shared" si="57"/>
        <v>0.65529114142531775</v>
      </c>
      <c r="G125" s="185">
        <f t="shared" si="57"/>
        <v>0.91691289911930951</v>
      </c>
      <c r="H125" s="185">
        <f t="shared" si="57"/>
        <v>1.315917716316372</v>
      </c>
      <c r="I125" s="185">
        <f t="shared" si="57"/>
        <v>1.6681717762158628</v>
      </c>
      <c r="J125" s="185">
        <f t="shared" si="57"/>
        <v>2.2569750480833979</v>
      </c>
      <c r="K125" s="185">
        <f t="shared" si="57"/>
        <v>3.1483904816294177</v>
      </c>
    </row>
    <row r="126" spans="1:13" ht="14.25" hidden="1" outlineLevel="2">
      <c r="A126">
        <v>2</v>
      </c>
      <c r="B126" s="185">
        <f t="shared" ref="B126:B128" si="58">B119*SQRT((1+0.2*B$11^2)^(-0.467))</f>
        <v>7.3043769628950992</v>
      </c>
      <c r="C126" s="322">
        <f t="shared" si="57"/>
        <v>8.9230081740961753E-2</v>
      </c>
      <c r="D126" s="185">
        <f t="shared" si="57"/>
        <v>0.26670186482651298</v>
      </c>
      <c r="E126" s="185"/>
      <c r="F126" s="185">
        <f t="shared" si="57"/>
        <v>0.61140825401163335</v>
      </c>
      <c r="G126" s="185">
        <f t="shared" si="57"/>
        <v>0.85550998524397626</v>
      </c>
      <c r="H126" s="185">
        <f t="shared" si="57"/>
        <v>1.2277946434709484</v>
      </c>
      <c r="I126" s="185">
        <f t="shared" si="57"/>
        <v>1.556459302759956</v>
      </c>
      <c r="J126" s="185">
        <f t="shared" si="57"/>
        <v>2.1058321809371825</v>
      </c>
      <c r="K126" s="185">
        <f t="shared" si="57"/>
        <v>2.9375521896007051</v>
      </c>
    </row>
    <row r="127" spans="1:13" ht="14.25" hidden="1" outlineLevel="2">
      <c r="A127">
        <v>3</v>
      </c>
      <c r="B127" s="185">
        <f t="shared" si="58"/>
        <v>7.0141338978726413</v>
      </c>
      <c r="C127" s="322">
        <f t="shared" si="57"/>
        <v>8.5684479898633467E-2</v>
      </c>
      <c r="D127" s="185">
        <f t="shared" si="57"/>
        <v>0.25610433308798514</v>
      </c>
      <c r="E127" s="185"/>
      <c r="F127" s="185">
        <f t="shared" si="57"/>
        <v>0.58711364181872283</v>
      </c>
      <c r="G127" s="185">
        <f t="shared" si="57"/>
        <v>0.82151586890306483</v>
      </c>
      <c r="H127" s="185">
        <f t="shared" si="57"/>
        <v>1.1790076103879898</v>
      </c>
      <c r="I127" s="185">
        <f t="shared" si="57"/>
        <v>1.4946126153681931</v>
      </c>
      <c r="J127" s="185">
        <f t="shared" si="57"/>
        <v>2.022155887979832</v>
      </c>
      <c r="K127" s="185">
        <f t="shared" si="57"/>
        <v>2.8208270868980092</v>
      </c>
    </row>
    <row r="128" spans="1:13" ht="14.25" hidden="1" outlineLevel="2">
      <c r="A128">
        <v>4</v>
      </c>
      <c r="B128" s="185">
        <f t="shared" si="58"/>
        <v>6.815224689002557</v>
      </c>
      <c r="C128" s="322">
        <f t="shared" si="57"/>
        <v>8.3254610101843429E-2</v>
      </c>
      <c r="D128" s="185">
        <f t="shared" si="57"/>
        <v>0.24884163878752671</v>
      </c>
      <c r="E128" s="185"/>
      <c r="F128" s="185">
        <f t="shared" si="57"/>
        <v>0.57046407229077067</v>
      </c>
      <c r="G128" s="185">
        <f t="shared" si="57"/>
        <v>0.79821904082179751</v>
      </c>
      <c r="H128" s="185">
        <f t="shared" si="57"/>
        <v>1.1455729091905671</v>
      </c>
      <c r="I128" s="185">
        <f t="shared" si="57"/>
        <v>1.4522278794594157</v>
      </c>
      <c r="J128" s="185">
        <f t="shared" si="57"/>
        <v>1.9648108994542994</v>
      </c>
      <c r="K128" s="185">
        <f t="shared" si="57"/>
        <v>2.7408331072586454</v>
      </c>
    </row>
    <row r="129" spans="1:13" ht="14.25" hidden="1" outlineLevel="2">
      <c r="A129">
        <v>5</v>
      </c>
      <c r="B129" s="185">
        <f>B122*SQRT((1+0.2*B$11^2)^(-0.467))</f>
        <v>6.6648315483583875</v>
      </c>
      <c r="C129" s="322">
        <f t="shared" si="57"/>
        <v>8.1417411350857796E-2</v>
      </c>
      <c r="D129" s="185">
        <f t="shared" si="57"/>
        <v>0.24335039274824533</v>
      </c>
      <c r="E129" s="185"/>
      <c r="F129" s="185">
        <f t="shared" si="57"/>
        <v>0.55787550956958654</v>
      </c>
      <c r="G129" s="185">
        <f t="shared" si="57"/>
        <v>0.78060455649454119</v>
      </c>
      <c r="H129" s="185">
        <f t="shared" si="57"/>
        <v>1.1202932866525079</v>
      </c>
      <c r="I129" s="185">
        <f t="shared" si="57"/>
        <v>1.4201812307149726</v>
      </c>
      <c r="J129" s="185">
        <f t="shared" si="57"/>
        <v>1.9214529625666641</v>
      </c>
      <c r="K129" s="185">
        <f t="shared" si="57"/>
        <v>2.6803505086955641</v>
      </c>
    </row>
    <row r="130" spans="1:13" ht="14.25" hidden="1" outlineLevel="1" collapsed="1"/>
    <row r="131" spans="1:13" ht="14.2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0.52687157036302812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18.503390550651357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17.925159595943509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17.34692864123565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16.768697686527798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16.190466731819939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15.612235777112085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15.034004822404231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14.455773867696376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13.87754291298852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13.299311958280665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0.25231896205433668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0.4888679889802775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0.70964708077782201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0.91465623744697078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1.103895458987723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1.2773647454000796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1.4350640966840402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1.5769935128396046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1.7031529938667729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1.8135425397655451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159.01351254466013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11.275503616803171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1.0537431407260562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7.0909090909090891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-7.3040923019922259E-5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-3.6520459951274836E-4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-5.84327318694562E-4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-7.3040910160763431E-4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-3.6520299213036842E-3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-7.3039624286038232E-3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-1.4607145638710567E-2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-3.6504238238711947E-2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-7.2911446814648145E-2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-4.1849366207814846E-3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-2.0924682210845962E-2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-3.3479489215394211E-2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-4.184935884005956E-2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-0.20924590114619526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-0.41848622088112192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-0.83692779583104271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-2.0915387854182685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-4.1775181806719086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-2.9396897471331285E-2</v>
      </c>
      <c r="C215" s="318">
        <f>C$190*VLOOKUP(C$214,$A$194:C$202,C$193,FALSE)</f>
        <v>-2.5586715020896655E-2</v>
      </c>
      <c r="D215" s="190">
        <f>D$190*VLOOKUP(D$214,$A$194:D$202,D$193,FALSE)</f>
        <v>-2.6687717587037387E-2</v>
      </c>
      <c r="F215" s="190">
        <f>F$190*VLOOKUP(F$214,$A$194:F$202,F$193,FALSE)</f>
        <v>-3.5648974511691647E-2</v>
      </c>
      <c r="G215" s="190">
        <f>G$190*VLOOKUP(G$214,$A$194:G$202,G$193,FALSE)</f>
        <v>-0.41212344545890167</v>
      </c>
      <c r="H215" s="190">
        <f>H$190*VLOOKUP(H$214,$A$194:H$202,H$193,FALSE)</f>
        <v>-5.2260112968634261E-2</v>
      </c>
      <c r="I215" s="190">
        <f>I$190*VLOOKUP(I$214,$A$194:I$202,I$193,FALSE)</f>
        <v>-3.3733757866406464E-2</v>
      </c>
      <c r="J215" s="190">
        <f>J$190*VLOOKUP(J$214,$A$194:J$202,J$193,FALSE)</f>
        <v>-2.0657623469823489E-2</v>
      </c>
      <c r="K215" s="190">
        <f>K$190*VLOOKUP(K$214,$A$194:K$202,K$193,FALSE)</f>
        <v>-1.1926684471120524E-2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-1.0324001245971723</v>
      </c>
      <c r="C217" s="318">
        <f t="shared" si="84"/>
        <v>-3.6068368127604104E-2</v>
      </c>
      <c r="D217" s="190">
        <f t="shared" si="84"/>
        <v>-0.33858358897021068</v>
      </c>
      <c r="F217" s="190">
        <f t="shared" si="84"/>
        <v>-2.4623800443100539</v>
      </c>
      <c r="G217" s="190">
        <f t="shared" si="84"/>
        <v>-58.095070557859067</v>
      </c>
      <c r="H217" s="190">
        <f t="shared" si="84"/>
        <v>-16.575430768106667</v>
      </c>
      <c r="I217" s="190">
        <f t="shared" si="84"/>
        <v>-19.021145872915898</v>
      </c>
      <c r="J217" s="190">
        <f t="shared" si="84"/>
        <v>-26.208057212825654</v>
      </c>
      <c r="K217" s="190">
        <f t="shared" si="84"/>
        <v>-42.031191352116693</v>
      </c>
    </row>
    <row r="218" spans="1:11" ht="15" hidden="1" customHeight="1" outlineLevel="2">
      <c r="A218">
        <v>2</v>
      </c>
      <c r="B218" s="190">
        <f t="shared" ref="B218:K218" si="85">B$33*(B88)*B$215</f>
        <v>-1.0001376207035111</v>
      </c>
      <c r="C218" s="318">
        <f t="shared" si="85"/>
        <v>-3.4941231623616481E-2</v>
      </c>
      <c r="D218" s="190">
        <f t="shared" si="85"/>
        <v>-0.32800285181489169</v>
      </c>
      <c r="F218" s="190">
        <f t="shared" si="85"/>
        <v>-2.3854306679253647</v>
      </c>
      <c r="G218" s="190">
        <f t="shared" si="85"/>
        <v>-56.279599602925977</v>
      </c>
      <c r="H218" s="190">
        <f t="shared" si="85"/>
        <v>-16.05744855660334</v>
      </c>
      <c r="I218" s="190">
        <f t="shared" si="85"/>
        <v>-18.426735064387277</v>
      </c>
      <c r="J218" s="190">
        <f t="shared" si="85"/>
        <v>-25.389055424924862</v>
      </c>
      <c r="K218" s="190">
        <f t="shared" si="85"/>
        <v>-40.717716622363056</v>
      </c>
    </row>
    <row r="219" spans="1:11" ht="15" hidden="1" customHeight="1" outlineLevel="2">
      <c r="A219">
        <v>3</v>
      </c>
      <c r="B219" s="190">
        <f t="shared" ref="B219:K219" si="86">B$33*(B89)*B$215</f>
        <v>-0.96787511680984917</v>
      </c>
      <c r="C219" s="318">
        <f t="shared" si="86"/>
        <v>-3.3814095119628844E-2</v>
      </c>
      <c r="D219" s="190">
        <f t="shared" si="86"/>
        <v>-0.31742211465957254</v>
      </c>
      <c r="F219" s="190">
        <f t="shared" si="86"/>
        <v>-2.3084812915406756</v>
      </c>
      <c r="G219" s="190">
        <f t="shared" si="86"/>
        <v>-54.464128647992879</v>
      </c>
      <c r="H219" s="190">
        <f t="shared" si="86"/>
        <v>-15.539466345100001</v>
      </c>
      <c r="I219" s="190">
        <f t="shared" si="86"/>
        <v>-17.832324255858655</v>
      </c>
      <c r="J219" s="190">
        <f t="shared" si="86"/>
        <v>-24.570053637024053</v>
      </c>
      <c r="K219" s="190">
        <f t="shared" si="86"/>
        <v>-39.404241892609406</v>
      </c>
    </row>
    <row r="220" spans="1:11" ht="15" hidden="1" customHeight="1" outlineLevel="2">
      <c r="A220">
        <v>4</v>
      </c>
      <c r="B220" s="190">
        <f t="shared" ref="B220:K220" si="87">B$33*(B90)*B$215</f>
        <v>-0.93561261291618769</v>
      </c>
      <c r="C220" s="318">
        <f t="shared" si="87"/>
        <v>-3.2686958615641228E-2</v>
      </c>
      <c r="D220" s="190">
        <f t="shared" si="87"/>
        <v>-0.3068413775042535</v>
      </c>
      <c r="F220" s="190">
        <f t="shared" si="87"/>
        <v>-2.2315319151559869</v>
      </c>
      <c r="G220" s="190">
        <f t="shared" si="87"/>
        <v>-52.648657693059789</v>
      </c>
      <c r="H220" s="190">
        <f t="shared" si="87"/>
        <v>-15.021484133596671</v>
      </c>
      <c r="I220" s="190">
        <f t="shared" si="87"/>
        <v>-17.237913447330037</v>
      </c>
      <c r="J220" s="190">
        <f t="shared" si="87"/>
        <v>-23.751051849123254</v>
      </c>
      <c r="K220" s="190">
        <f t="shared" si="87"/>
        <v>-38.090767162855762</v>
      </c>
    </row>
    <row r="221" spans="1:11" ht="15" hidden="1" customHeight="1" outlineLevel="2">
      <c r="A221">
        <v>5</v>
      </c>
      <c r="B221" s="190">
        <f t="shared" ref="B221:K221" si="88">B$33*(B91)*B$215</f>
        <v>-0.90335010902252588</v>
      </c>
      <c r="C221" s="318">
        <f t="shared" si="88"/>
        <v>-3.155982211165359E-2</v>
      </c>
      <c r="D221" s="190">
        <f t="shared" si="88"/>
        <v>-0.2962606403489344</v>
      </c>
      <c r="F221" s="190">
        <f t="shared" si="88"/>
        <v>-2.1545825387712969</v>
      </c>
      <c r="G221" s="190">
        <f t="shared" si="88"/>
        <v>-50.833186738126685</v>
      </c>
      <c r="H221" s="190">
        <f t="shared" si="88"/>
        <v>-14.503501922093333</v>
      </c>
      <c r="I221" s="190">
        <f t="shared" si="88"/>
        <v>-16.643502638801408</v>
      </c>
      <c r="J221" s="190">
        <f t="shared" si="88"/>
        <v>-22.932050061222448</v>
      </c>
      <c r="K221" s="190">
        <f t="shared" si="88"/>
        <v>-36.777292433102104</v>
      </c>
    </row>
    <row r="222" spans="1:11" ht="15" hidden="1" customHeight="1" outlineLevel="2">
      <c r="A222">
        <v>6</v>
      </c>
      <c r="B222" s="190">
        <f t="shared" ref="B222:K222" si="89">B$33*(B92)*B$215</f>
        <v>-0.87108760512886418</v>
      </c>
      <c r="C222" s="318">
        <f t="shared" si="89"/>
        <v>-3.0432685607665964E-2</v>
      </c>
      <c r="D222" s="190">
        <f t="shared" si="89"/>
        <v>-0.2856799031936153</v>
      </c>
      <c r="F222" s="190">
        <f t="shared" si="89"/>
        <v>-2.0776331623866078</v>
      </c>
      <c r="G222" s="190">
        <f t="shared" si="89"/>
        <v>-49.017715783193587</v>
      </c>
      <c r="H222" s="190">
        <f t="shared" si="89"/>
        <v>-13.985519710590001</v>
      </c>
      <c r="I222" s="190">
        <f t="shared" si="89"/>
        <v>-16.04909183027279</v>
      </c>
      <c r="J222" s="190">
        <f t="shared" si="89"/>
        <v>-22.113048273321649</v>
      </c>
      <c r="K222" s="190">
        <f t="shared" si="89"/>
        <v>-35.463817703348461</v>
      </c>
    </row>
    <row r="223" spans="1:11" ht="15" hidden="1" customHeight="1" outlineLevel="2">
      <c r="A223">
        <v>7</v>
      </c>
      <c r="B223" s="190">
        <f t="shared" ref="B223:K223" si="90">B$33*(B93)*B$215</f>
        <v>-0.83882510123520271</v>
      </c>
      <c r="C223" s="318">
        <f t="shared" si="90"/>
        <v>-2.9305549103678333E-2</v>
      </c>
      <c r="D223" s="190">
        <f t="shared" si="90"/>
        <v>-0.27509916603829621</v>
      </c>
      <c r="F223" s="190">
        <f t="shared" si="90"/>
        <v>-2.0006837860019191</v>
      </c>
      <c r="G223" s="190">
        <f t="shared" si="90"/>
        <v>-47.202244828260497</v>
      </c>
      <c r="H223" s="190">
        <f t="shared" si="90"/>
        <v>-13.467537499086667</v>
      </c>
      <c r="I223" s="190">
        <f t="shared" si="90"/>
        <v>-15.454681021744168</v>
      </c>
      <c r="J223" s="190">
        <f t="shared" si="90"/>
        <v>-21.294046485420846</v>
      </c>
      <c r="K223" s="190">
        <f t="shared" si="90"/>
        <v>-34.150342973594817</v>
      </c>
    </row>
    <row r="224" spans="1:11" ht="15" hidden="1" customHeight="1" outlineLevel="2">
      <c r="A224">
        <v>8</v>
      </c>
      <c r="B224" s="190">
        <f t="shared" ref="B224:K224" si="91">B$33*(B94)*B$215</f>
        <v>-0.80656259734154101</v>
      </c>
      <c r="C224" s="318">
        <f t="shared" si="91"/>
        <v>-2.8178412599690703E-2</v>
      </c>
      <c r="D224" s="190">
        <f t="shared" si="91"/>
        <v>-0.26451842888297711</v>
      </c>
      <c r="F224" s="190">
        <f t="shared" si="91"/>
        <v>-1.9237344096172295</v>
      </c>
      <c r="G224" s="190">
        <f t="shared" si="91"/>
        <v>-45.3867738733274</v>
      </c>
      <c r="H224" s="190">
        <f t="shared" si="91"/>
        <v>-12.949555287583335</v>
      </c>
      <c r="I224" s="190">
        <f t="shared" si="91"/>
        <v>-14.860270213215546</v>
      </c>
      <c r="J224" s="190">
        <f t="shared" si="91"/>
        <v>-20.475044697520044</v>
      </c>
      <c r="K224" s="190">
        <f t="shared" si="91"/>
        <v>-32.836868243841174</v>
      </c>
    </row>
    <row r="225" spans="1:11" ht="15" hidden="1" customHeight="1" outlineLevel="2">
      <c r="A225">
        <v>9</v>
      </c>
      <c r="B225" s="190">
        <f t="shared" ref="B225:K225" si="92">B$33*(B95)*B$215</f>
        <v>-0.77430009344787931</v>
      </c>
      <c r="C225" s="318">
        <f t="shared" si="92"/>
        <v>-2.705127609570308E-2</v>
      </c>
      <c r="D225" s="190">
        <f t="shared" si="92"/>
        <v>-0.25393769172765807</v>
      </c>
      <c r="F225" s="190">
        <f t="shared" si="92"/>
        <v>-1.8467850332325406</v>
      </c>
      <c r="G225" s="190">
        <f t="shared" si="92"/>
        <v>-43.571302918394302</v>
      </c>
      <c r="H225" s="190">
        <f t="shared" si="92"/>
        <v>-12.431573076080001</v>
      </c>
      <c r="I225" s="190">
        <f t="shared" si="92"/>
        <v>-14.265859404686923</v>
      </c>
      <c r="J225" s="190">
        <f t="shared" si="92"/>
        <v>-19.656042909619245</v>
      </c>
      <c r="K225" s="190">
        <f t="shared" si="92"/>
        <v>-31.523393514087527</v>
      </c>
    </row>
    <row r="226" spans="1:11" ht="15" hidden="1" customHeight="1" outlineLevel="2">
      <c r="A226">
        <v>10</v>
      </c>
      <c r="B226" s="190">
        <f t="shared" ref="B226:K226" si="93">B$33*(B96)*B$215</f>
        <v>-0.74203758955421772</v>
      </c>
      <c r="C226" s="318">
        <f t="shared" si="93"/>
        <v>-2.592413959171545E-2</v>
      </c>
      <c r="D226" s="190">
        <f t="shared" si="93"/>
        <v>-0.24335695457233891</v>
      </c>
      <c r="F226" s="190">
        <f t="shared" si="93"/>
        <v>-1.7698356568478513</v>
      </c>
      <c r="G226" s="190">
        <f t="shared" si="93"/>
        <v>-41.755831963461205</v>
      </c>
      <c r="H226" s="190">
        <f t="shared" si="93"/>
        <v>-11.913590864576667</v>
      </c>
      <c r="I226" s="190">
        <f t="shared" si="93"/>
        <v>-13.671448596158301</v>
      </c>
      <c r="J226" s="190">
        <f t="shared" si="93"/>
        <v>-18.837041121718439</v>
      </c>
      <c r="K226" s="190">
        <f t="shared" si="93"/>
        <v>-30.209918784333876</v>
      </c>
    </row>
    <row r="227" spans="1:11" ht="15" hidden="1" customHeight="1" outlineLevel="1" collapsed="1">
      <c r="A227" t="s">
        <v>514</v>
      </c>
      <c r="B227" s="190">
        <f>SUM(B217:B226)</f>
        <v>-8.8721885707569506</v>
      </c>
      <c r="C227" s="318">
        <f t="shared" ref="C227:K227" si="94">SUM(C217:C226)</f>
        <v>-0.30996253859659778</v>
      </c>
      <c r="D227" s="190">
        <f t="shared" si="94"/>
        <v>-2.9097027177127481</v>
      </c>
      <c r="F227" s="190">
        <f t="shared" si="94"/>
        <v>-21.161078505789526</v>
      </c>
      <c r="G227" s="190">
        <f t="shared" si="94"/>
        <v>-499.25451260660139</v>
      </c>
      <c r="H227" s="190">
        <f t="shared" si="94"/>
        <v>-142.44510816341668</v>
      </c>
      <c r="I227" s="190">
        <f t="shared" si="94"/>
        <v>-163.46297234537101</v>
      </c>
      <c r="J227" s="190">
        <f t="shared" si="94"/>
        <v>-225.22549167272049</v>
      </c>
      <c r="K227" s="190">
        <f t="shared" si="94"/>
        <v>-361.20555068225286</v>
      </c>
    </row>
    <row r="228" spans="1:11" ht="15" hidden="1" customHeight="1" outlineLevel="1">
      <c r="A228" t="s">
        <v>515</v>
      </c>
      <c r="B228" s="190">
        <f>B227*B192</f>
        <v>-1.064662628490834</v>
      </c>
      <c r="C228" s="318">
        <f t="shared" ref="C228:K228" si="95">C227*C192</f>
        <v>-3.7195504631591735E-2</v>
      </c>
      <c r="D228" s="190">
        <f t="shared" si="95"/>
        <v>-0.34916432612552978</v>
      </c>
      <c r="F228" s="190">
        <f t="shared" si="95"/>
        <v>-2.539329420694743</v>
      </c>
      <c r="G228" s="190">
        <f t="shared" si="95"/>
        <v>-59.910541512792165</v>
      </c>
      <c r="H228" s="190">
        <f t="shared" si="95"/>
        <v>-17.093412979610001</v>
      </c>
      <c r="I228" s="190">
        <f t="shared" si="95"/>
        <v>-19.61555668144452</v>
      </c>
      <c r="J228" s="190">
        <f t="shared" si="95"/>
        <v>-27.027059000726457</v>
      </c>
      <c r="K228" s="190">
        <f t="shared" si="95"/>
        <v>-43.344666081870344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-2.7849692341261216E-2</v>
      </c>
      <c r="C231" s="318">
        <f t="shared" si="97"/>
        <v>-2.4240045809270517E-2</v>
      </c>
      <c r="D231" s="190">
        <f t="shared" si="97"/>
        <v>-2.5283100871930159E-2</v>
      </c>
      <c r="F231" s="190">
        <f t="shared" si="97"/>
        <v>-3.3772712695286831E-2</v>
      </c>
      <c r="G231" s="190">
        <f t="shared" si="97"/>
        <v>-0.39043273780317</v>
      </c>
      <c r="H231" s="190">
        <f t="shared" si="97"/>
        <v>-4.9509580707127195E-2</v>
      </c>
      <c r="I231" s="190">
        <f t="shared" si="97"/>
        <v>-3.1958296926069281E-2</v>
      </c>
      <c r="J231" s="190">
        <f t="shared" si="97"/>
        <v>-1.9570380129306463E-2</v>
      </c>
      <c r="K231" s="190">
        <f t="shared" si="97"/>
        <v>-1.1298964235798393E-2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-2.2049241331819578E-4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1643771199.1620688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166.19760893838935</v>
      </c>
    </row>
    <row r="280" spans="1:2" ht="15" customHeight="1">
      <c r="A280" s="271" t="s">
        <v>493</v>
      </c>
      <c r="B280" s="277">
        <f>B292</f>
        <v>3.3786007844278205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328754239.83241379</v>
      </c>
    </row>
    <row r="283" spans="1:2" ht="15" hidden="1" customHeight="1" outlineLevel="1">
      <c r="A283">
        <v>2</v>
      </c>
      <c r="B283" s="185">
        <f>(B$20*B$3*($A283*B$281))/B$23</f>
        <v>657508479.66482759</v>
      </c>
    </row>
    <row r="284" spans="1:2" ht="15" hidden="1" customHeight="1" outlineLevel="1">
      <c r="A284">
        <v>3</v>
      </c>
      <c r="B284" s="185">
        <f>(B$20*B$3*($A284*B$281))/B$23</f>
        <v>986262719.49724126</v>
      </c>
    </row>
    <row r="285" spans="1:2" ht="15" hidden="1" customHeight="1" outlineLevel="1">
      <c r="A285">
        <v>4</v>
      </c>
      <c r="B285" s="185">
        <f>(B$20*B$3*($A285*B$281))/B$23</f>
        <v>1315016959.3296552</v>
      </c>
    </row>
    <row r="286" spans="1:2" ht="15" hidden="1" customHeight="1" outlineLevel="1">
      <c r="A286">
        <v>5</v>
      </c>
      <c r="B286" s="185">
        <f>(B$20*B$3*($A286*B$281))/B$23</f>
        <v>1643771199.1620688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3.9685684825209582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3.7028053233652196</v>
      </c>
    </row>
    <row r="290" spans="1:2" ht="15" hidden="1" customHeight="1" outlineLevel="1">
      <c r="A290">
        <v>3</v>
      </c>
      <c r="B290" s="185">
        <f t="shared" si="103"/>
        <v>3.555672505372069</v>
      </c>
    </row>
    <row r="291" spans="1:2" ht="15" hidden="1" customHeight="1" outlineLevel="1">
      <c r="A291">
        <v>4</v>
      </c>
      <c r="B291" s="185">
        <f t="shared" si="103"/>
        <v>3.4548395279378643</v>
      </c>
    </row>
    <row r="292" spans="1:2" ht="15" hidden="1" customHeight="1" outlineLevel="1">
      <c r="A292">
        <v>5</v>
      </c>
      <c r="B292" s="185">
        <f t="shared" si="103"/>
        <v>3.3786007844278205</v>
      </c>
    </row>
    <row r="293" spans="1:2" ht="15" customHeight="1" collapsed="1">
      <c r="A293" s="271" t="s">
        <v>492</v>
      </c>
      <c r="B293" s="277">
        <f>B299</f>
        <v>3.3403284863135099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3.9236131161603773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3.6608604834041736</v>
      </c>
    </row>
    <row r="297" spans="1:2" ht="15" hidden="1" customHeight="1" outlineLevel="1">
      <c r="A297">
        <v>3</v>
      </c>
      <c r="B297" s="185">
        <f t="shared" si="104"/>
        <v>3.5153943645660655</v>
      </c>
    </row>
    <row r="298" spans="1:2" ht="15" hidden="1" customHeight="1" outlineLevel="1">
      <c r="A298">
        <v>4</v>
      </c>
      <c r="B298" s="185">
        <f t="shared" si="104"/>
        <v>3.4157036084294767</v>
      </c>
    </row>
    <row r="299" spans="1:2" ht="15" hidden="1" customHeight="1" outlineLevel="1">
      <c r="A299">
        <v>5</v>
      </c>
      <c r="B299" s="185">
        <f t="shared" si="104"/>
        <v>3.3403284863135099</v>
      </c>
    </row>
    <row r="300" spans="1:2" ht="15" customHeight="1" collapsed="1"/>
    <row r="301" spans="1:2" ht="15" customHeight="1">
      <c r="A301" s="266" t="s">
        <v>672</v>
      </c>
      <c r="B301" s="190">
        <f>B8*B7*B302</f>
        <v>70.979990027230713</v>
      </c>
    </row>
    <row r="302" spans="1:2" ht="15" customHeight="1">
      <c r="A302" s="307" t="s">
        <v>578</v>
      </c>
      <c r="B302" s="310">
        <f>B304*B303+(4/PI())*(B265/B260)*B306*B310</f>
        <v>0.79752700839234758</v>
      </c>
    </row>
    <row r="303" spans="1:2" ht="15" customHeight="1">
      <c r="A303" t="s">
        <v>586</v>
      </c>
      <c r="B303" s="190">
        <f>SIN(RADIANS(B13))*COS(RADIANS(B13))</f>
        <v>0.24999999999999997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1.780235837034216E-2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0.32313072226548201</v>
      </c>
    </row>
    <row r="513" spans="1:2" ht="15" hidden="1" customHeight="1" outlineLevel="1">
      <c r="A513">
        <v>10</v>
      </c>
      <c r="B513" s="190">
        <f t="shared" ref="B513:B517" si="106">B$289*RADIANS(A513)</f>
        <v>0.64626144453096401</v>
      </c>
    </row>
    <row r="514" spans="1:2" ht="15" hidden="1" customHeight="1" outlineLevel="1">
      <c r="A514">
        <v>15</v>
      </c>
      <c r="B514" s="190">
        <f t="shared" si="106"/>
        <v>0.96939216679644591</v>
      </c>
    </row>
    <row r="515" spans="1:2" ht="15" hidden="1" customHeight="1" outlineLevel="1">
      <c r="A515">
        <v>20</v>
      </c>
      <c r="B515" s="190">
        <f t="shared" si="106"/>
        <v>1.292522889061928</v>
      </c>
    </row>
    <row r="516" spans="1:2" ht="15" hidden="1" customHeight="1" outlineLevel="1">
      <c r="A516">
        <v>25</v>
      </c>
      <c r="B516" s="190">
        <f t="shared" si="106"/>
        <v>1.61565361132741</v>
      </c>
    </row>
    <row r="517" spans="1:2" ht="15" hidden="1" customHeight="1" outlineLevel="1">
      <c r="A517">
        <v>30</v>
      </c>
      <c r="B517" s="190">
        <f t="shared" si="106"/>
        <v>1.9387843335928918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0.31029096170689185</v>
      </c>
    </row>
    <row r="521" spans="1:2" ht="15" hidden="1" customHeight="1" outlineLevel="1">
      <c r="A521">
        <v>10</v>
      </c>
      <c r="B521" s="190">
        <f t="shared" si="107"/>
        <v>0.62058192341378371</v>
      </c>
    </row>
    <row r="522" spans="1:2" ht="15" hidden="1" customHeight="1" outlineLevel="1">
      <c r="A522">
        <v>15</v>
      </c>
      <c r="B522" s="190">
        <f t="shared" si="107"/>
        <v>0.93087288512067545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0.90447487335843524</v>
      </c>
    </row>
    <row r="525" spans="1:2" ht="15" hidden="1" customHeight="1" outlineLevel="1">
      <c r="A525" s="312">
        <v>20</v>
      </c>
      <c r="B525" s="313">
        <f t="shared" ref="B525:B527" si="108">B$291*RADIANS(A525)</f>
        <v>1.205966497811247</v>
      </c>
    </row>
    <row r="526" spans="1:2" ht="15" hidden="1" customHeight="1" outlineLevel="1">
      <c r="A526" s="312">
        <v>25</v>
      </c>
      <c r="B526" s="313">
        <f t="shared" si="108"/>
        <v>1.5074581222640588</v>
      </c>
    </row>
    <row r="527" spans="1:2" ht="15" hidden="1" customHeight="1" outlineLevel="1">
      <c r="A527" s="312">
        <v>30</v>
      </c>
      <c r="B527" s="313">
        <f t="shared" si="108"/>
        <v>1.8089497467168705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125" defaultRowHeight="14.25"/>
  <cols>
    <col min="1" max="1" width="44.75" style="279" customWidth="1"/>
    <col min="2" max="4" width="9.375" style="280" customWidth="1"/>
    <col min="5" max="5" width="12.5" style="280" customWidth="1"/>
    <col min="6" max="6" width="13.375" style="280" bestFit="1" customWidth="1"/>
    <col min="7" max="7" width="9.375" style="280" customWidth="1"/>
    <col min="8" max="8" width="13.375" style="280" bestFit="1" customWidth="1"/>
    <col min="9" max="9" width="12.25" style="280" customWidth="1"/>
    <col min="10" max="12" width="9.375" style="280" customWidth="1"/>
    <col min="14" max="14" width="17.125" customWidth="1"/>
  </cols>
  <sheetData>
    <row r="1" spans="1:14" ht="15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 ht="15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 ht="15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 ht="15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 ht="15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 ht="15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 ht="15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 ht="15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9"/>
  <sheetViews>
    <sheetView workbookViewId="0">
      <selection activeCell="K14" sqref="K14"/>
    </sheetView>
  </sheetViews>
  <sheetFormatPr defaultRowHeight="14.25"/>
  <cols>
    <col min="1" max="1" width="10.5" customWidth="1"/>
  </cols>
  <sheetData>
    <row r="1" spans="1:10" ht="42.75" customHeight="1">
      <c r="A1" s="456" t="s">
        <v>539</v>
      </c>
      <c r="B1" s="456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56" t="s">
        <v>540</v>
      </c>
      <c r="B6" s="456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57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57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57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K30"/>
  <sheetViews>
    <sheetView zoomScale="70" zoomScaleNormal="70" workbookViewId="0">
      <selection activeCell="N27" sqref="N27"/>
    </sheetView>
  </sheetViews>
  <sheetFormatPr defaultColWidth="9.125" defaultRowHeight="14.25"/>
  <cols>
    <col min="1" max="1" width="30.875" bestFit="1" customWidth="1"/>
    <col min="3" max="3" width="74" bestFit="1" customWidth="1"/>
    <col min="4" max="4" width="49.37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2:R123"/>
  <sheetViews>
    <sheetView zoomScale="70" zoomScaleNormal="70" workbookViewId="0">
      <selection activeCell="U16" sqref="U16"/>
    </sheetView>
  </sheetViews>
  <sheetFormatPr defaultColWidth="9.125" defaultRowHeight="14.25"/>
  <cols>
    <col min="1" max="1" width="13" customWidth="1"/>
    <col min="2" max="2" width="11.125" customWidth="1"/>
  </cols>
  <sheetData>
    <row r="2" spans="1:5" ht="45">
      <c r="A2" s="187" t="s">
        <v>382</v>
      </c>
    </row>
    <row r="4" spans="1:5">
      <c r="A4" s="186" t="s">
        <v>383</v>
      </c>
    </row>
    <row r="5" spans="1:5">
      <c r="B5" s="458"/>
      <c r="C5" s="458"/>
      <c r="D5" s="458"/>
      <c r="E5" s="458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30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 ht="15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2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/>
  <dimension ref="A1"/>
  <sheetViews>
    <sheetView workbookViewId="0"/>
  </sheetViews>
  <sheetFormatPr defaultColWidth="9.125"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4"/>
  <dimension ref="A1"/>
  <sheetViews>
    <sheetView workbookViewId="0">
      <selection activeCell="K28" sqref="K28"/>
    </sheetView>
  </sheetViews>
  <sheetFormatPr defaultColWidth="9.125"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5"/>
  <dimension ref="A1"/>
  <sheetViews>
    <sheetView workbookViewId="0">
      <selection activeCell="O22" sqref="O22"/>
    </sheetView>
  </sheetViews>
  <sheetFormatPr defaultColWidth="9.125" defaultRowHeight="14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customXml/itemProps2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17</vt:i4>
      </vt:variant>
    </vt:vector>
  </HeadingPairs>
  <TitlesOfParts>
    <vt:vector size="32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  <vt:lpstr>Sbending</vt:lpstr>
      <vt:lpstr>ScuComp</vt:lpstr>
      <vt:lpstr>ScyComp</vt:lpstr>
      <vt:lpstr>SsyComp</vt:lpstr>
      <vt:lpstr>StyComp</vt:lpstr>
      <vt:lpstr>tubeZ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Leonardo Valadez Ortiz</cp:lastModifiedBy>
  <cp:revision/>
  <cp:lastPrinted>2025-09-23T15:38:59Z</cp:lastPrinted>
  <dcterms:created xsi:type="dcterms:W3CDTF">2024-07-02T19:27:32Z</dcterms:created>
  <dcterms:modified xsi:type="dcterms:W3CDTF">2025-09-23T21:48:39Z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