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FINANCIAL MODELING(TATA MOTORS)\"/>
    </mc:Choice>
  </mc:AlternateContent>
  <xr:revisionPtr revIDLastSave="0" documentId="13_ncr:1_{630BEC3B-1BEA-4058-86DC-133E78474C28}" xr6:coauthVersionLast="47" xr6:coauthVersionMax="47" xr10:uidLastSave="{00000000-0000-0000-0000-000000000000}"/>
  <bookViews>
    <workbookView xWindow="-120" yWindow="-120" windowWidth="29040" windowHeight="15840" firstSheet="4" activeTab="1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Financials" sheetId="7" r:id="rId6"/>
    <sheet name="Historical FS" sheetId="8" r:id="rId7"/>
    <sheet name="common size statment" sheetId="13" r:id="rId8"/>
    <sheet name="Ratio analysis" sheetId="11" r:id="rId9"/>
    <sheet name="cash flow data" sheetId="10" r:id="rId10"/>
    <sheet name="Forecasting" sheetId="12" r:id="rId11"/>
    <sheet name="Data Sheet" sheetId="6" r:id="rId12"/>
    <sheet name="Data" sheetId="9" r:id="rId13"/>
  </sheets>
  <externalReferences>
    <externalReference r:id="rId14"/>
  </externalReferences>
  <definedNames>
    <definedName name="_xlnm.Print_Area" localSheetId="7">'common size statment'!$H$3</definedName>
    <definedName name="_xlnm.Print_Area" localSheetId="10">Forecasting!$A$1:$P$46</definedName>
    <definedName name="_xlnm.Print_Area" localSheetId="6">'Historical FS'!$A$1:$M$77</definedName>
    <definedName name="_xlnm.Print_Area" localSheetId="8">'Ratio analysis'!$A$1:$Q$50</definedName>
    <definedName name="UPDATE">'Data Sheet'!$E$1</definedName>
  </definedNames>
  <calcPr calcId="181029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28" i="13" l="1"/>
  <c r="C98" i="8"/>
  <c r="D98" i="8"/>
  <c r="E98" i="8"/>
  <c r="F98" i="8"/>
  <c r="G98" i="8"/>
  <c r="H98" i="8"/>
  <c r="I98" i="8"/>
  <c r="C99" i="8"/>
  <c r="D99" i="8"/>
  <c r="E99" i="8"/>
  <c r="F99" i="8"/>
  <c r="G99" i="8"/>
  <c r="H99" i="8"/>
  <c r="I99" i="8"/>
  <c r="C100" i="8"/>
  <c r="D100" i="8"/>
  <c r="E100" i="8"/>
  <c r="F100" i="8"/>
  <c r="G100" i="8"/>
  <c r="H100" i="8"/>
  <c r="I100" i="8"/>
  <c r="D124" i="8"/>
  <c r="E124" i="8"/>
  <c r="F124" i="8"/>
  <c r="G124" i="8"/>
  <c r="H124" i="8"/>
  <c r="I124" i="8"/>
  <c r="J124" i="8"/>
  <c r="K124" i="8"/>
  <c r="L124" i="8"/>
  <c r="D125" i="8"/>
  <c r="E125" i="8"/>
  <c r="F125" i="8"/>
  <c r="G125" i="8"/>
  <c r="H125" i="8"/>
  <c r="I125" i="8"/>
  <c r="J125" i="8"/>
  <c r="K125" i="8"/>
  <c r="L125" i="8"/>
  <c r="D126" i="8"/>
  <c r="E126" i="8"/>
  <c r="F126" i="8"/>
  <c r="G126" i="8"/>
  <c r="H126" i="8"/>
  <c r="I126" i="8"/>
  <c r="J126" i="8"/>
  <c r="K126" i="8"/>
  <c r="L126" i="8"/>
  <c r="D127" i="8"/>
  <c r="E127" i="8"/>
  <c r="F127" i="8"/>
  <c r="G127" i="8"/>
  <c r="H127" i="8"/>
  <c r="I127" i="8"/>
  <c r="J127" i="8"/>
  <c r="K127" i="8"/>
  <c r="L127" i="8"/>
  <c r="D128" i="8"/>
  <c r="E128" i="8"/>
  <c r="F128" i="8"/>
  <c r="G128" i="8"/>
  <c r="H128" i="8"/>
  <c r="I128" i="8"/>
  <c r="J128" i="8"/>
  <c r="K128" i="8"/>
  <c r="L128" i="8"/>
  <c r="D129" i="8"/>
  <c r="E129" i="8"/>
  <c r="F129" i="8"/>
  <c r="G129" i="8"/>
  <c r="H129" i="8"/>
  <c r="I129" i="8"/>
  <c r="J129" i="8"/>
  <c r="K129" i="8"/>
  <c r="L129" i="8"/>
  <c r="D130" i="8"/>
  <c r="E130" i="8"/>
  <c r="F130" i="8"/>
  <c r="G130" i="8"/>
  <c r="H130" i="8"/>
  <c r="I130" i="8"/>
  <c r="J130" i="8"/>
  <c r="K130" i="8"/>
  <c r="L130" i="8"/>
  <c r="D131" i="8"/>
  <c r="E131" i="8"/>
  <c r="F131" i="8"/>
  <c r="G131" i="8"/>
  <c r="H131" i="8"/>
  <c r="I131" i="8"/>
  <c r="J131" i="8"/>
  <c r="K131" i="8"/>
  <c r="L131" i="8"/>
  <c r="C125" i="8"/>
  <c r="C126" i="8"/>
  <c r="C127" i="8"/>
  <c r="C128" i="8"/>
  <c r="C129" i="8"/>
  <c r="C130" i="8"/>
  <c r="C131" i="8"/>
  <c r="C124" i="8"/>
  <c r="L116" i="8"/>
  <c r="D116" i="8"/>
  <c r="E116" i="8"/>
  <c r="F116" i="8"/>
  <c r="G116" i="8"/>
  <c r="H116" i="8"/>
  <c r="I116" i="8"/>
  <c r="J116" i="8"/>
  <c r="K116" i="8"/>
  <c r="C116" i="8"/>
  <c r="D120" i="8"/>
  <c r="E120" i="8"/>
  <c r="F120" i="8"/>
  <c r="G120" i="8"/>
  <c r="H120" i="8"/>
  <c r="I120" i="8"/>
  <c r="J120" i="8"/>
  <c r="K120" i="8"/>
  <c r="L120" i="8"/>
  <c r="C120" i="8"/>
  <c r="D117" i="8"/>
  <c r="E117" i="8"/>
  <c r="F117" i="8"/>
  <c r="G117" i="8"/>
  <c r="H117" i="8"/>
  <c r="I117" i="8"/>
  <c r="J117" i="8"/>
  <c r="K117" i="8"/>
  <c r="L117" i="8"/>
  <c r="C117" i="8"/>
  <c r="D115" i="8"/>
  <c r="E115" i="8"/>
  <c r="F115" i="8"/>
  <c r="G115" i="8"/>
  <c r="H115" i="8"/>
  <c r="I115" i="8"/>
  <c r="J115" i="8"/>
  <c r="K115" i="8"/>
  <c r="L115" i="8"/>
  <c r="C115" i="8"/>
  <c r="D109" i="8"/>
  <c r="E109" i="8"/>
  <c r="F109" i="8"/>
  <c r="G109" i="8"/>
  <c r="H109" i="8"/>
  <c r="I109" i="8"/>
  <c r="J109" i="8"/>
  <c r="K109" i="8"/>
  <c r="L109" i="8"/>
  <c r="D110" i="8"/>
  <c r="E110" i="8"/>
  <c r="F110" i="8"/>
  <c r="G110" i="8"/>
  <c r="H110" i="8"/>
  <c r="I110" i="8"/>
  <c r="J110" i="8"/>
  <c r="K110" i="8"/>
  <c r="L110" i="8"/>
  <c r="D111" i="8"/>
  <c r="E111" i="8"/>
  <c r="F111" i="8"/>
  <c r="G111" i="8"/>
  <c r="H111" i="8"/>
  <c r="I111" i="8"/>
  <c r="J111" i="8"/>
  <c r="K111" i="8"/>
  <c r="L111" i="8"/>
  <c r="D112" i="8"/>
  <c r="E112" i="8"/>
  <c r="F112" i="8"/>
  <c r="G112" i="8"/>
  <c r="H112" i="8"/>
  <c r="I112" i="8"/>
  <c r="J112" i="8"/>
  <c r="K112" i="8"/>
  <c r="L112" i="8"/>
  <c r="D113" i="8"/>
  <c r="E113" i="8"/>
  <c r="F113" i="8"/>
  <c r="G113" i="8"/>
  <c r="H113" i="8"/>
  <c r="I113" i="8"/>
  <c r="J113" i="8"/>
  <c r="K113" i="8"/>
  <c r="L113" i="8"/>
  <c r="D114" i="8"/>
  <c r="E114" i="8"/>
  <c r="F114" i="8"/>
  <c r="G114" i="8"/>
  <c r="H114" i="8"/>
  <c r="I114" i="8"/>
  <c r="J114" i="8"/>
  <c r="K114" i="8"/>
  <c r="L114" i="8"/>
  <c r="C110" i="8"/>
  <c r="C111" i="8"/>
  <c r="C112" i="8"/>
  <c r="C113" i="8"/>
  <c r="C114" i="8"/>
  <c r="C109" i="8"/>
  <c r="B117" i="8"/>
  <c r="G103" i="8"/>
  <c r="H103" i="8"/>
  <c r="I103" i="8"/>
  <c r="J103" i="8"/>
  <c r="K103" i="8"/>
  <c r="L103" i="8"/>
  <c r="F103" i="8"/>
  <c r="E105" i="8"/>
  <c r="F105" i="8"/>
  <c r="G105" i="8"/>
  <c r="H105" i="8"/>
  <c r="I105" i="8"/>
  <c r="J105" i="8"/>
  <c r="K105" i="8"/>
  <c r="L105" i="8"/>
  <c r="E104" i="8"/>
  <c r="F104" i="8"/>
  <c r="G104" i="8"/>
  <c r="H104" i="8"/>
  <c r="I104" i="8"/>
  <c r="J104" i="8"/>
  <c r="K104" i="8"/>
  <c r="L104" i="8"/>
  <c r="D104" i="8"/>
  <c r="D105" i="8"/>
  <c r="J98" i="8"/>
  <c r="K98" i="8"/>
  <c r="L98" i="8"/>
  <c r="J99" i="8"/>
  <c r="K99" i="8"/>
  <c r="L99" i="8"/>
  <c r="J100" i="8"/>
  <c r="K100" i="8"/>
  <c r="L100" i="8"/>
  <c r="D101" i="8"/>
  <c r="E101" i="8"/>
  <c r="F101" i="8"/>
  <c r="G101" i="8"/>
  <c r="H101" i="8"/>
  <c r="I101" i="8"/>
  <c r="J101" i="8"/>
  <c r="K101" i="8"/>
  <c r="L101" i="8"/>
  <c r="D102" i="8"/>
  <c r="E102" i="8"/>
  <c r="F102" i="8"/>
  <c r="G102" i="8"/>
  <c r="H102" i="8"/>
  <c r="I102" i="8"/>
  <c r="J102" i="8"/>
  <c r="K102" i="8"/>
  <c r="L102" i="8"/>
  <c r="C101" i="8"/>
  <c r="C102" i="8"/>
  <c r="C103" i="8"/>
  <c r="C105" i="8"/>
  <c r="D43" i="13"/>
  <c r="E43" i="13"/>
  <c r="F43" i="13"/>
  <c r="G43" i="13"/>
  <c r="H43" i="13"/>
  <c r="I43" i="13"/>
  <c r="J43" i="13"/>
  <c r="K43" i="13"/>
  <c r="L43" i="13"/>
  <c r="D44" i="13"/>
  <c r="E44" i="13"/>
  <c r="F44" i="13"/>
  <c r="G44" i="13"/>
  <c r="H44" i="13"/>
  <c r="I44" i="13"/>
  <c r="J44" i="13"/>
  <c r="K44" i="13"/>
  <c r="L44" i="13"/>
  <c r="D45" i="13"/>
  <c r="E45" i="13"/>
  <c r="F45" i="13"/>
  <c r="G45" i="13"/>
  <c r="H45" i="13"/>
  <c r="I45" i="13"/>
  <c r="J45" i="13"/>
  <c r="K45" i="13"/>
  <c r="L45" i="13"/>
  <c r="C44" i="13"/>
  <c r="C45" i="13"/>
  <c r="C43" i="13"/>
  <c r="D42" i="13"/>
  <c r="E42" i="13"/>
  <c r="F42" i="13"/>
  <c r="G42" i="13"/>
  <c r="H42" i="13"/>
  <c r="I42" i="13"/>
  <c r="J42" i="13"/>
  <c r="K42" i="13"/>
  <c r="L42" i="13"/>
  <c r="C42" i="13"/>
  <c r="D39" i="13"/>
  <c r="E39" i="13"/>
  <c r="F39" i="13"/>
  <c r="G39" i="13"/>
  <c r="H39" i="13"/>
  <c r="I39" i="13"/>
  <c r="J39" i="13"/>
  <c r="K39" i="13"/>
  <c r="L39" i="13"/>
  <c r="D40" i="13"/>
  <c r="E40" i="13"/>
  <c r="F40" i="13"/>
  <c r="G40" i="13"/>
  <c r="H40" i="13"/>
  <c r="I40" i="13"/>
  <c r="J40" i="13"/>
  <c r="K40" i="13"/>
  <c r="L40" i="13"/>
  <c r="D41" i="13"/>
  <c r="E41" i="13"/>
  <c r="F41" i="13"/>
  <c r="G41" i="13"/>
  <c r="H41" i="13"/>
  <c r="I41" i="13"/>
  <c r="J41" i="13"/>
  <c r="K41" i="13"/>
  <c r="L41" i="13"/>
  <c r="C40" i="13"/>
  <c r="C41" i="13"/>
  <c r="C39" i="13"/>
  <c r="D38" i="13"/>
  <c r="E38" i="13"/>
  <c r="F38" i="13"/>
  <c r="G38" i="13"/>
  <c r="H38" i="13"/>
  <c r="I38" i="13"/>
  <c r="J38" i="13"/>
  <c r="K38" i="13"/>
  <c r="L38" i="13"/>
  <c r="C38" i="13"/>
  <c r="C75" i="6"/>
  <c r="D75" i="6"/>
  <c r="E75" i="6"/>
  <c r="F75" i="6"/>
  <c r="G75" i="6"/>
  <c r="H75" i="6"/>
  <c r="I75" i="6"/>
  <c r="J75" i="6"/>
  <c r="K75" i="6"/>
  <c r="B75" i="6"/>
  <c r="D33" i="13"/>
  <c r="E33" i="13"/>
  <c r="F33" i="13"/>
  <c r="G33" i="13"/>
  <c r="H33" i="13"/>
  <c r="I33" i="13"/>
  <c r="J33" i="13"/>
  <c r="K33" i="13"/>
  <c r="L33" i="13"/>
  <c r="D34" i="13"/>
  <c r="E34" i="13"/>
  <c r="F34" i="13"/>
  <c r="G34" i="13"/>
  <c r="H34" i="13"/>
  <c r="I34" i="13"/>
  <c r="J34" i="13"/>
  <c r="K34" i="13"/>
  <c r="L34" i="13"/>
  <c r="D35" i="13"/>
  <c r="E35" i="13"/>
  <c r="F35" i="13"/>
  <c r="G35" i="13"/>
  <c r="H35" i="13"/>
  <c r="I35" i="13"/>
  <c r="J35" i="13"/>
  <c r="K35" i="13"/>
  <c r="L35" i="13"/>
  <c r="D36" i="13"/>
  <c r="E36" i="13"/>
  <c r="F36" i="13"/>
  <c r="G36" i="13"/>
  <c r="H36" i="13"/>
  <c r="I36" i="13"/>
  <c r="J36" i="13"/>
  <c r="K36" i="13"/>
  <c r="L36" i="13"/>
  <c r="C34" i="13"/>
  <c r="C35" i="13"/>
  <c r="C36" i="13"/>
  <c r="C33" i="13"/>
  <c r="L32" i="13"/>
  <c r="K32" i="13"/>
  <c r="J32" i="13"/>
  <c r="I32" i="13"/>
  <c r="H32" i="13"/>
  <c r="G32" i="13"/>
  <c r="F32" i="13"/>
  <c r="E32" i="13"/>
  <c r="D32" i="13"/>
  <c r="C32" i="13"/>
  <c r="C13" i="13"/>
  <c r="D13" i="13"/>
  <c r="E13" i="13"/>
  <c r="F13" i="13"/>
  <c r="G13" i="13"/>
  <c r="H13" i="13"/>
  <c r="I13" i="13"/>
  <c r="J13" i="13"/>
  <c r="K13" i="13"/>
  <c r="L13" i="13"/>
  <c r="C14" i="13"/>
  <c r="D14" i="13"/>
  <c r="E14" i="13"/>
  <c r="F14" i="13"/>
  <c r="G14" i="13"/>
  <c r="H14" i="13"/>
  <c r="I14" i="13"/>
  <c r="J14" i="13"/>
  <c r="K14" i="13"/>
  <c r="L14" i="13"/>
  <c r="C15" i="13"/>
  <c r="D15" i="13"/>
  <c r="E15" i="13"/>
  <c r="F15" i="13"/>
  <c r="G15" i="13"/>
  <c r="H15" i="13"/>
  <c r="I15" i="13"/>
  <c r="J15" i="13"/>
  <c r="K15" i="13"/>
  <c r="L15" i="13"/>
  <c r="C16" i="13"/>
  <c r="D16" i="13"/>
  <c r="E16" i="13"/>
  <c r="F16" i="13"/>
  <c r="G16" i="13"/>
  <c r="H16" i="13"/>
  <c r="I16" i="13"/>
  <c r="J16" i="13"/>
  <c r="K16" i="13"/>
  <c r="L16" i="13"/>
  <c r="C17" i="13"/>
  <c r="D17" i="13"/>
  <c r="E17" i="13"/>
  <c r="F17" i="13"/>
  <c r="G17" i="13"/>
  <c r="H17" i="13"/>
  <c r="I17" i="13"/>
  <c r="J17" i="13"/>
  <c r="K17" i="13"/>
  <c r="L17" i="13"/>
  <c r="C18" i="13"/>
  <c r="D18" i="13"/>
  <c r="E18" i="13"/>
  <c r="F18" i="13"/>
  <c r="G18" i="13"/>
  <c r="H18" i="13"/>
  <c r="I18" i="13"/>
  <c r="J18" i="13"/>
  <c r="K18" i="13"/>
  <c r="L18" i="13"/>
  <c r="C19" i="13"/>
  <c r="D19" i="13"/>
  <c r="E19" i="13"/>
  <c r="F19" i="13"/>
  <c r="G19" i="13"/>
  <c r="H19" i="13"/>
  <c r="I19" i="13"/>
  <c r="J19" i="13"/>
  <c r="K19" i="13"/>
  <c r="L19" i="13"/>
  <c r="C20" i="13"/>
  <c r="D20" i="13"/>
  <c r="E20" i="13"/>
  <c r="F20" i="13"/>
  <c r="G20" i="13"/>
  <c r="H20" i="13"/>
  <c r="I20" i="13"/>
  <c r="J20" i="13"/>
  <c r="K20" i="13"/>
  <c r="L20" i="13"/>
  <c r="C21" i="13"/>
  <c r="D21" i="13"/>
  <c r="E21" i="13"/>
  <c r="F21" i="13"/>
  <c r="G21" i="13"/>
  <c r="H21" i="13"/>
  <c r="I21" i="13"/>
  <c r="J21" i="13"/>
  <c r="K21" i="13"/>
  <c r="L21" i="13"/>
  <c r="C22" i="13"/>
  <c r="D22" i="13"/>
  <c r="E22" i="13"/>
  <c r="F22" i="13"/>
  <c r="G22" i="13"/>
  <c r="H22" i="13"/>
  <c r="I22" i="13"/>
  <c r="J22" i="13"/>
  <c r="K22" i="13"/>
  <c r="L22" i="13"/>
  <c r="C23" i="13"/>
  <c r="D23" i="13"/>
  <c r="E23" i="13"/>
  <c r="F23" i="13"/>
  <c r="G23" i="13"/>
  <c r="H23" i="13"/>
  <c r="I23" i="13"/>
  <c r="J23" i="13"/>
  <c r="K23" i="13"/>
  <c r="L23" i="13"/>
  <c r="C24" i="13"/>
  <c r="D24" i="13"/>
  <c r="E24" i="13"/>
  <c r="F24" i="13"/>
  <c r="G24" i="13"/>
  <c r="H24" i="13"/>
  <c r="I24" i="13"/>
  <c r="J24" i="13"/>
  <c r="K24" i="13"/>
  <c r="L24" i="13"/>
  <c r="C25" i="13"/>
  <c r="D25" i="13"/>
  <c r="E25" i="13"/>
  <c r="F25" i="13"/>
  <c r="G25" i="13"/>
  <c r="H25" i="13"/>
  <c r="I25" i="13"/>
  <c r="J25" i="13"/>
  <c r="K25" i="13"/>
  <c r="L25" i="13"/>
  <c r="C26" i="13"/>
  <c r="D26" i="13"/>
  <c r="E26" i="13"/>
  <c r="F26" i="13"/>
  <c r="G26" i="13"/>
  <c r="H26" i="13"/>
  <c r="I26" i="13"/>
  <c r="J26" i="13"/>
  <c r="K26" i="13"/>
  <c r="L26" i="13"/>
  <c r="D12" i="13"/>
  <c r="E12" i="13"/>
  <c r="F12" i="13"/>
  <c r="G12" i="13"/>
  <c r="H12" i="13"/>
  <c r="I12" i="13"/>
  <c r="J12" i="13"/>
  <c r="K12" i="13"/>
  <c r="L12" i="13"/>
  <c r="C12" i="13"/>
  <c r="B45" i="13"/>
  <c r="B44" i="13"/>
  <c r="B43" i="13"/>
  <c r="B42" i="13"/>
  <c r="B41" i="13"/>
  <c r="B40" i="13"/>
  <c r="B39" i="13"/>
  <c r="B36" i="13"/>
  <c r="B35" i="13"/>
  <c r="B34" i="13"/>
  <c r="B33" i="13"/>
  <c r="L30" i="13"/>
  <c r="K30" i="13"/>
  <c r="J30" i="13"/>
  <c r="I30" i="13"/>
  <c r="H30" i="13"/>
  <c r="G30" i="13"/>
  <c r="F30" i="13"/>
  <c r="E30" i="13"/>
  <c r="D30" i="13"/>
  <c r="C30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L10" i="13"/>
  <c r="K10" i="13"/>
  <c r="J10" i="13"/>
  <c r="I10" i="13"/>
  <c r="H10" i="13"/>
  <c r="G10" i="13"/>
  <c r="F10" i="13"/>
  <c r="E10" i="13"/>
  <c r="D10" i="13"/>
  <c r="C10" i="13"/>
  <c r="K74" i="6"/>
  <c r="J74" i="6"/>
  <c r="I74" i="6"/>
  <c r="H74" i="6"/>
  <c r="G74" i="6"/>
  <c r="F74" i="6"/>
  <c r="E74" i="6"/>
  <c r="D74" i="6"/>
  <c r="C74" i="6"/>
  <c r="B74" i="6"/>
  <c r="L10" i="12" l="1"/>
  <c r="G10" i="12"/>
  <c r="D12" i="12" a="1"/>
  <c r="D13" i="12" s="1"/>
  <c r="C12" i="12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B10" i="12"/>
  <c r="B8" i="11"/>
  <c r="L9" i="11"/>
  <c r="K9" i="11"/>
  <c r="J9" i="11"/>
  <c r="I9" i="11"/>
  <c r="H9" i="11"/>
  <c r="G9" i="11"/>
  <c r="F9" i="11"/>
  <c r="E9" i="11"/>
  <c r="D9" i="11"/>
  <c r="C9" i="11"/>
  <c r="D144" i="8"/>
  <c r="E144" i="8"/>
  <c r="F144" i="8"/>
  <c r="G144" i="8"/>
  <c r="H144" i="8"/>
  <c r="I144" i="8"/>
  <c r="J144" i="8"/>
  <c r="K144" i="8"/>
  <c r="L144" i="8"/>
  <c r="D142" i="8"/>
  <c r="E142" i="8"/>
  <c r="F142" i="8"/>
  <c r="G142" i="8"/>
  <c r="H142" i="8"/>
  <c r="I142" i="8"/>
  <c r="J142" i="8"/>
  <c r="K142" i="8"/>
  <c r="L142" i="8"/>
  <c r="D140" i="8"/>
  <c r="E140" i="8"/>
  <c r="F140" i="8"/>
  <c r="G140" i="8"/>
  <c r="H140" i="8"/>
  <c r="I140" i="8"/>
  <c r="J140" i="8"/>
  <c r="K140" i="8"/>
  <c r="L140" i="8"/>
  <c r="C142" i="8"/>
  <c r="C144" i="8"/>
  <c r="C140" i="8"/>
  <c r="D64" i="8"/>
  <c r="E64" i="8"/>
  <c r="F64" i="8"/>
  <c r="G64" i="8"/>
  <c r="H64" i="8"/>
  <c r="I64" i="8"/>
  <c r="J64" i="8"/>
  <c r="K64" i="8"/>
  <c r="L64" i="8"/>
  <c r="C64" i="8"/>
  <c r="D67" i="8"/>
  <c r="E67" i="8"/>
  <c r="F67" i="8"/>
  <c r="G67" i="8"/>
  <c r="H67" i="8"/>
  <c r="I67" i="8"/>
  <c r="J67" i="8"/>
  <c r="K67" i="8"/>
  <c r="L67" i="8"/>
  <c r="D68" i="8"/>
  <c r="E68" i="8"/>
  <c r="F68" i="8"/>
  <c r="G68" i="8"/>
  <c r="H68" i="8"/>
  <c r="I68" i="8"/>
  <c r="J68" i="8"/>
  <c r="K68" i="8"/>
  <c r="L68" i="8"/>
  <c r="D69" i="8"/>
  <c r="E69" i="8"/>
  <c r="F69" i="8"/>
  <c r="G69" i="8"/>
  <c r="H69" i="8"/>
  <c r="I69" i="8"/>
  <c r="J69" i="8"/>
  <c r="K69" i="8"/>
  <c r="L69" i="8"/>
  <c r="C68" i="8"/>
  <c r="C69" i="8"/>
  <c r="C67" i="8"/>
  <c r="D61" i="8"/>
  <c r="E61" i="8"/>
  <c r="F61" i="8"/>
  <c r="G61" i="8"/>
  <c r="H61" i="8"/>
  <c r="I61" i="8"/>
  <c r="J61" i="8"/>
  <c r="K61" i="8"/>
  <c r="L61" i="8"/>
  <c r="D62" i="8"/>
  <c r="E62" i="8"/>
  <c r="F62" i="8"/>
  <c r="G62" i="8"/>
  <c r="H62" i="8"/>
  <c r="I62" i="8"/>
  <c r="J62" i="8"/>
  <c r="K62" i="8"/>
  <c r="L62" i="8"/>
  <c r="D63" i="8"/>
  <c r="E63" i="8"/>
  <c r="F63" i="8"/>
  <c r="G63" i="8"/>
  <c r="H63" i="8"/>
  <c r="I63" i="8"/>
  <c r="J63" i="8"/>
  <c r="K63" i="8"/>
  <c r="L63" i="8"/>
  <c r="C62" i="8"/>
  <c r="C63" i="8"/>
  <c r="C61" i="8"/>
  <c r="C56" i="8"/>
  <c r="D56" i="8"/>
  <c r="E56" i="8"/>
  <c r="F56" i="8"/>
  <c r="G56" i="8"/>
  <c r="H56" i="8"/>
  <c r="I56" i="8"/>
  <c r="J56" i="8"/>
  <c r="K56" i="8"/>
  <c r="L56" i="8"/>
  <c r="C57" i="8"/>
  <c r="D57" i="8"/>
  <c r="E57" i="8"/>
  <c r="F57" i="8"/>
  <c r="G57" i="8"/>
  <c r="H57" i="8"/>
  <c r="I57" i="8"/>
  <c r="J57" i="8"/>
  <c r="K57" i="8"/>
  <c r="L57" i="8"/>
  <c r="C58" i="8"/>
  <c r="D58" i="8"/>
  <c r="E58" i="8"/>
  <c r="F58" i="8"/>
  <c r="G58" i="8"/>
  <c r="H58" i="8"/>
  <c r="I58" i="8"/>
  <c r="J58" i="8"/>
  <c r="K58" i="8"/>
  <c r="L58" i="8"/>
  <c r="C59" i="8"/>
  <c r="D59" i="8"/>
  <c r="E59" i="8"/>
  <c r="F59" i="8"/>
  <c r="G59" i="8"/>
  <c r="H59" i="8"/>
  <c r="I59" i="8"/>
  <c r="J59" i="8"/>
  <c r="K59" i="8"/>
  <c r="L59" i="8"/>
  <c r="D55" i="8"/>
  <c r="E55" i="8"/>
  <c r="F55" i="8"/>
  <c r="G55" i="8"/>
  <c r="H55" i="8"/>
  <c r="I55" i="8"/>
  <c r="J55" i="8"/>
  <c r="K55" i="8"/>
  <c r="L55" i="8"/>
  <c r="C55" i="8"/>
  <c r="D44" i="8"/>
  <c r="D49" i="8" s="1"/>
  <c r="E44" i="8"/>
  <c r="E49" i="8" s="1"/>
  <c r="F44" i="8"/>
  <c r="F49" i="8" s="1"/>
  <c r="G44" i="8"/>
  <c r="G49" i="8" s="1"/>
  <c r="H44" i="8"/>
  <c r="H49" i="8" s="1"/>
  <c r="I44" i="8"/>
  <c r="I49" i="8" s="1"/>
  <c r="J44" i="8"/>
  <c r="J49" i="8" s="1"/>
  <c r="K44" i="8"/>
  <c r="K49" i="8" s="1"/>
  <c r="L44" i="8"/>
  <c r="L49" i="8" s="1"/>
  <c r="L15" i="11" s="1"/>
  <c r="C44" i="8"/>
  <c r="C49" i="8" s="1"/>
  <c r="D38" i="8"/>
  <c r="E38" i="8"/>
  <c r="F38" i="8"/>
  <c r="G38" i="8"/>
  <c r="H38" i="8"/>
  <c r="I38" i="8"/>
  <c r="J38" i="8"/>
  <c r="K38" i="8"/>
  <c r="L38" i="8"/>
  <c r="C38" i="8"/>
  <c r="D32" i="8"/>
  <c r="E32" i="8"/>
  <c r="F32" i="8"/>
  <c r="G32" i="8"/>
  <c r="H32" i="8"/>
  <c r="I32" i="8"/>
  <c r="J32" i="8"/>
  <c r="K32" i="8"/>
  <c r="L32" i="8"/>
  <c r="C32" i="8"/>
  <c r="D29" i="8"/>
  <c r="E29" i="8"/>
  <c r="F29" i="8"/>
  <c r="G29" i="8"/>
  <c r="H29" i="8"/>
  <c r="I29" i="8"/>
  <c r="J29" i="8"/>
  <c r="K29" i="8"/>
  <c r="L29" i="8"/>
  <c r="C29" i="8"/>
  <c r="D23" i="8"/>
  <c r="E23" i="8"/>
  <c r="F23" i="8"/>
  <c r="G23" i="8"/>
  <c r="H23" i="8"/>
  <c r="I23" i="8"/>
  <c r="J23" i="8"/>
  <c r="K23" i="8"/>
  <c r="L23" i="8"/>
  <c r="C23" i="8"/>
  <c r="D17" i="8"/>
  <c r="E17" i="8"/>
  <c r="F17" i="8"/>
  <c r="G17" i="8"/>
  <c r="H17" i="8"/>
  <c r="I17" i="8"/>
  <c r="J17" i="8"/>
  <c r="K17" i="8"/>
  <c r="L17" i="8"/>
  <c r="C17" i="8"/>
  <c r="L11" i="8"/>
  <c r="D14" i="8"/>
  <c r="E14" i="8"/>
  <c r="F14" i="8"/>
  <c r="G14" i="8"/>
  <c r="H14" i="8"/>
  <c r="H33" i="11" s="1"/>
  <c r="H40" i="11" s="1"/>
  <c r="I14" i="8"/>
  <c r="J14" i="8"/>
  <c r="K14" i="8"/>
  <c r="L14" i="8"/>
  <c r="L33" i="11" s="1"/>
  <c r="L40" i="11" s="1"/>
  <c r="C14" i="8"/>
  <c r="C11" i="8"/>
  <c r="D11" i="8"/>
  <c r="E11" i="8"/>
  <c r="F11" i="8"/>
  <c r="G11" i="8"/>
  <c r="H11" i="8"/>
  <c r="I11" i="8"/>
  <c r="J11" i="8"/>
  <c r="K11" i="8"/>
  <c r="B10" i="8"/>
  <c r="C6" i="3"/>
  <c r="D6" i="3"/>
  <c r="E6" i="3"/>
  <c r="E14" i="3" s="1"/>
  <c r="F6" i="3"/>
  <c r="G6" i="3"/>
  <c r="H6" i="3"/>
  <c r="I6" i="3"/>
  <c r="L6" i="1" s="1"/>
  <c r="J6" i="3"/>
  <c r="K6" i="3"/>
  <c r="B6" i="3"/>
  <c r="C5" i="1"/>
  <c r="C6" i="1" s="1"/>
  <c r="C19" i="1" s="1"/>
  <c r="D5" i="1"/>
  <c r="E5" i="1"/>
  <c r="F5" i="1"/>
  <c r="G5" i="1"/>
  <c r="H5" i="1"/>
  <c r="I5" i="1"/>
  <c r="J5" i="1"/>
  <c r="K5" i="1"/>
  <c r="B5" i="1"/>
  <c r="B6" i="6"/>
  <c r="C17" i="2"/>
  <c r="D17" i="2"/>
  <c r="D20" i="2" s="1"/>
  <c r="E17" i="2"/>
  <c r="F17" i="2"/>
  <c r="G17" i="2"/>
  <c r="H17" i="2"/>
  <c r="I17" i="2"/>
  <c r="J17" i="2"/>
  <c r="K17" i="2"/>
  <c r="C18" i="2"/>
  <c r="C21" i="2" s="1"/>
  <c r="D18" i="2"/>
  <c r="E18" i="2"/>
  <c r="F18" i="2"/>
  <c r="G18" i="2"/>
  <c r="G21" i="2" s="1"/>
  <c r="H18" i="2"/>
  <c r="I18" i="2"/>
  <c r="J18" i="2"/>
  <c r="K18" i="2"/>
  <c r="K21" i="2" s="1"/>
  <c r="B17" i="2"/>
  <c r="C4" i="2"/>
  <c r="D4" i="2"/>
  <c r="E4" i="2"/>
  <c r="E5" i="2"/>
  <c r="F4" i="2"/>
  <c r="G4" i="2"/>
  <c r="H4" i="2"/>
  <c r="H23" i="2" s="1"/>
  <c r="I4" i="2"/>
  <c r="I5" i="2"/>
  <c r="J4" i="2"/>
  <c r="J5" i="2"/>
  <c r="J23" i="2" s="1"/>
  <c r="K4" i="2"/>
  <c r="C5" i="2"/>
  <c r="D5" i="2"/>
  <c r="F5" i="2"/>
  <c r="F23" i="2" s="1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F16" i="2" s="1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H14" i="3" s="1"/>
  <c r="I4" i="3"/>
  <c r="J4" i="3"/>
  <c r="J14" i="3" s="1"/>
  <c r="K4" i="3"/>
  <c r="K14" i="3" s="1"/>
  <c r="C5" i="3"/>
  <c r="D5" i="3"/>
  <c r="E5" i="3"/>
  <c r="F5" i="3"/>
  <c r="G5" i="3"/>
  <c r="H5" i="3"/>
  <c r="I5" i="3"/>
  <c r="J5" i="3"/>
  <c r="K5" i="3"/>
  <c r="L5" i="1" s="1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L11" i="1" s="1"/>
  <c r="K11" i="3"/>
  <c r="C12" i="3"/>
  <c r="D12" i="3"/>
  <c r="E12" i="3"/>
  <c r="F12" i="3"/>
  <c r="G12" i="3"/>
  <c r="H12" i="3"/>
  <c r="I12" i="3"/>
  <c r="L12" i="1" s="1"/>
  <c r="L13" i="1" s="1"/>
  <c r="L14" i="1" s="1"/>
  <c r="L25" i="1" s="1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20" i="2" s="1"/>
  <c r="F4" i="1"/>
  <c r="F20" i="2" s="1"/>
  <c r="G4" i="1"/>
  <c r="H4" i="1"/>
  <c r="I4" i="1"/>
  <c r="I6" i="1" s="1"/>
  <c r="I19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F12" i="1"/>
  <c r="F13" i="1" s="1"/>
  <c r="G12" i="1"/>
  <c r="G23" i="2" s="1"/>
  <c r="H12" i="1"/>
  <c r="H13" i="1" s="1"/>
  <c r="I12" i="1"/>
  <c r="I13" i="1" s="1"/>
  <c r="J12" i="1"/>
  <c r="J13" i="1" s="1"/>
  <c r="K12" i="1"/>
  <c r="K13" i="1" s="1"/>
  <c r="K14" i="1" s="1"/>
  <c r="C15" i="1"/>
  <c r="D15" i="1"/>
  <c r="E15" i="1"/>
  <c r="F15" i="1"/>
  <c r="G15" i="1"/>
  <c r="H15" i="1"/>
  <c r="I15" i="1"/>
  <c r="J15" i="1"/>
  <c r="K15" i="1"/>
  <c r="B15" i="1"/>
  <c r="B7" i="1"/>
  <c r="B4" i="1"/>
  <c r="B20" i="2" s="1"/>
  <c r="A1" i="1"/>
  <c r="A1" i="3" s="1"/>
  <c r="E1" i="6"/>
  <c r="H1" i="1" s="1"/>
  <c r="E1" i="2"/>
  <c r="E1" i="3"/>
  <c r="H16" i="2"/>
  <c r="C23" i="2"/>
  <c r="C16" i="2"/>
  <c r="D23" i="2"/>
  <c r="J6" i="1"/>
  <c r="J19" i="1"/>
  <c r="D6" i="1"/>
  <c r="D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J21" i="2"/>
  <c r="H21" i="2"/>
  <c r="F21" i="2"/>
  <c r="D21" i="2"/>
  <c r="B18" i="2"/>
  <c r="B21" i="2" s="1"/>
  <c r="B13" i="2"/>
  <c r="B12" i="2"/>
  <c r="B11" i="2"/>
  <c r="B10" i="2"/>
  <c r="B8" i="2"/>
  <c r="B7" i="2"/>
  <c r="B6" i="2"/>
  <c r="B3" i="2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I14" i="3"/>
  <c r="G14" i="3"/>
  <c r="K20" i="2"/>
  <c r="J20" i="2"/>
  <c r="C20" i="2"/>
  <c r="L10" i="1"/>
  <c r="A1" i="2"/>
  <c r="A1" i="4" s="1"/>
  <c r="H23" i="1"/>
  <c r="I23" i="1"/>
  <c r="C45" i="11" l="1"/>
  <c r="G34" i="11"/>
  <c r="G41" i="11" s="1"/>
  <c r="J35" i="11"/>
  <c r="J42" i="11" s="1"/>
  <c r="K47" i="11"/>
  <c r="G47" i="11"/>
  <c r="D37" i="11"/>
  <c r="E45" i="11"/>
  <c r="H37" i="11"/>
  <c r="I45" i="11"/>
  <c r="G15" i="11"/>
  <c r="N11" i="1"/>
  <c r="M12" i="12" a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H12" i="12" a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F34" i="11"/>
  <c r="F41" i="11" s="1"/>
  <c r="F37" i="11"/>
  <c r="F33" i="11"/>
  <c r="F40" i="11" s="1"/>
  <c r="F36" i="11"/>
  <c r="F35" i="11"/>
  <c r="F42" i="11" s="1"/>
  <c r="J14" i="1"/>
  <c r="F14" i="1"/>
  <c r="C37" i="11"/>
  <c r="C33" i="11"/>
  <c r="C36" i="11"/>
  <c r="C35" i="11"/>
  <c r="I35" i="11"/>
  <c r="I42" i="11" s="1"/>
  <c r="I34" i="11"/>
  <c r="I41" i="11" s="1"/>
  <c r="I37" i="11"/>
  <c r="I33" i="11"/>
  <c r="I40" i="11" s="1"/>
  <c r="E35" i="11"/>
  <c r="E42" i="11" s="1"/>
  <c r="E34" i="11"/>
  <c r="E41" i="11" s="1"/>
  <c r="E37" i="11"/>
  <c r="E33" i="11"/>
  <c r="E40" i="11" s="1"/>
  <c r="J15" i="11"/>
  <c r="F15" i="11"/>
  <c r="C47" i="11"/>
  <c r="L4" i="1"/>
  <c r="L23" i="1" s="1"/>
  <c r="E23" i="2"/>
  <c r="K6" i="1"/>
  <c r="K19" i="1" s="1"/>
  <c r="G6" i="1"/>
  <c r="G19" i="1" s="1"/>
  <c r="B23" i="2"/>
  <c r="L36" i="11"/>
  <c r="L35" i="11"/>
  <c r="L42" i="11" s="1"/>
  <c r="L34" i="11"/>
  <c r="L41" i="11" s="1"/>
  <c r="H36" i="11"/>
  <c r="H35" i="11"/>
  <c r="H42" i="11" s="1"/>
  <c r="H34" i="11"/>
  <c r="H41" i="11" s="1"/>
  <c r="D36" i="11"/>
  <c r="D35" i="11"/>
  <c r="D42" i="11" s="1"/>
  <c r="D34" i="11"/>
  <c r="D41" i="11" s="1"/>
  <c r="I15" i="11"/>
  <c r="E15" i="11"/>
  <c r="J47" i="11"/>
  <c r="F47" i="11"/>
  <c r="C34" i="11"/>
  <c r="E36" i="11"/>
  <c r="L37" i="11"/>
  <c r="J34" i="11"/>
  <c r="J41" i="11" s="1"/>
  <c r="J37" i="11"/>
  <c r="J33" i="11"/>
  <c r="J40" i="11" s="1"/>
  <c r="J36" i="11"/>
  <c r="L146" i="8"/>
  <c r="L45" i="11"/>
  <c r="L47" i="11"/>
  <c r="K15" i="11"/>
  <c r="E21" i="2"/>
  <c r="I21" i="2"/>
  <c r="K37" i="11"/>
  <c r="K33" i="11"/>
  <c r="K40" i="11" s="1"/>
  <c r="K36" i="11"/>
  <c r="K35" i="11"/>
  <c r="K42" i="11" s="1"/>
  <c r="G37" i="11"/>
  <c r="G33" i="11"/>
  <c r="G40" i="11" s="1"/>
  <c r="G36" i="11"/>
  <c r="G35" i="11"/>
  <c r="G42" i="11" s="1"/>
  <c r="H15" i="11"/>
  <c r="D15" i="11"/>
  <c r="I47" i="11"/>
  <c r="E47" i="11"/>
  <c r="D33" i="11"/>
  <c r="D40" i="11" s="1"/>
  <c r="K34" i="11"/>
  <c r="K41" i="11" s="1"/>
  <c r="I36" i="11"/>
  <c r="H146" i="8"/>
  <c r="D146" i="8"/>
  <c r="F45" i="11"/>
  <c r="J45" i="11"/>
  <c r="D47" i="11"/>
  <c r="H47" i="11"/>
  <c r="G45" i="11"/>
  <c r="K45" i="11"/>
  <c r="D45" i="11"/>
  <c r="H45" i="11"/>
  <c r="D12" i="12"/>
  <c r="E13" i="12" s="1"/>
  <c r="D19" i="12"/>
  <c r="D18" i="12"/>
  <c r="D14" i="12"/>
  <c r="E14" i="12" s="1"/>
  <c r="D20" i="12"/>
  <c r="D16" i="12"/>
  <c r="D15" i="12"/>
  <c r="D21" i="12"/>
  <c r="D17" i="12"/>
  <c r="C146" i="8"/>
  <c r="K146" i="8"/>
  <c r="G146" i="8"/>
  <c r="J146" i="8"/>
  <c r="F146" i="8"/>
  <c r="I146" i="8"/>
  <c r="E146" i="8"/>
  <c r="F121" i="8"/>
  <c r="J121" i="8"/>
  <c r="K132" i="8"/>
  <c r="G132" i="8"/>
  <c r="J132" i="8"/>
  <c r="G121" i="8"/>
  <c r="H121" i="8"/>
  <c r="D121" i="8"/>
  <c r="E121" i="8"/>
  <c r="C121" i="8"/>
  <c r="I121" i="8"/>
  <c r="L132" i="8"/>
  <c r="H132" i="8"/>
  <c r="D132" i="8"/>
  <c r="I132" i="8"/>
  <c r="E132" i="8"/>
  <c r="C132" i="8"/>
  <c r="L121" i="8"/>
  <c r="K121" i="8"/>
  <c r="F132" i="8"/>
  <c r="F106" i="8"/>
  <c r="I106" i="8"/>
  <c r="E106" i="8"/>
  <c r="J106" i="8"/>
  <c r="K106" i="8"/>
  <c r="G106" i="8"/>
  <c r="L106" i="8"/>
  <c r="H106" i="8"/>
  <c r="D106" i="8"/>
  <c r="C106" i="8"/>
  <c r="J65" i="8"/>
  <c r="F65" i="8"/>
  <c r="L70" i="8"/>
  <c r="H70" i="8"/>
  <c r="D70" i="8"/>
  <c r="C65" i="8"/>
  <c r="I65" i="8"/>
  <c r="E65" i="8"/>
  <c r="K70" i="8"/>
  <c r="G70" i="8"/>
  <c r="L65" i="8"/>
  <c r="H65" i="8"/>
  <c r="D65" i="8"/>
  <c r="J70" i="8"/>
  <c r="F70" i="8"/>
  <c r="K65" i="8"/>
  <c r="G65" i="8"/>
  <c r="C70" i="8"/>
  <c r="C72" i="8" s="1"/>
  <c r="C74" i="8" s="1"/>
  <c r="I70" i="8"/>
  <c r="I72" i="8" s="1"/>
  <c r="I74" i="8" s="1"/>
  <c r="E70" i="8"/>
  <c r="E72" i="8" s="1"/>
  <c r="E74" i="8" s="1"/>
  <c r="D72" i="8"/>
  <c r="D15" i="8"/>
  <c r="I15" i="8"/>
  <c r="H11" i="11" s="1"/>
  <c r="H24" i="8"/>
  <c r="H23" i="11" s="1"/>
  <c r="L33" i="8"/>
  <c r="L24" i="11" s="1"/>
  <c r="C33" i="8"/>
  <c r="C24" i="11" s="1"/>
  <c r="E30" i="8"/>
  <c r="K24" i="8"/>
  <c r="K23" i="11" s="1"/>
  <c r="G18" i="8"/>
  <c r="I33" i="8"/>
  <c r="I24" i="11" s="1"/>
  <c r="C30" i="8"/>
  <c r="I30" i="8"/>
  <c r="D33" i="8"/>
  <c r="D24" i="11" s="1"/>
  <c r="E33" i="8"/>
  <c r="E24" i="11" s="1"/>
  <c r="C24" i="8"/>
  <c r="C23" i="11" s="1"/>
  <c r="I24" i="8"/>
  <c r="I23" i="11" s="1"/>
  <c r="E24" i="8"/>
  <c r="E23" i="11" s="1"/>
  <c r="H33" i="8"/>
  <c r="H24" i="11" s="1"/>
  <c r="G20" i="8"/>
  <c r="E15" i="8"/>
  <c r="D11" i="11" s="1"/>
  <c r="L24" i="8"/>
  <c r="L23" i="11" s="1"/>
  <c r="D24" i="8"/>
  <c r="D23" i="11" s="1"/>
  <c r="L18" i="8"/>
  <c r="H18" i="8"/>
  <c r="D18" i="8"/>
  <c r="J30" i="8"/>
  <c r="F30" i="8"/>
  <c r="J33" i="8"/>
  <c r="J24" i="11" s="1"/>
  <c r="F33" i="8"/>
  <c r="F24" i="11" s="1"/>
  <c r="K15" i="8"/>
  <c r="J11" i="11" s="1"/>
  <c r="C20" i="8"/>
  <c r="L30" i="8"/>
  <c r="H30" i="8"/>
  <c r="D30" i="8"/>
  <c r="L20" i="8"/>
  <c r="H20" i="8"/>
  <c r="C18" i="8"/>
  <c r="I18" i="8"/>
  <c r="E18" i="8"/>
  <c r="F24" i="8"/>
  <c r="F23" i="11" s="1"/>
  <c r="K30" i="8"/>
  <c r="G30" i="8"/>
  <c r="K33" i="8"/>
  <c r="K24" i="11" s="1"/>
  <c r="G33" i="8"/>
  <c r="G24" i="11" s="1"/>
  <c r="D20" i="8"/>
  <c r="H15" i="8"/>
  <c r="G11" i="11" s="1"/>
  <c r="K20" i="8"/>
  <c r="J18" i="8"/>
  <c r="J15" i="8"/>
  <c r="I11" i="11" s="1"/>
  <c r="F20" i="8"/>
  <c r="F18" i="8"/>
  <c r="F15" i="8"/>
  <c r="E11" i="11" s="1"/>
  <c r="L11" i="11"/>
  <c r="G15" i="8"/>
  <c r="F11" i="11" s="1"/>
  <c r="K18" i="8"/>
  <c r="J20" i="8"/>
  <c r="G24" i="8"/>
  <c r="G23" i="11" s="1"/>
  <c r="L15" i="8"/>
  <c r="K11" i="11" s="1"/>
  <c r="E20" i="8"/>
  <c r="J24" i="8"/>
  <c r="J23" i="11" s="1"/>
  <c r="I20" i="8"/>
  <c r="E6" i="1"/>
  <c r="E19" i="1" s="1"/>
  <c r="I14" i="1"/>
  <c r="K25" i="1" s="1"/>
  <c r="M25" i="1" s="1"/>
  <c r="M14" i="1" s="1"/>
  <c r="J23" i="1"/>
  <c r="L19" i="1"/>
  <c r="L24" i="1" s="1"/>
  <c r="G20" i="2"/>
  <c r="B16" i="2"/>
  <c r="H14" i="1"/>
  <c r="J16" i="2"/>
  <c r="G16" i="2"/>
  <c r="G24" i="2"/>
  <c r="E24" i="2"/>
  <c r="G13" i="1"/>
  <c r="G14" i="1" s="1"/>
  <c r="D13" i="1"/>
  <c r="E13" i="1" s="1"/>
  <c r="K24" i="1"/>
  <c r="M24" i="1" s="1"/>
  <c r="J24" i="2"/>
  <c r="D24" i="2"/>
  <c r="B14" i="1"/>
  <c r="D14" i="1"/>
  <c r="I16" i="2"/>
  <c r="K24" i="2"/>
  <c r="I24" i="2"/>
  <c r="E14" i="1"/>
  <c r="M11" i="1"/>
  <c r="K23" i="2"/>
  <c r="C24" i="2"/>
  <c r="I23" i="2"/>
  <c r="H24" i="2"/>
  <c r="F24" i="2"/>
  <c r="J25" i="1"/>
  <c r="M9" i="1"/>
  <c r="N9" i="1"/>
  <c r="N8" i="1"/>
  <c r="M8" i="1"/>
  <c r="H25" i="1"/>
  <c r="N25" i="1" s="1"/>
  <c r="N14" i="1" s="1"/>
  <c r="I25" i="1"/>
  <c r="I20" i="2"/>
  <c r="J24" i="1"/>
  <c r="H20" i="2"/>
  <c r="K23" i="1"/>
  <c r="M23" i="1" s="1"/>
  <c r="M4" i="1" s="1"/>
  <c r="H6" i="1"/>
  <c r="H19" i="1" s="1"/>
  <c r="F6" i="1"/>
  <c r="F19" i="1" s="1"/>
  <c r="I24" i="1" s="1"/>
  <c r="E1" i="4"/>
  <c r="E21" i="12" l="1"/>
  <c r="E15" i="12"/>
  <c r="E18" i="12"/>
  <c r="E16" i="12"/>
  <c r="E19" i="12"/>
  <c r="F43" i="11"/>
  <c r="F134" i="8"/>
  <c r="H43" i="11"/>
  <c r="J72" i="8"/>
  <c r="J74" i="8" s="1"/>
  <c r="D134" i="8"/>
  <c r="K134" i="8"/>
  <c r="I134" i="8"/>
  <c r="K43" i="11"/>
  <c r="J43" i="11"/>
  <c r="O45" i="11"/>
  <c r="G43" i="11"/>
  <c r="L43" i="11"/>
  <c r="L134" i="8"/>
  <c r="G134" i="8"/>
  <c r="H134" i="8"/>
  <c r="J134" i="8"/>
  <c r="E134" i="8"/>
  <c r="C134" i="8"/>
  <c r="P24" i="11"/>
  <c r="O24" i="11"/>
  <c r="J46" i="11"/>
  <c r="C46" i="11"/>
  <c r="I46" i="11"/>
  <c r="C41" i="11"/>
  <c r="P34" i="11"/>
  <c r="O34" i="11"/>
  <c r="O37" i="11"/>
  <c r="P37" i="11"/>
  <c r="P45" i="11"/>
  <c r="O11" i="11"/>
  <c r="P11" i="11"/>
  <c r="D74" i="8"/>
  <c r="D46" i="11"/>
  <c r="E17" i="12"/>
  <c r="E20" i="12"/>
  <c r="D43" i="11"/>
  <c r="E43" i="11"/>
  <c r="I43" i="11"/>
  <c r="C42" i="11"/>
  <c r="P35" i="11"/>
  <c r="O35" i="11"/>
  <c r="O23" i="11"/>
  <c r="P23" i="11"/>
  <c r="E46" i="11"/>
  <c r="P15" i="11"/>
  <c r="O15" i="11"/>
  <c r="P47" i="11"/>
  <c r="O47" i="11"/>
  <c r="P36" i="11"/>
  <c r="O36" i="11"/>
  <c r="H24" i="1"/>
  <c r="O33" i="11"/>
  <c r="C40" i="11"/>
  <c r="P33" i="11"/>
  <c r="D24" i="12"/>
  <c r="D23" i="12"/>
  <c r="D25" i="12"/>
  <c r="D22" i="12"/>
  <c r="E22" i="12" s="1"/>
  <c r="D26" i="12"/>
  <c r="L72" i="8"/>
  <c r="G72" i="8"/>
  <c r="F72" i="8"/>
  <c r="K72" i="8"/>
  <c r="H72" i="8"/>
  <c r="F26" i="8"/>
  <c r="F21" i="8"/>
  <c r="F17" i="11" s="1"/>
  <c r="J26" i="8"/>
  <c r="J21" i="8"/>
  <c r="J17" i="11" s="1"/>
  <c r="L26" i="8"/>
  <c r="L21" i="8"/>
  <c r="L17" i="11" s="1"/>
  <c r="C26" i="8"/>
  <c r="C21" i="8"/>
  <c r="C17" i="11" s="1"/>
  <c r="G26" i="8"/>
  <c r="G21" i="8"/>
  <c r="G17" i="11" s="1"/>
  <c r="H26" i="8"/>
  <c r="H21" i="8"/>
  <c r="H17" i="11" s="1"/>
  <c r="E26" i="8"/>
  <c r="E21" i="8"/>
  <c r="E17" i="11" s="1"/>
  <c r="I26" i="8"/>
  <c r="I21" i="8"/>
  <c r="I17" i="11" s="1"/>
  <c r="K26" i="8"/>
  <c r="K21" i="8"/>
  <c r="K17" i="11" s="1"/>
  <c r="D26" i="8"/>
  <c r="D21" i="8"/>
  <c r="D17" i="11" s="1"/>
  <c r="L27" i="8"/>
  <c r="L18" i="11" s="1"/>
  <c r="N24" i="1"/>
  <c r="N23" i="1"/>
  <c r="N4" i="1" s="1"/>
  <c r="M6" i="1"/>
  <c r="M10" i="1" s="1"/>
  <c r="M12" i="1" s="1"/>
  <c r="M13" i="1" s="1"/>
  <c r="M15" i="1" s="1"/>
  <c r="E23" i="12" l="1"/>
  <c r="E25" i="12"/>
  <c r="E24" i="12"/>
  <c r="P40" i="11"/>
  <c r="O40" i="11"/>
  <c r="C43" i="11"/>
  <c r="K35" i="8"/>
  <c r="K36" i="8" s="1"/>
  <c r="K20" i="11" s="1"/>
  <c r="K27" i="11"/>
  <c r="K19" i="11"/>
  <c r="K25" i="11" s="1"/>
  <c r="K31" i="11"/>
  <c r="J12" i="11"/>
  <c r="E35" i="8"/>
  <c r="E31" i="11"/>
  <c r="D12" i="11"/>
  <c r="E27" i="11"/>
  <c r="E19" i="11"/>
  <c r="E25" i="11" s="1"/>
  <c r="G27" i="8"/>
  <c r="G18" i="11" s="1"/>
  <c r="G27" i="11"/>
  <c r="G19" i="11"/>
  <c r="G25" i="11" s="1"/>
  <c r="G31" i="11"/>
  <c r="F12" i="11"/>
  <c r="L35" i="8"/>
  <c r="L39" i="8" s="1"/>
  <c r="L27" i="11"/>
  <c r="L19" i="11"/>
  <c r="L25" i="11" s="1"/>
  <c r="L31" i="11"/>
  <c r="L12" i="11"/>
  <c r="K12" i="11"/>
  <c r="F35" i="8"/>
  <c r="E13" i="11" s="1"/>
  <c r="E12" i="11"/>
  <c r="F27" i="11"/>
  <c r="F19" i="11"/>
  <c r="F25" i="11" s="1"/>
  <c r="F31" i="11"/>
  <c r="G74" i="8"/>
  <c r="G46" i="11"/>
  <c r="O17" i="11"/>
  <c r="P17" i="11"/>
  <c r="H74" i="8"/>
  <c r="H46" i="11"/>
  <c r="L74" i="8"/>
  <c r="L46" i="11"/>
  <c r="D35" i="8"/>
  <c r="D36" i="8" s="1"/>
  <c r="D20" i="11" s="1"/>
  <c r="D27" i="11"/>
  <c r="D19" i="11"/>
  <c r="D25" i="11" s="1"/>
  <c r="D31" i="11"/>
  <c r="I27" i="8"/>
  <c r="I18" i="11" s="1"/>
  <c r="I31" i="11"/>
  <c r="H12" i="11"/>
  <c r="I27" i="11"/>
  <c r="I19" i="11"/>
  <c r="I25" i="11" s="1"/>
  <c r="H35" i="8"/>
  <c r="H41" i="8" s="1"/>
  <c r="H27" i="11"/>
  <c r="H19" i="11"/>
  <c r="H25" i="11" s="1"/>
  <c r="H31" i="11"/>
  <c r="G12" i="11"/>
  <c r="C27" i="8"/>
  <c r="C18" i="11" s="1"/>
  <c r="I12" i="12" a="1"/>
  <c r="C31" i="11"/>
  <c r="C27" i="11"/>
  <c r="C19" i="11"/>
  <c r="J35" i="8"/>
  <c r="J36" i="8" s="1"/>
  <c r="J20" i="11" s="1"/>
  <c r="I12" i="11"/>
  <c r="J27" i="11"/>
  <c r="J19" i="11"/>
  <c r="J25" i="11" s="1"/>
  <c r="J31" i="11"/>
  <c r="K74" i="8"/>
  <c r="K46" i="11"/>
  <c r="E26" i="12"/>
  <c r="P41" i="11"/>
  <c r="O41" i="11"/>
  <c r="N6" i="1"/>
  <c r="N10" i="1" s="1"/>
  <c r="N12" i="1" s="1"/>
  <c r="N13" i="1" s="1"/>
  <c r="N15" i="1" s="1"/>
  <c r="F74" i="8"/>
  <c r="F46" i="11"/>
  <c r="P42" i="11"/>
  <c r="O42" i="11"/>
  <c r="C35" i="8"/>
  <c r="C39" i="8" s="1"/>
  <c r="F27" i="8"/>
  <c r="F18" i="11" s="1"/>
  <c r="E27" i="8"/>
  <c r="E18" i="11" s="1"/>
  <c r="K27" i="8"/>
  <c r="K18" i="11" s="1"/>
  <c r="J27" i="8"/>
  <c r="J18" i="11" s="1"/>
  <c r="I35" i="8"/>
  <c r="D27" i="8"/>
  <c r="D18" i="11" s="1"/>
  <c r="H27" i="8"/>
  <c r="H18" i="11" s="1"/>
  <c r="G35" i="8"/>
  <c r="F41" i="8"/>
  <c r="F36" i="8"/>
  <c r="F20" i="11" s="1"/>
  <c r="E36" i="8"/>
  <c r="E20" i="11" s="1"/>
  <c r="E41" i="8"/>
  <c r="E39" i="8"/>
  <c r="N5" i="1"/>
  <c r="M5" i="1"/>
  <c r="F39" i="8" l="1"/>
  <c r="D39" i="8"/>
  <c r="C41" i="8"/>
  <c r="C29" i="11" s="1"/>
  <c r="D41" i="8"/>
  <c r="D29" i="11" s="1"/>
  <c r="K41" i="8"/>
  <c r="K29" i="11" s="1"/>
  <c r="L36" i="8"/>
  <c r="L20" i="11" s="1"/>
  <c r="K39" i="8"/>
  <c r="H39" i="8"/>
  <c r="J41" i="8"/>
  <c r="J14" i="11" s="1"/>
  <c r="O46" i="11"/>
  <c r="P46" i="11"/>
  <c r="O18" i="11"/>
  <c r="P18" i="11"/>
  <c r="F29" i="11"/>
  <c r="E14" i="11"/>
  <c r="J39" i="8"/>
  <c r="P27" i="11"/>
  <c r="O27" i="11"/>
  <c r="H36" i="8"/>
  <c r="H20" i="11" s="1"/>
  <c r="G13" i="11"/>
  <c r="D13" i="11"/>
  <c r="O43" i="11"/>
  <c r="P43" i="11"/>
  <c r="C25" i="11"/>
  <c r="P19" i="11"/>
  <c r="O19" i="11"/>
  <c r="E29" i="11"/>
  <c r="D14" i="11"/>
  <c r="C36" i="8"/>
  <c r="C20" i="11" s="1"/>
  <c r="P31" i="11"/>
  <c r="O31" i="11"/>
  <c r="J13" i="11"/>
  <c r="G41" i="8"/>
  <c r="G14" i="11" s="1"/>
  <c r="F13" i="11"/>
  <c r="H42" i="8"/>
  <c r="H21" i="11" s="1"/>
  <c r="H29" i="11"/>
  <c r="I36" i="8"/>
  <c r="I20" i="11" s="1"/>
  <c r="H13" i="11"/>
  <c r="I13" i="11"/>
  <c r="I12" i="12"/>
  <c r="I15" i="12"/>
  <c r="I21" i="12"/>
  <c r="I17" i="12"/>
  <c r="I13" i="12"/>
  <c r="J13" i="12" s="1"/>
  <c r="I18" i="12"/>
  <c r="I14" i="12"/>
  <c r="I19" i="12"/>
  <c r="I20" i="12"/>
  <c r="I16" i="12"/>
  <c r="L41" i="8"/>
  <c r="K13" i="11"/>
  <c r="L13" i="11"/>
  <c r="O12" i="11"/>
  <c r="P12" i="11"/>
  <c r="I39" i="8"/>
  <c r="I41" i="8"/>
  <c r="I46" i="8" s="1"/>
  <c r="I52" i="8" s="1"/>
  <c r="I28" i="11" s="1"/>
  <c r="G39" i="8"/>
  <c r="G36" i="8"/>
  <c r="G20" i="11" s="1"/>
  <c r="H46" i="8"/>
  <c r="D46" i="8"/>
  <c r="F46" i="8"/>
  <c r="F42" i="8"/>
  <c r="F21" i="11" s="1"/>
  <c r="E46" i="8"/>
  <c r="E42" i="8"/>
  <c r="E21" i="11" s="1"/>
  <c r="C46" i="8" l="1"/>
  <c r="C42" i="8"/>
  <c r="C21" i="11" s="1"/>
  <c r="J29" i="11"/>
  <c r="K42" i="8"/>
  <c r="K21" i="11" s="1"/>
  <c r="D42" i="8"/>
  <c r="D21" i="11" s="1"/>
  <c r="K46" i="8"/>
  <c r="K52" i="8" s="1"/>
  <c r="K28" i="11" s="1"/>
  <c r="K30" i="11" s="1"/>
  <c r="J20" i="12"/>
  <c r="I14" i="11"/>
  <c r="J42" i="8"/>
  <c r="J21" i="11" s="1"/>
  <c r="J46" i="8"/>
  <c r="J52" i="8" s="1"/>
  <c r="J28" i="11" s="1"/>
  <c r="J21" i="12"/>
  <c r="J14" i="12"/>
  <c r="J19" i="12"/>
  <c r="J17" i="12"/>
  <c r="I42" i="8"/>
  <c r="I21" i="11" s="1"/>
  <c r="I22" i="12"/>
  <c r="J22" i="12" s="1"/>
  <c r="J16" i="12"/>
  <c r="J18" i="12"/>
  <c r="J15" i="12"/>
  <c r="I29" i="11"/>
  <c r="I30" i="11" s="1"/>
  <c r="H14" i="11"/>
  <c r="I24" i="12"/>
  <c r="I25" i="12"/>
  <c r="I23" i="12"/>
  <c r="I26" i="12"/>
  <c r="P20" i="11"/>
  <c r="O20" i="11"/>
  <c r="O13" i="11"/>
  <c r="P13" i="11"/>
  <c r="L42" i="8"/>
  <c r="L21" i="11" s="1"/>
  <c r="K14" i="11"/>
  <c r="L29" i="11"/>
  <c r="L14" i="11"/>
  <c r="L46" i="8"/>
  <c r="L50" i="8" s="1"/>
  <c r="L52" i="8" s="1"/>
  <c r="L28" i="11" s="1"/>
  <c r="F14" i="11"/>
  <c r="G29" i="11"/>
  <c r="P25" i="11"/>
  <c r="O25" i="11"/>
  <c r="H50" i="8"/>
  <c r="H52" i="8" s="1"/>
  <c r="H28" i="11" s="1"/>
  <c r="H30" i="11" s="1"/>
  <c r="G46" i="8"/>
  <c r="H47" i="8" s="1"/>
  <c r="G42" i="8"/>
  <c r="G21" i="11" s="1"/>
  <c r="C50" i="8"/>
  <c r="C52" i="8" s="1"/>
  <c r="C28" i="11" s="1"/>
  <c r="D47" i="8"/>
  <c r="D50" i="8"/>
  <c r="D52" i="8" s="1"/>
  <c r="D28" i="11" s="1"/>
  <c r="D30" i="11" s="1"/>
  <c r="E50" i="8"/>
  <c r="E52" i="8" s="1"/>
  <c r="E28" i="11" s="1"/>
  <c r="E30" i="11" s="1"/>
  <c r="E47" i="8"/>
  <c r="I50" i="8"/>
  <c r="I47" i="8"/>
  <c r="F47" i="8"/>
  <c r="F50" i="8"/>
  <c r="F52" i="8" s="1"/>
  <c r="F28" i="11" s="1"/>
  <c r="F30" i="11" s="1"/>
  <c r="J30" i="11" l="1"/>
  <c r="L47" i="8"/>
  <c r="K50" i="8"/>
  <c r="J23" i="12"/>
  <c r="J47" i="8"/>
  <c r="O21" i="11"/>
  <c r="J50" i="8"/>
  <c r="K47" i="8"/>
  <c r="J25" i="12"/>
  <c r="P21" i="11"/>
  <c r="O29" i="11"/>
  <c r="L30" i="11"/>
  <c r="J24" i="12"/>
  <c r="P14" i="11"/>
  <c r="O14" i="11"/>
  <c r="J26" i="12"/>
  <c r="N12" i="12" a="1"/>
  <c r="C30" i="11"/>
  <c r="P29" i="11"/>
  <c r="G47" i="8"/>
  <c r="G50" i="8"/>
  <c r="G52" i="8" s="1"/>
  <c r="G28" i="11" s="1"/>
  <c r="O28" i="11" l="1"/>
  <c r="G30" i="11"/>
  <c r="P28" i="11"/>
  <c r="N12" i="12"/>
  <c r="N15" i="12"/>
  <c r="N21" i="12"/>
  <c r="N17" i="12"/>
  <c r="N13" i="12"/>
  <c r="O13" i="12" s="1"/>
  <c r="N18" i="12"/>
  <c r="N14" i="12"/>
  <c r="N19" i="12"/>
  <c r="N20" i="12"/>
  <c r="N16" i="12"/>
  <c r="P30" i="11"/>
  <c r="O30" i="11"/>
  <c r="O16" i="12" l="1"/>
  <c r="O19" i="12"/>
  <c r="O17" i="12"/>
  <c r="O14" i="12"/>
  <c r="O20" i="12"/>
  <c r="N23" i="12"/>
  <c r="N22" i="12"/>
  <c r="O22" i="12" s="1"/>
  <c r="N24" i="12"/>
  <c r="N25" i="12"/>
  <c r="N26" i="12"/>
  <c r="O21" i="12"/>
  <c r="O18" i="12"/>
  <c r="O15" i="12"/>
  <c r="O26" i="12" l="1"/>
  <c r="O24" i="12"/>
  <c r="O23" i="12"/>
  <c r="O25" i="12"/>
</calcChain>
</file>

<file path=xl/sharedStrings.xml><?xml version="1.0" encoding="utf-8"?>
<sst xmlns="http://schemas.openxmlformats.org/spreadsheetml/2006/main" count="334" uniqueCount="206">
  <si>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</si>
  <si>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</si>
  <si>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</si>
  <si>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</si>
  <si>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</si>
  <si>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</si>
  <si>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</si>
  <si>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</si>
  <si>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</si>
  <si>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</si>
  <si>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</si>
  <si>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</si>
  <si>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</si>
  <si>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</si>
  <si>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</si>
  <si>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</si>
  <si>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</si>
  <si>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</si>
  <si>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</si>
  <si>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</si>
  <si>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</si>
  <si>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</si>
  <si>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</si>
  <si>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</si>
  <si>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</si>
  <si>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</si>
  <si>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</si>
  <si>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</si>
  <si>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</si>
  <si>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</si>
  <si>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</si>
  <si>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</si>
  <si>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</si>
  <si>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</si>
  <si>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</si>
  <si>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</si>
  <si>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</si>
  <si>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</si>
  <si>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</si>
  <si>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</si>
  <si>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</si>
  <si>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</si>
  <si>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</si>
  <si>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</si>
  <si>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</si>
  <si>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</si>
  <si>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</si>
  <si>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</si>
  <si>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</si>
  <si>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</si>
  <si>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</si>
  <si>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</si>
  <si>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</si>
  <si>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</si>
  <si>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</si>
  <si>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</si>
  <si>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</si>
  <si>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</si>
  <si>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</si>
  <si>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</si>
  <si>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</si>
  <si>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</si>
  <si>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</si>
  <si>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ITC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</si>
  <si>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</si>
  <si>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</si>
  <si>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</si>
  <si>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</si>
  <si>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</si>
  <si>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</si>
  <si>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</si>
  <si>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</si>
  <si>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</si>
  <si>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</si>
  <si>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</si>
  <si>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</si>
  <si>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</si>
  <si>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</si>
  <si>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</si>
  <si>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</si>
  <si>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</si>
  <si>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</si>
  <si>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</si>
  <si>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</si>
  <si>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</si>
  <si>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</si>
  <si>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</si>
  <si>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</si>
  <si>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</si>
  <si>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</si>
  <si>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</si>
  <si>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</si>
  <si>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</si>
  <si>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</si>
  <si>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#Income Statement</t>
  </si>
  <si>
    <t>COGS</t>
  </si>
  <si>
    <t>COGS % Sales</t>
  </si>
  <si>
    <t xml:space="preserve">Gross Profit </t>
  </si>
  <si>
    <t>EBITDA</t>
  </si>
  <si>
    <t>S&amp;G Exp % Sales</t>
  </si>
  <si>
    <t xml:space="preserve">Interest </t>
  </si>
  <si>
    <t>Interest % sales</t>
  </si>
  <si>
    <t>EBITDA Margins</t>
  </si>
  <si>
    <t xml:space="preserve">Earnings Before Tax </t>
  </si>
  <si>
    <t>EBT % Sales</t>
  </si>
  <si>
    <t>Effective Tax Rate</t>
  </si>
  <si>
    <t>Net Profit</t>
  </si>
  <si>
    <t>Net Margins</t>
  </si>
  <si>
    <t>No. Of Equity Shares</t>
  </si>
  <si>
    <t xml:space="preserve">Dividend Per Share </t>
  </si>
  <si>
    <t xml:space="preserve"> </t>
  </si>
  <si>
    <t>Earnings Per Share</t>
  </si>
  <si>
    <t>EPS Growth %</t>
  </si>
  <si>
    <t>Dividend Payout Ratio</t>
  </si>
  <si>
    <t>Retained Earnings</t>
  </si>
  <si>
    <t>Gross Margin</t>
  </si>
  <si>
    <t>#Balance Sheet</t>
  </si>
  <si>
    <t>Total Liabilities</t>
  </si>
  <si>
    <t>Fixed Assets Net Block</t>
  </si>
  <si>
    <t>Total Assets</t>
  </si>
  <si>
    <t>Total Non Current Assets</t>
  </si>
  <si>
    <t>Total Current Assets</t>
  </si>
  <si>
    <t>Check</t>
  </si>
  <si>
    <t>#Cash Flow Statements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</si>
  <si>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</si>
  <si>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</si>
  <si>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</si>
  <si>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</si>
  <si>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</si>
  <si>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</si>
  <si>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</si>
  <si>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</si>
  <si>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</si>
  <si>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</si>
  <si>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</si>
  <si>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</si>
  <si>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</si>
  <si>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</si>
  <si>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</si>
  <si>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</si>
  <si>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</si>
  <si>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</si>
  <si>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</si>
  <si>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</si>
  <si>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</si>
  <si>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</si>
  <si>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</si>
  <si>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</si>
  <si>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</si>
  <si>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</si>
  <si>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</si>
  <si>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Operating Activities</t>
  </si>
  <si>
    <t>Cash From Operating Activities</t>
  </si>
  <si>
    <t>Investing Activities</t>
  </si>
  <si>
    <t xml:space="preserve">Cash from Investing Activity </t>
  </si>
  <si>
    <t>Financing Activities</t>
  </si>
  <si>
    <t xml:space="preserve">Cash from Financing Activity </t>
  </si>
  <si>
    <t xml:space="preserve">Net Cash Flow </t>
  </si>
  <si>
    <t>#cash flow statement</t>
  </si>
  <si>
    <t>SalesGrowth</t>
  </si>
  <si>
    <t>EBITA Growth</t>
  </si>
  <si>
    <t>EBIT Growth</t>
  </si>
  <si>
    <t>Net Profit Margin</t>
  </si>
  <si>
    <t>EBITA Margin</t>
  </si>
  <si>
    <t>EBIT Margin</t>
  </si>
  <si>
    <t>EBT Margin</t>
  </si>
  <si>
    <t>SalesExpense%Sales</t>
  </si>
  <si>
    <t>Depreciation%Sales</t>
  </si>
  <si>
    <t>OperatingIncome%Sales</t>
  </si>
  <si>
    <t>Return on Capital Employed</t>
  </si>
  <si>
    <t>Retained Earnings%</t>
  </si>
  <si>
    <t>Return on Equity %</t>
  </si>
  <si>
    <t xml:space="preserve">Self Sustained Growth Rate </t>
  </si>
  <si>
    <t>Interest Coverage Ratio</t>
  </si>
  <si>
    <t>Debtor Turnover Ratio</t>
  </si>
  <si>
    <t>Creditor Turnover Ratio</t>
  </si>
  <si>
    <t>Inventory Turnover Ratio</t>
  </si>
  <si>
    <t>Fixed Assets Turnover Ratio</t>
  </si>
  <si>
    <t>Capital Turnover Ratio</t>
  </si>
  <si>
    <t>Payable Days</t>
  </si>
  <si>
    <t>Inventory Days</t>
  </si>
  <si>
    <t>Cash Conversion Cycle</t>
  </si>
  <si>
    <t>CFO/Sales</t>
  </si>
  <si>
    <t>CFO/Total debt</t>
  </si>
  <si>
    <t>CFO/Total Assets</t>
  </si>
  <si>
    <t>Net Profit Growth</t>
  </si>
  <si>
    <t>Dividend Growth</t>
  </si>
  <si>
    <t>(in days)</t>
  </si>
  <si>
    <t>Mean</t>
  </si>
  <si>
    <t>Median</t>
  </si>
  <si>
    <t>Trends</t>
  </si>
  <si>
    <t>Year Weight</t>
  </si>
  <si>
    <t xml:space="preserve"> Year</t>
  </si>
  <si>
    <t>EPS Growth</t>
  </si>
  <si>
    <t>EBITDA Growth</t>
  </si>
  <si>
    <t>other asset</t>
  </si>
  <si>
    <t>Total Asset</t>
  </si>
  <si>
    <t>Particulars</t>
  </si>
  <si>
    <t>Total liabilities</t>
  </si>
  <si>
    <t>Invest in subsidiaries</t>
  </si>
  <si>
    <t>( NSE Code - ITC | BSE - 500875 )</t>
  </si>
  <si>
    <t>INR 412.5</t>
  </si>
  <si>
    <t>52 Week (High - INR 528. 5 &amp; Low - 391.2)</t>
  </si>
  <si>
    <t>Selling and General Expense</t>
  </si>
  <si>
    <t>Depreciation % sales</t>
  </si>
  <si>
    <t>Common Size Income Statement - ITC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</si>
</sst>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"/>
    <numFmt numFmtId="167" formatCode="&quot;₹&quot;\ #,##0.0;\(\ &quot;₹&quot;\ #,##0.0\);\-"/>
    <numFmt numFmtId="168" formatCode="0.00&quot;x&quot;"/>
    <numFmt numFmtId="169" formatCode="0\ "/>
    <numFmt numFmtId="170" formatCode="0.0"/>
    <numFmt numFmtId="171" formatCode="yyyy"/>
    <numFmt numFmtId="172" formatCode="yyyy&quot;A&quot;"/>
    <numFmt numFmtId="173" formatCode="yyyy&quot;E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u/>
      <sz val="11"/>
      <color theme="10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theme="2" tint="-0.89996032593768116"/>
      </top>
      <bottom/>
      <diagonal/>
    </border>
    <border>
      <left/>
      <right/>
      <top/>
      <bottom style="hair">
        <color theme="2" tint="-0.89996032593768116"/>
      </bottom>
      <diagonal/>
    </border>
    <border>
      <left/>
      <right/>
      <top/>
      <bottom style="dashed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28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17" fontId="0" fillId="0" borderId="0" xfId="0" applyNumberFormat="1"/>
    <xf numFmtId="0" fontId="5" fillId="6" borderId="0" xfId="0" applyFont="1" applyFill="1"/>
    <xf numFmtId="17" fontId="5" fillId="6" borderId="0" xfId="0" applyNumberFormat="1" applyFont="1" applyFill="1"/>
    <xf numFmtId="166" fontId="0" fillId="0" borderId="0" xfId="0" applyNumberFormat="1"/>
    <xf numFmtId="0" fontId="10" fillId="0" borderId="0" xfId="0" applyFont="1"/>
    <xf numFmtId="9" fontId="10" fillId="0" borderId="0" xfId="6" applyFont="1"/>
    <xf numFmtId="10" fontId="10" fillId="0" borderId="0" xfId="0" applyNumberFormat="1" applyFont="1"/>
    <xf numFmtId="0" fontId="0" fillId="7" borderId="0" xfId="0" applyFill="1"/>
    <xf numFmtId="0" fontId="0" fillId="8" borderId="0" xfId="0" applyFill="1"/>
    <xf numFmtId="167" fontId="0" fillId="0" borderId="0" xfId="0" applyNumberFormat="1"/>
    <xf numFmtId="10" fontId="11" fillId="0" borderId="0" xfId="0" applyNumberFormat="1" applyFont="1"/>
    <xf numFmtId="0" fontId="11" fillId="0" borderId="0" xfId="0" applyFont="1"/>
    <xf numFmtId="166" fontId="11" fillId="0" borderId="0" xfId="0" applyNumberFormat="1" applyFont="1"/>
    <xf numFmtId="0" fontId="0" fillId="9" borderId="0" xfId="0" applyFill="1"/>
    <xf numFmtId="0" fontId="5" fillId="9" borderId="0" xfId="0" applyFont="1" applyFill="1"/>
    <xf numFmtId="17" fontId="5" fillId="9" borderId="0" xfId="0" applyNumberFormat="1" applyFont="1" applyFill="1"/>
    <xf numFmtId="17" fontId="0" fillId="9" borderId="0" xfId="0" applyNumberFormat="1" applyFill="1"/>
    <xf numFmtId="0" fontId="0" fillId="10" borderId="0" xfId="0" applyFill="1"/>
    <xf numFmtId="0" fontId="1" fillId="9" borderId="0" xfId="0" applyFont="1" applyFill="1"/>
    <xf numFmtId="3" fontId="12" fillId="11" borderId="0" xfId="0" applyNumberFormat="1" applyFont="1" applyFill="1" applyAlignment="1">
      <alignment horizontal="right" vertical="center" wrapText="1" indent="1"/>
    </xf>
    <xf numFmtId="3" fontId="13" fillId="11" borderId="0" xfId="0" applyNumberFormat="1" applyFont="1" applyFill="1" applyAlignment="1">
      <alignment horizontal="right" vertical="center" wrapText="1" indent="1"/>
    </xf>
    <xf numFmtId="0" fontId="13" fillId="11" borderId="0" xfId="0" applyFont="1" applyFill="1" applyAlignment="1">
      <alignment horizontal="right" vertical="center" wrapText="1" indent="1"/>
    </xf>
    <xf numFmtId="0" fontId="9" fillId="10" borderId="0" xfId="0" applyFont="1" applyFill="1"/>
    <xf numFmtId="3" fontId="0" fillId="0" borderId="0" xfId="0" applyNumberFormat="1"/>
    <xf numFmtId="167" fontId="1" fillId="0" borderId="0" xfId="0" applyNumberFormat="1" applyFont="1"/>
    <xf numFmtId="0" fontId="1" fillId="10" borderId="0" xfId="0" applyFont="1" applyFill="1"/>
    <xf numFmtId="0" fontId="1" fillId="0" borderId="1" xfId="0" applyFont="1" applyBorder="1"/>
    <xf numFmtId="166" fontId="1" fillId="0" borderId="1" xfId="0" applyNumberFormat="1" applyFont="1" applyBorder="1"/>
    <xf numFmtId="0" fontId="1" fillId="0" borderId="3" xfId="0" applyFont="1" applyBorder="1"/>
    <xf numFmtId="166" fontId="1" fillId="0" borderId="3" xfId="0" applyNumberFormat="1" applyFont="1" applyBorder="1"/>
    <xf numFmtId="167" fontId="1" fillId="0" borderId="3" xfId="0" applyNumberFormat="1" applyFont="1" applyBorder="1"/>
    <xf numFmtId="0" fontId="1" fillId="0" borderId="2" xfId="0" applyFont="1" applyBorder="1"/>
    <xf numFmtId="166" fontId="1" fillId="0" borderId="2" xfId="0" applyNumberFormat="1" applyFont="1" applyBorder="1"/>
    <xf numFmtId="168" fontId="0" fillId="0" borderId="0" xfId="0" applyNumberFormat="1"/>
    <xf numFmtId="0" fontId="0" fillId="0" borderId="4" xfId="0" applyBorder="1"/>
    <xf numFmtId="10" fontId="0" fillId="0" borderId="4" xfId="0" applyNumberFormat="1" applyBorder="1"/>
    <xf numFmtId="0" fontId="0" fillId="0" borderId="5" xfId="0" applyBorder="1"/>
    <xf numFmtId="10" fontId="0" fillId="0" borderId="5" xfId="0" applyNumberFormat="1" applyBorder="1"/>
    <xf numFmtId="0" fontId="0" fillId="0" borderId="6" xfId="0" applyBorder="1"/>
    <xf numFmtId="10" fontId="0" fillId="0" borderId="6" xfId="0" applyNumberFormat="1" applyBorder="1"/>
    <xf numFmtId="0" fontId="0" fillId="0" borderId="7" xfId="0" applyBorder="1"/>
    <xf numFmtId="168" fontId="0" fillId="0" borderId="7" xfId="0" applyNumberFormat="1" applyBorder="1"/>
    <xf numFmtId="168" fontId="0" fillId="0" borderId="6" xfId="0" applyNumberFormat="1" applyBorder="1"/>
    <xf numFmtId="0" fontId="1" fillId="0" borderId="4" xfId="0" applyFont="1" applyBorder="1"/>
    <xf numFmtId="169" fontId="0" fillId="0" borderId="0" xfId="0" applyNumberFormat="1"/>
    <xf numFmtId="169" fontId="0" fillId="0" borderId="5" xfId="0" applyNumberFormat="1" applyBorder="1"/>
    <xf numFmtId="1" fontId="0" fillId="0" borderId="0" xfId="0" applyNumberFormat="1"/>
    <xf numFmtId="1" fontId="0" fillId="0" borderId="7" xfId="0" applyNumberFormat="1" applyBorder="1"/>
    <xf numFmtId="171" fontId="0" fillId="0" borderId="0" xfId="0" applyNumberFormat="1"/>
    <xf numFmtId="172" fontId="0" fillId="0" borderId="0" xfId="0" applyNumberFormat="1"/>
    <xf numFmtId="170" fontId="0" fillId="0" borderId="0" xfId="0" applyNumberFormat="1"/>
    <xf numFmtId="0" fontId="0" fillId="12" borderId="0" xfId="0" applyFill="1" applyAlignment="1">
      <alignment horizontal="left"/>
    </xf>
    <xf numFmtId="173" fontId="0" fillId="12" borderId="0" xfId="0" applyNumberFormat="1" applyFill="1"/>
    <xf numFmtId="0" fontId="0" fillId="12" borderId="0" xfId="0" applyFill="1"/>
    <xf numFmtId="10" fontId="0" fillId="12" borderId="0" xfId="0" applyNumberFormat="1" applyFill="1"/>
    <xf numFmtId="172" fontId="0" fillId="12" borderId="0" xfId="0" applyNumberFormat="1" applyFill="1"/>
    <xf numFmtId="170" fontId="0" fillId="12" borderId="0" xfId="0" applyNumberFormat="1" applyFill="1"/>
    <xf numFmtId="0" fontId="1" fillId="0" borderId="8" xfId="0" applyFont="1" applyBorder="1"/>
    <xf numFmtId="17" fontId="14" fillId="0" borderId="8" xfId="0" applyNumberFormat="1" applyFont="1" applyBorder="1"/>
    <xf numFmtId="15" fontId="1" fillId="0" borderId="0" xfId="0" applyNumberFormat="1" applyFont="1"/>
    <xf numFmtId="43" fontId="1" fillId="0" borderId="0" xfId="0" applyNumberFormat="1" applyFont="1"/>
    <xf numFmtId="10" fontId="1" fillId="0" borderId="0" xfId="6" applyNumberFormat="1" applyFont="1"/>
    <xf numFmtId="43" fontId="0" fillId="0" borderId="0" xfId="0" applyNumberFormat="1"/>
    <xf numFmtId="10" fontId="0" fillId="0" borderId="0" xfId="6" applyNumberFormat="1" applyFont="1"/>
    <xf numFmtId="9" fontId="1" fillId="0" borderId="0" xfId="6" applyFont="1"/>
    <xf numFmtId="10" fontId="3" fillId="0" borderId="0" xfId="6" applyNumberFormat="1" applyFont="1"/>
    <xf numFmtId="17" fontId="0" fillId="11" borderId="0" xfId="0" applyNumberFormat="1" applyFill="1"/>
    <xf numFmtId="17" fontId="15" fillId="11" borderId="0" xfId="0" applyNumberFormat="1" applyFont="1" applyFill="1" applyAlignment="1">
      <alignment horizontal="right" vertical="center" wrapText="1" indent="1"/>
    </xf>
    <xf numFmtId="0" fontId="16" fillId="11" borderId="0" xfId="0" applyFont="1" applyFill="1" applyAlignment="1">
      <alignment horizontal="left" vertical="center" indent="1"/>
    </xf>
    <xf numFmtId="3" fontId="16" fillId="11" borderId="0" xfId="0" applyNumberFormat="1" applyFont="1" applyFill="1" applyAlignment="1">
      <alignment horizontal="right" vertical="center" wrapText="1" indent="1"/>
    </xf>
    <xf numFmtId="0" fontId="16" fillId="11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right" vertical="center" wrapText="1" indent="1"/>
    </xf>
    <xf numFmtId="0" fontId="16" fillId="11" borderId="0" xfId="0" applyFont="1" applyFill="1" applyAlignment="1">
      <alignment horizontal="right" vertical="center" wrapText="1" indent="1"/>
    </xf>
    <xf numFmtId="17" fontId="12" fillId="11" borderId="0" xfId="0" applyNumberFormat="1" applyFont="1" applyFill="1" applyAlignment="1">
      <alignment horizontal="right" vertical="center" wrapText="1" indent="1"/>
    </xf>
    <xf numFmtId="0" fontId="1" fillId="12" borderId="0" xfId="0" applyFont="1" applyFill="1"/>
    <xf numFmtId="3" fontId="12" fillId="12" borderId="0" xfId="0" applyNumberFormat="1" applyFont="1" applyFill="1" applyAlignment="1">
      <alignment horizontal="right" vertical="center" wrapText="1" indent="1"/>
    </xf>
    <xf numFmtId="3" fontId="0" fillId="12" borderId="0" xfId="0" applyNumberFormat="1" applyFill="1"/>
    <xf numFmtId="0" fontId="0" fillId="8" borderId="0" xfId="0" applyFill="1" applyAlignment="1">
      <alignment horizontal="left"/>
    </xf>
    <xf numFmtId="0" fontId="1" fillId="8" borderId="0" xfId="0" applyFont="1" applyFill="1"/>
    <xf numFmtId="167" fontId="1" fillId="8" borderId="0" xfId="0" applyNumberFormat="1" applyFont="1" applyFill="1"/>
    <xf numFmtId="0" fontId="1" fillId="0" borderId="0" xfId="0" applyFont="1" applyAlignment="1">
      <alignment horizontal="right"/>
    </xf>
    <xf numFmtId="43" fontId="18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/>
    </xf>
    <xf numFmtId="167" fontId="1" fillId="9" borderId="0" xfId="0" applyNumberFormat="1" applyFont="1" applyFill="1"/>
    <xf numFmtId="0" fontId="2" fillId="8" borderId="9" xfId="0" applyFont="1" applyFill="1" applyBorder="1"/>
    <xf numFmtId="167" fontId="2" fillId="8" borderId="9" xfId="0" applyNumberFormat="1" applyFont="1" applyFill="1" applyBorder="1"/>
    <xf numFmtId="0" fontId="2" fillId="8" borderId="10" xfId="0" applyFont="1" applyFill="1" applyBorder="1"/>
    <xf numFmtId="167" fontId="2" fillId="8" borderId="10" xfId="0" applyNumberFormat="1" applyFont="1" applyFill="1" applyBorder="1"/>
    <xf numFmtId="43" fontId="18" fillId="0" borderId="0" xfId="0" applyNumberFormat="1" applyFont="1" applyAlignment="1">
      <alignment horizontal="left" vertical="top"/>
    </xf>
    <xf numFmtId="0" fontId="5" fillId="8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6" borderId="0" xfId="0" applyFont="1" applyFill="1"/>
    <xf numFmtId="17" fontId="2" fillId="6" borderId="0" xfId="0" applyNumberFormat="1" applyFont="1" applyFill="1"/>
    <xf numFmtId="0" fontId="2" fillId="6" borderId="0" xfId="0" applyFont="1" applyFill="1" applyAlignment="1">
      <alignment horizontal="right"/>
    </xf>
    <xf numFmtId="0" fontId="1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</cellXfs>
  <cellStyles count="9">
    <cellStyle name="60% - Accent1" xfId="3" builtinId="32"/>
    <cellStyle name="60% - Accent3" xfId="4" builtinId="40"/>
    <cellStyle name="Accent6" xfId="5" builtinId="49"/>
    <cellStyle name="Comma" xfId="1" builtinId="3"/>
    <cellStyle name="Comma 2" xfId="8" xr:uid="{F3A99E34-978D-4C27-BA5C-595A48B58377}"/>
    <cellStyle name="Hyperlink" xfId="2" builtinId="8"/>
    <cellStyle name="Hyperlink 2" xfId="7" xr:uid="{3E9F7A1A-9B2D-4441-9BAB-56784E8B2913}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FE-4F8F-9C76-AB45817F1D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7FE-4F8F-9C76-AB45817F1D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FE-4F8F-9C76-AB45817F1DF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7FE-4F8F-9C76-AB45817F1DF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FE-4F8F-9C76-AB45817F1DFB}"/>
              </c:ext>
            </c:extLst>
          </c:dPt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Forecasting!$C$22:$C$26</c:f>
              <c:numCache>
                <c:formatCode>yyyy"E"</c:formatCode>
                <c:ptCount val="5"/>
                <c:pt idx="0">
                  <c:v>45744</c:v>
                </c:pt>
                <c:pt idx="1">
                  <c:v>46109</c:v>
                </c:pt>
                <c:pt idx="2">
                  <c:v>46474</c:v>
                </c:pt>
                <c:pt idx="3">
                  <c:v>46839</c:v>
                </c:pt>
                <c:pt idx="4">
                  <c:v>47204</c:v>
                </c:pt>
              </c:numCache>
            </c:numRef>
          </c:cat>
          <c:val>
            <c:numRef>
              <c:f>Forecasting!$D$22:$D$26</c:f>
              <c:numCache>
                <c:formatCode>General</c:formatCode>
                <c:ptCount val="5"/>
                <c:pt idx="0">
                  <c:v>71976.98066666667</c:v>
                </c:pt>
                <c:pt idx="1">
                  <c:v>75724.789696969703</c:v>
                </c:pt>
                <c:pt idx="2">
                  <c:v>79472.598727272722</c:v>
                </c:pt>
                <c:pt idx="3">
                  <c:v>83220.407757575755</c:v>
                </c:pt>
                <c:pt idx="4">
                  <c:v>86968.216787878773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E-4F8F-9C76-AB45817F1D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9177544"/>
        <c:axId val="579177896"/>
      </c:barChart>
      <c:dateAx>
        <c:axId val="579177544"/>
        <c:scaling>
          <c:orientation val="minMax"/>
        </c:scaling>
        <c:delete val="0"/>
        <c:axPos val="b"/>
        <c:numFmt formatCode="yyyy&quot;E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77896"/>
        <c:crosses val="autoZero"/>
        <c:auto val="1"/>
        <c:lblOffset val="100"/>
        <c:baseTimeUnit val="years"/>
      </c:dateAx>
      <c:valAx>
        <c:axId val="579177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775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DD-4D23-8FDA-C4001EB896D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DDD-4D23-8FDA-C4001EB896D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DD-4D23-8FDA-C4001EB896D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DDD-4D23-8FDA-C4001EB896D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DD-4D23-8FDA-C4001EB896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Forecasting!$H$22:$H$26</c:f>
              <c:numCache>
                <c:formatCode>yyyy"A"</c:formatCode>
                <c:ptCount val="5"/>
                <c:pt idx="0">
                  <c:v>45744</c:v>
                </c:pt>
                <c:pt idx="1">
                  <c:v>46109</c:v>
                </c:pt>
                <c:pt idx="2">
                  <c:v>46474</c:v>
                </c:pt>
                <c:pt idx="3">
                  <c:v>46839</c:v>
                </c:pt>
                <c:pt idx="4">
                  <c:v>47204</c:v>
                </c:pt>
              </c:numCache>
            </c:numRef>
          </c:cat>
          <c:val>
            <c:numRef>
              <c:f>Forecasting!$I$22:$I$26</c:f>
              <c:numCache>
                <c:formatCode>0.0</c:formatCode>
                <c:ptCount val="5"/>
                <c:pt idx="0">
                  <c:v>25969.381333333338</c:v>
                </c:pt>
                <c:pt idx="1">
                  <c:v>27267.834484848489</c:v>
                </c:pt>
                <c:pt idx="2">
                  <c:v>28566.287636363639</c:v>
                </c:pt>
                <c:pt idx="3">
                  <c:v>29864.740787878789</c:v>
                </c:pt>
                <c:pt idx="4">
                  <c:v>31163.193939393943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D-4D23-8FDA-C4001EB89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183880"/>
        <c:axId val="579186344"/>
      </c:barChart>
      <c:dateAx>
        <c:axId val="579183880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86344"/>
        <c:crosses val="autoZero"/>
        <c:auto val="1"/>
        <c:lblOffset val="100"/>
        <c:baseTimeUnit val="years"/>
      </c:dateAx>
      <c:valAx>
        <c:axId val="57918634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8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75-41E6-BD36-EE8EECD9FE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75-41E6-BD36-EE8EECD9FE5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75-41E6-BD36-EE8EECD9FE5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75-41E6-BD36-EE8EECD9FE5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75-41E6-BD36-EE8EECD9FE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Forecasting!$M$22:$M$26</c:f>
              <c:numCache>
                <c:formatCode>yyyy"A"</c:formatCode>
                <c:ptCount val="5"/>
                <c:pt idx="0">
                  <c:v>45744</c:v>
                </c:pt>
                <c:pt idx="1">
                  <c:v>46109</c:v>
                </c:pt>
                <c:pt idx="2">
                  <c:v>46474</c:v>
                </c:pt>
                <c:pt idx="3">
                  <c:v>46839</c:v>
                </c:pt>
                <c:pt idx="4">
                  <c:v>47204</c:v>
                </c:pt>
              </c:numCache>
            </c:numRef>
          </c:cat>
          <c:val>
            <c:numRef>
              <c:f>Forecasting!$N$22:$N$26</c:f>
              <c:numCache>
                <c:formatCode>0.0</c:formatCode>
                <c:ptCount val="5"/>
                <c:pt idx="0">
                  <c:v>14.338831225849374</c:v>
                </c:pt>
                <c:pt idx="1">
                  <c:v>15.197481249198816</c:v>
                </c:pt>
                <c:pt idx="2">
                  <c:v>16.056131272548257</c:v>
                </c:pt>
                <c:pt idx="3">
                  <c:v>16.914781295897701</c:v>
                </c:pt>
                <c:pt idx="4">
                  <c:v>17.773431319247145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75-41E6-BD36-EE8EECD9F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183880"/>
        <c:axId val="579186344"/>
      </c:barChart>
      <c:dateAx>
        <c:axId val="579183880"/>
        <c:scaling>
          <c:orientation val="minMax"/>
        </c:scaling>
        <c:delete val="0"/>
        <c:axPos val="b"/>
        <c:numFmt formatCode="yyyy&quot;A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86344"/>
        <c:crosses val="autoZero"/>
        <c:auto val="1"/>
        <c:lblOffset val="100"/>
        <c:baseTimeUnit val="years"/>
      </c:dateAx>
      <c:valAx>
        <c:axId val="57918634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8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352425</xdr:colOff>
      <xdr:row>2</xdr:row>
      <xdr:rowOff>69850</xdr:rowOff>
    </xdr:from>
    <xdr:to>
      <xdr:col>11</xdr:col>
      <xdr:colOff>1171575</xdr:colOff>
      <xdr:row>5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261B9-C2A4-4EEB-BF7A-1E3D2A868A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8" r="6857"/>
        <a:stretch/>
      </xdr:blipFill>
      <xdr:spPr bwMode="auto">
        <a:xfrm>
          <a:off x="12052300" y="450850"/>
          <a:ext cx="20256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225592</xdr:colOff>
      <xdr:row>88</xdr:row>
      <xdr:rowOff>25066</xdr:rowOff>
    </xdr:from>
    <xdr:to>
      <xdr:col>11</xdr:col>
      <xdr:colOff>1044742</xdr:colOff>
      <xdr:row>91</xdr:row>
      <xdr:rowOff>164431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44BA2E-6E25-40F9-8949-FED96ACCB9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8" r="6857"/>
        <a:stretch/>
      </xdr:blipFill>
      <xdr:spPr bwMode="auto">
        <a:xfrm>
          <a:off x="11881184" y="17520987"/>
          <a:ext cx="2022308" cy="991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2</xdr:row>
      <xdr:rowOff>88900</xdr:rowOff>
    </xdr:from>
    <xdr:to>
      <xdr:col>11</xdr:col>
      <xdr:colOff>704850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892E1E-80C5-4C16-9897-26B7073EF9F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8" r="6857"/>
        <a:stretch/>
      </xdr:blipFill>
      <xdr:spPr bwMode="auto">
        <a:xfrm>
          <a:off x="7219950" y="469900"/>
          <a:ext cx="2019300" cy="110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1000125</xdr:colOff>
      <xdr:row>2</xdr:row>
      <xdr:rowOff>79376</xdr:rowOff>
    </xdr:from>
    <xdr:to>
      <xdr:col>15</xdr:col>
      <xdr:colOff>600075</xdr:colOff>
      <xdr:row>6</xdr:row>
      <xdr:rowOff>142876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FEF59A-A8DE-424A-A2D9-BCCD6C7ACB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8" r="6857"/>
        <a:stretch/>
      </xdr:blipFill>
      <xdr:spPr bwMode="auto">
        <a:xfrm>
          <a:off x="12687300" y="460376"/>
          <a:ext cx="201930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28</xdr:row>
      <xdr:rowOff>157162</xdr:rowOff>
    </xdr:from>
    <xdr:to>
      <xdr:col>5</xdr:col>
      <xdr:colOff>19050</xdr:colOff>
      <xdr:row>43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F3B3F2-6A1B-3C8F-8D01-76A7B13EE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261936</xdr:colOff>
      <xdr:row>28</xdr:row>
      <xdr:rowOff>147637</xdr:rowOff>
    </xdr:from>
    <xdr:to>
      <xdr:col>10</xdr:col>
      <xdr:colOff>171450</xdr:colOff>
      <xdr:row>43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015E45-F43B-3E09-08EF-035E59272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171450</xdr:colOff>
      <xdr:row>28</xdr:row>
      <xdr:rowOff>123825</xdr:rowOff>
    </xdr:from>
    <xdr:to>
      <xdr:col>15</xdr:col>
      <xdr:colOff>4764</xdr:colOff>
      <xdr:row>43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7CB5CE-19AA-4755-BE97-22489B4FE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19050</xdr:colOff>
      <xdr:row>26</xdr:row>
      <xdr:rowOff>152399</xdr:rowOff>
    </xdr:from>
    <xdr:to>
      <xdr:col>4</xdr:col>
      <xdr:colOff>314325</xdr:colOff>
      <xdr:row>28</xdr:row>
      <xdr:rowOff>85724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FDCB20F-213C-4744-1B36-ECE5F1981EF2}"/>
            </a:ext>
          </a:extLst>
        </xdr:cNvPr>
        <xdr:cNvSpPr txBox="1"/>
      </xdr:nvSpPr>
      <xdr:spPr>
        <a:xfrm>
          <a:off x="923925" y="3581399"/>
          <a:ext cx="1657350" cy="3143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>
                  <a:lumMod val="50000"/>
                </a:schemeClr>
              </a:solidFill>
            </a:rPr>
            <a:t>Sales Forecasting</a:t>
          </a:r>
        </a:p>
      </xdr:txBody>
    </xdr:sp>
    <xdr:clientData/>
  </xdr:twoCellAnchor>
  <xdr:twoCellAnchor>
    <xdr:from>
      <xdr:col>7</xdr:col>
      <xdr:colOff>190500</xdr:colOff>
      <xdr:row>26</xdr:row>
      <xdr:rowOff>152400</xdr:rowOff>
    </xdr:from>
    <xdr:to>
      <xdr:col>9</xdr:col>
      <xdr:colOff>495300</xdr:colOff>
      <xdr:row>28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49D2E2B-1DB4-45C4-8326-5E1EB9840B6C}"/>
            </a:ext>
          </a:extLst>
        </xdr:cNvPr>
        <xdr:cNvSpPr txBox="1"/>
      </xdr:nvSpPr>
      <xdr:spPr>
        <a:xfrm>
          <a:off x="4219575" y="3581400"/>
          <a:ext cx="1657350" cy="3143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>
                  <a:lumMod val="50000"/>
                </a:schemeClr>
              </a:solidFill>
            </a:rPr>
            <a:t>EBITDA Forecasting</a:t>
          </a:r>
        </a:p>
      </xdr:txBody>
    </xdr:sp>
    <xdr:clientData/>
  </xdr:twoCellAnchor>
  <xdr:twoCellAnchor>
    <xdr:from>
      <xdr:col>12</xdr:col>
      <xdr:colOff>276225</xdr:colOff>
      <xdr:row>26</xdr:row>
      <xdr:rowOff>180975</xdr:rowOff>
    </xdr:from>
    <xdr:to>
      <xdr:col>13</xdr:col>
      <xdr:colOff>1162050</xdr:colOff>
      <xdr:row>28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9A973A5-3F02-4E41-ACF0-059A5650399C}"/>
            </a:ext>
          </a:extLst>
        </xdr:cNvPr>
        <xdr:cNvSpPr txBox="1"/>
      </xdr:nvSpPr>
      <xdr:spPr>
        <a:xfrm>
          <a:off x="7772400" y="3609975"/>
          <a:ext cx="1657350" cy="3143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>
                  <a:lumMod val="50000"/>
                </a:schemeClr>
              </a:solidFill>
            </a:rPr>
            <a:t>EPS Forecasting</a:t>
          </a:r>
        </a:p>
      </xdr:txBody>
    </xdr:sp>
    <xdr:clientData/>
  </xdr:twoCellAnchor>
  <xdr:twoCellAnchor editAs="oneCell">
    <xdr:from>
      <xdr:col>12</xdr:col>
      <xdr:colOff>742950</xdr:colOff>
      <xdr:row>2</xdr:row>
      <xdr:rowOff>50801</xdr:rowOff>
    </xdr:from>
    <xdr:to>
      <xdr:col>14</xdr:col>
      <xdr:colOff>819150</xdr:colOff>
      <xdr:row>6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9642BA-40E6-4FC1-A72A-6AA0E79BB61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8" r="6857"/>
        <a:stretch/>
      </xdr:blipFill>
      <xdr:spPr bwMode="auto">
        <a:xfrm>
          <a:off x="8239125" y="431801"/>
          <a:ext cx="2019300" cy="113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FINANCIAL%20MODELING(TATA%20MOTORS)\common%20size%20statment(tata%20motors).xlsx" TargetMode="External"/><Relationship Id="rId1" Type="http://schemas.openxmlformats.org/officeDocument/2006/relationships/externalLinkPath" Target="common%20size%20statment(tata%20motor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sheet"/>
      <sheetName val="cmomon size statment"/>
    </sheetNames>
    <sheetDataSet>
      <sheetData sheetId="0">
        <row r="1">
          <cell r="B1" t="str">
            <v>TATA MOTORS LTD</v>
          </cell>
        </row>
        <row r="16">
          <cell r="B16">
            <v>42094</v>
          </cell>
          <cell r="C16">
            <v>42460</v>
          </cell>
          <cell r="D16">
            <v>42825</v>
          </cell>
          <cell r="E16">
            <v>43190</v>
          </cell>
          <cell r="F16">
            <v>43555</v>
          </cell>
          <cell r="G16">
            <v>43921</v>
          </cell>
          <cell r="H16">
            <v>44286</v>
          </cell>
          <cell r="I16">
            <v>44651</v>
          </cell>
          <cell r="J16">
            <v>45016</v>
          </cell>
          <cell r="K16">
            <v>45382</v>
          </cell>
        </row>
        <row r="17">
          <cell r="A17" t="str">
            <v>Sales</v>
          </cell>
        </row>
        <row r="18">
          <cell r="A18" t="str">
            <v>Raw Material Cost</v>
          </cell>
        </row>
        <row r="19">
          <cell r="A19" t="str">
            <v>Change in Inventory</v>
          </cell>
        </row>
        <row r="20">
          <cell r="A20" t="str">
            <v>Power and Fuel</v>
          </cell>
        </row>
        <row r="21">
          <cell r="A21" t="str">
            <v>Other Mfr. Exp</v>
          </cell>
        </row>
        <row r="22">
          <cell r="A22" t="str">
            <v>Employee Cost</v>
          </cell>
        </row>
        <row r="23">
          <cell r="A23" t="str">
            <v>Selling and admin</v>
          </cell>
        </row>
        <row r="24">
          <cell r="A24" t="str">
            <v>Other Expenses</v>
          </cell>
        </row>
        <row r="25">
          <cell r="A25" t="str">
            <v>Other Income</v>
          </cell>
        </row>
        <row r="26">
          <cell r="A26" t="str">
            <v>Depreciation</v>
          </cell>
        </row>
        <row r="27">
          <cell r="A27" t="str">
            <v>Interest</v>
          </cell>
        </row>
        <row r="28">
          <cell r="A28" t="str">
            <v>Profit before tax</v>
          </cell>
        </row>
        <row r="29">
          <cell r="A29" t="str">
            <v>Tax</v>
          </cell>
        </row>
        <row r="30">
          <cell r="A30" t="str">
            <v>Net profit</v>
          </cell>
        </row>
        <row r="31">
          <cell r="A31" t="str">
            <v>Dividend Amount</v>
          </cell>
        </row>
        <row r="56">
          <cell r="B56">
            <v>42094</v>
          </cell>
          <cell r="C56">
            <v>42460</v>
          </cell>
          <cell r="D56">
            <v>42825</v>
          </cell>
          <cell r="E56">
            <v>43190</v>
          </cell>
          <cell r="F56">
            <v>43555</v>
          </cell>
          <cell r="G56">
            <v>43921</v>
          </cell>
          <cell r="H56">
            <v>44286</v>
          </cell>
          <cell r="I56">
            <v>44651</v>
          </cell>
          <cell r="J56">
            <v>45016</v>
          </cell>
          <cell r="K56">
            <v>45382</v>
          </cell>
        </row>
        <row r="57">
          <cell r="A57" t="str">
            <v>Equity Share Capital</v>
          </cell>
        </row>
        <row r="58">
          <cell r="A58" t="str">
            <v>Reserves</v>
          </cell>
        </row>
        <row r="59">
          <cell r="A59" t="str">
            <v>Borrowings</v>
          </cell>
        </row>
        <row r="60">
          <cell r="A60" t="str">
            <v>Other Liabilities</v>
          </cell>
        </row>
        <row r="62">
          <cell r="A62" t="str">
            <v>Net Block</v>
          </cell>
        </row>
        <row r="63">
          <cell r="A63" t="str">
            <v>Capital Work in Progress</v>
          </cell>
        </row>
        <row r="64">
          <cell r="A64" t="str">
            <v>Investments</v>
          </cell>
        </row>
        <row r="65">
          <cell r="A65" t="str">
            <v>Other Assets</v>
          </cell>
        </row>
        <row r="67">
          <cell r="A67" t="str">
            <v>Receivables</v>
          </cell>
        </row>
        <row r="68">
          <cell r="A68" t="str">
            <v>Inventory</v>
          </cell>
        </row>
        <row r="69">
          <cell r="A69" t="str">
            <v>Cash &amp; Bank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Normal="10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O1" sqref="O1"/>
    </sheetView>
  </sheetViews>
  <sheetFormatPr defaultColWidth="8.85546875" defaultRowHeight="15" x14ac:dyDescent="0.25"/>
  <cols>
    <col min="1" max="1" width="20.7109375" customWidth="1"/>
    <col min="2" max="6" width="13.42578125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2" customFormat="1" x14ac:dyDescent="0.25">
      <c r="A1" s="2" t="str">
        <f>'Data Sheet'!B1</f>
        <v>ITC LTD</v>
      </c>
      <c r="H1" t="str">
        <f>UPDATE</f>
        <v/>
      </c>
      <c r="J1" s="3"/>
      <c r="K1" s="3"/>
      <c r="M1" s="2" t="s">
        <v>1</v>
      </c>
    </row>
    <row r="3" spans="1:14" s="2" customFormat="1" x14ac:dyDescent="0.2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25">
      <c r="A4" s="2" t="s">
        <v>6</v>
      </c>
      <c r="B4" s="1">
        <f>'Data Sheet'!B17</f>
        <v>38817.15</v>
      </c>
      <c r="C4" s="1">
        <f>'Data Sheet'!C17</f>
        <v>39192.1</v>
      </c>
      <c r="D4" s="1">
        <f>'Data Sheet'!D17</f>
        <v>42767.6</v>
      </c>
      <c r="E4" s="1">
        <f>'Data Sheet'!E17</f>
        <v>43448.94</v>
      </c>
      <c r="F4" s="1">
        <f>'Data Sheet'!F17</f>
        <v>48339.58</v>
      </c>
      <c r="G4" s="1">
        <f>'Data Sheet'!G17</f>
        <v>49387.7</v>
      </c>
      <c r="H4" s="1">
        <f>'Data Sheet'!H17</f>
        <v>49257.45</v>
      </c>
      <c r="I4" s="1">
        <f>'Data Sheet'!I17</f>
        <v>60644.54</v>
      </c>
      <c r="J4" s="1">
        <f>'Data Sheet'!J17</f>
        <v>70919.03</v>
      </c>
      <c r="K4" s="1">
        <f>'Data Sheet'!K17</f>
        <v>70866.22</v>
      </c>
      <c r="L4" s="1">
        <f>SUM(Quarters!H4:K4)</f>
        <v>75160.56</v>
      </c>
      <c r="M4" s="1">
        <f>$K4+M23*K4</f>
        <v>80000.93248487798</v>
      </c>
      <c r="N4" s="1">
        <f>$K4+N23*L4</f>
        <v>75420.787736650833</v>
      </c>
    </row>
    <row r="5" spans="1:14" x14ac:dyDescent="0.25">
      <c r="A5" t="s">
        <v>7</v>
      </c>
      <c r="B5" s="6">
        <f>SUM('Data Sheet'!B18,'Data Sheet'!B20:B24, -1*'Data Sheet'!B19)</f>
        <v>24565.529999999995</v>
      </c>
      <c r="C5" s="6">
        <f>SUM('Data Sheet'!C18,'Data Sheet'!C20:C24, -1*'Data Sheet'!C19)</f>
        <v>24660.609999999997</v>
      </c>
      <c r="D5" s="6">
        <f>SUM('Data Sheet'!D18,'Data Sheet'!D20:D24, -1*'Data Sheet'!D19)</f>
        <v>27298.09</v>
      </c>
      <c r="E5" s="6">
        <f>SUM('Data Sheet'!E18,'Data Sheet'!E20:E24, -1*'Data Sheet'!E19)</f>
        <v>26928.35</v>
      </c>
      <c r="F5" s="6">
        <f>SUM('Data Sheet'!F18,'Data Sheet'!F20:F24, -1*'Data Sheet'!F19)</f>
        <v>29802.19</v>
      </c>
      <c r="G5" s="6">
        <f>SUM('Data Sheet'!G18,'Data Sheet'!G20:G24, -1*'Data Sheet'!G19)</f>
        <v>30044.16</v>
      </c>
      <c r="H5" s="6">
        <f>SUM('Data Sheet'!H18,'Data Sheet'!H20:H24, -1*'Data Sheet'!H19)</f>
        <v>32192.670000000002</v>
      </c>
      <c r="I5" s="6">
        <f>SUM('Data Sheet'!I18,'Data Sheet'!I20:I24, -1*'Data Sheet'!I19)</f>
        <v>40021.39</v>
      </c>
      <c r="J5" s="6">
        <f>SUM('Data Sheet'!J18,'Data Sheet'!J20:J24, -1*'Data Sheet'!J19)</f>
        <v>45214.770000000004</v>
      </c>
      <c r="K5" s="6">
        <f>SUM('Data Sheet'!K18,'Data Sheet'!K20:K24, -1*'Data Sheet'!K19)</f>
        <v>44633.659999999996</v>
      </c>
      <c r="L5" s="6">
        <f>SUM(Quarters!H5:K5)</f>
        <v>48871.95</v>
      </c>
      <c r="M5" s="6">
        <f t="shared" ref="M5:N5" si="0">M4-M6</f>
        <v>51324.988785708148</v>
      </c>
      <c r="N5" s="6">
        <f t="shared" si="0"/>
        <v>49041.158916674016</v>
      </c>
    </row>
    <row r="6" spans="1:14" s="2" customFormat="1" x14ac:dyDescent="0.25">
      <c r="A6" s="2" t="s">
        <v>8</v>
      </c>
      <c r="B6" s="1">
        <f>B4-B5</f>
        <v>14251.620000000006</v>
      </c>
      <c r="C6" s="1">
        <f t="shared" ref="C6:K6" si="1">C4-C5</f>
        <v>14531.490000000002</v>
      </c>
      <c r="D6" s="1">
        <f t="shared" si="1"/>
        <v>15469.509999999998</v>
      </c>
      <c r="E6" s="1">
        <f t="shared" si="1"/>
        <v>16520.590000000004</v>
      </c>
      <c r="F6" s="1">
        <f t="shared" si="1"/>
        <v>18537.390000000003</v>
      </c>
      <c r="G6" s="1">
        <f t="shared" si="1"/>
        <v>19343.539999999997</v>
      </c>
      <c r="H6" s="1">
        <f t="shared" si="1"/>
        <v>17064.779999999995</v>
      </c>
      <c r="I6" s="1">
        <f t="shared" si="1"/>
        <v>20623.150000000001</v>
      </c>
      <c r="J6" s="1">
        <f t="shared" si="1"/>
        <v>25704.259999999995</v>
      </c>
      <c r="K6" s="1">
        <f t="shared" si="1"/>
        <v>26232.560000000005</v>
      </c>
      <c r="L6" s="1">
        <f>SUM(Quarters!H6:K6)</f>
        <v>26288.61</v>
      </c>
      <c r="M6" s="1">
        <f>M4*M24</f>
        <v>28675.943699169828</v>
      </c>
      <c r="N6" s="1">
        <f>N4*N24</f>
        <v>26379.628819976817</v>
      </c>
    </row>
    <row r="7" spans="1:14" x14ac:dyDescent="0.25">
      <c r="A7" t="s">
        <v>9</v>
      </c>
      <c r="B7" s="6">
        <f>'Data Sheet'!B25</f>
        <v>1229.3499999999999</v>
      </c>
      <c r="C7" s="6">
        <f>'Data Sheet'!C25</f>
        <v>1483.11</v>
      </c>
      <c r="D7" s="6">
        <f>'Data Sheet'!D25</f>
        <v>1758.63</v>
      </c>
      <c r="E7" s="6">
        <f>'Data Sheet'!E25</f>
        <v>2239.81</v>
      </c>
      <c r="F7" s="6">
        <f>'Data Sheet'!F25</f>
        <v>2080.44</v>
      </c>
      <c r="G7" s="6">
        <f>'Data Sheet'!G25</f>
        <v>2417.3200000000002</v>
      </c>
      <c r="H7" s="6">
        <f>'Data Sheet'!H25</f>
        <v>2576.9499999999998</v>
      </c>
      <c r="I7" s="6">
        <f>'Data Sheet'!I25</f>
        <v>1909.72</v>
      </c>
      <c r="J7" s="6">
        <f>'Data Sheet'!J25</f>
        <v>2097.64</v>
      </c>
      <c r="K7" s="6">
        <f>'Data Sheet'!K25</f>
        <v>2803.77</v>
      </c>
      <c r="L7" s="6">
        <f>SUM(Quarters!H7:K7)</f>
        <v>2874.9500000000003</v>
      </c>
      <c r="M7" s="6">
        <v>0</v>
      </c>
      <c r="N7" s="6">
        <v>0</v>
      </c>
    </row>
    <row r="8" spans="1:14" x14ac:dyDescent="0.25">
      <c r="A8" t="s">
        <v>10</v>
      </c>
      <c r="B8" s="6">
        <f>'Data Sheet'!B26</f>
        <v>1027.96</v>
      </c>
      <c r="C8" s="6">
        <f>'Data Sheet'!C26</f>
        <v>1077.4000000000001</v>
      </c>
      <c r="D8" s="6">
        <f>'Data Sheet'!D26</f>
        <v>1152.79</v>
      </c>
      <c r="E8" s="6">
        <f>'Data Sheet'!E26</f>
        <v>1236.28</v>
      </c>
      <c r="F8" s="6">
        <f>'Data Sheet'!F26</f>
        <v>1396.61</v>
      </c>
      <c r="G8" s="6">
        <f>'Data Sheet'!G26</f>
        <v>1644.91</v>
      </c>
      <c r="H8" s="6">
        <f>'Data Sheet'!H26</f>
        <v>1645.59</v>
      </c>
      <c r="I8" s="6">
        <f>'Data Sheet'!I26</f>
        <v>1732.41</v>
      </c>
      <c r="J8" s="6">
        <f>'Data Sheet'!J26</f>
        <v>1809.01</v>
      </c>
      <c r="K8" s="6">
        <f>'Data Sheet'!K26</f>
        <v>1816.39</v>
      </c>
      <c r="L8" s="6">
        <f>SUM(Quarters!H8:K8)</f>
        <v>1792.17</v>
      </c>
      <c r="M8" s="6">
        <f>+$L8</f>
        <v>1792.17</v>
      </c>
      <c r="N8" s="6">
        <f>+$L8</f>
        <v>1792.17</v>
      </c>
    </row>
    <row r="9" spans="1:14" x14ac:dyDescent="0.25">
      <c r="A9" t="s">
        <v>11</v>
      </c>
      <c r="B9" s="6">
        <f>'Data Sheet'!B27</f>
        <v>90.96</v>
      </c>
      <c r="C9" s="6">
        <f>'Data Sheet'!C27</f>
        <v>78.13</v>
      </c>
      <c r="D9" s="6">
        <f>'Data Sheet'!D27</f>
        <v>49.03</v>
      </c>
      <c r="E9" s="6">
        <f>'Data Sheet'!E27</f>
        <v>115.01</v>
      </c>
      <c r="F9" s="6">
        <f>'Data Sheet'!F27</f>
        <v>71.400000000000006</v>
      </c>
      <c r="G9" s="6">
        <f>'Data Sheet'!G27</f>
        <v>81.38</v>
      </c>
      <c r="H9" s="6">
        <f>'Data Sheet'!H27</f>
        <v>57.97</v>
      </c>
      <c r="I9" s="6">
        <f>'Data Sheet'!I27</f>
        <v>59.99</v>
      </c>
      <c r="J9" s="6">
        <f>'Data Sheet'!J27</f>
        <v>77.77</v>
      </c>
      <c r="K9" s="6">
        <f>'Data Sheet'!K27</f>
        <v>80.06</v>
      </c>
      <c r="L9" s="6">
        <f>SUM(Quarters!H9:K9)</f>
        <v>48.39</v>
      </c>
      <c r="M9" s="6">
        <f>+$L9</f>
        <v>48.39</v>
      </c>
      <c r="N9" s="6">
        <f>+$L9</f>
        <v>48.39</v>
      </c>
    </row>
    <row r="10" spans="1:14" x14ac:dyDescent="0.25">
      <c r="A10" t="s">
        <v>12</v>
      </c>
      <c r="B10" s="6">
        <f>'Data Sheet'!B28</f>
        <v>14362.05</v>
      </c>
      <c r="C10" s="6">
        <f>'Data Sheet'!C28</f>
        <v>14859.07</v>
      </c>
      <c r="D10" s="6">
        <f>'Data Sheet'!D28</f>
        <v>16026.32</v>
      </c>
      <c r="E10" s="6">
        <f>'Data Sheet'!E28</f>
        <v>17409.11</v>
      </c>
      <c r="F10" s="6">
        <f>'Data Sheet'!F28</f>
        <v>19149.82</v>
      </c>
      <c r="G10" s="6">
        <f>'Data Sheet'!G28</f>
        <v>20034.57</v>
      </c>
      <c r="H10" s="6">
        <f>'Data Sheet'!H28</f>
        <v>17938.169999999998</v>
      </c>
      <c r="I10" s="6">
        <f>'Data Sheet'!I28</f>
        <v>20740.47</v>
      </c>
      <c r="J10" s="6">
        <f>'Data Sheet'!J28</f>
        <v>25915.119999999999</v>
      </c>
      <c r="K10" s="6">
        <f>'Data Sheet'!K28</f>
        <v>27139.88</v>
      </c>
      <c r="L10" s="6">
        <f>SUM(Quarters!H10:K10)</f>
        <v>27323</v>
      </c>
      <c r="M10" s="6">
        <f>M6+M7-SUM(M8:M9)</f>
        <v>26835.383699169826</v>
      </c>
      <c r="N10" s="6">
        <f>N6+N7-SUM(N8:N9)</f>
        <v>24539.068819976816</v>
      </c>
    </row>
    <row r="11" spans="1:14" x14ac:dyDescent="0.25">
      <c r="A11" t="s">
        <v>13</v>
      </c>
      <c r="B11" s="6">
        <f>'Data Sheet'!B29</f>
        <v>4596.42</v>
      </c>
      <c r="C11" s="6">
        <f>'Data Sheet'!C29</f>
        <v>5358.21</v>
      </c>
      <c r="D11" s="6">
        <f>'Data Sheet'!D29</f>
        <v>5549.09</v>
      </c>
      <c r="E11" s="6">
        <f>'Data Sheet'!E29</f>
        <v>5916.43</v>
      </c>
      <c r="F11" s="6">
        <f>'Data Sheet'!F29</f>
        <v>6313.92</v>
      </c>
      <c r="G11" s="6">
        <f>'Data Sheet'!G29</f>
        <v>4441.79</v>
      </c>
      <c r="H11" s="6">
        <f>'Data Sheet'!H29</f>
        <v>4555.29</v>
      </c>
      <c r="I11" s="6">
        <f>'Data Sheet'!I29</f>
        <v>5237.34</v>
      </c>
      <c r="J11" s="6">
        <f>'Data Sheet'!J29</f>
        <v>6438.4</v>
      </c>
      <c r="K11" s="6">
        <f>'Data Sheet'!K29</f>
        <v>6388.52</v>
      </c>
      <c r="L11" s="6">
        <f>SUM(Quarters!H11:K11)</f>
        <v>6891.1799999999994</v>
      </c>
      <c r="M11" s="7">
        <f>IF($L10&gt;0,$L11/$L10,0)</f>
        <v>0.25221168978516267</v>
      </c>
      <c r="N11" s="7">
        <f>IF($L10&gt;0,$L11/$L10,0)</f>
        <v>0.25221168978516267</v>
      </c>
    </row>
    <row r="12" spans="1:14" s="2" customFormat="1" x14ac:dyDescent="0.25">
      <c r="A12" s="2" t="s">
        <v>14</v>
      </c>
      <c r="B12" s="1">
        <f>'Data Sheet'!B30</f>
        <v>9663.17</v>
      </c>
      <c r="C12" s="1">
        <f>'Data Sheet'!C30</f>
        <v>9344.4500000000007</v>
      </c>
      <c r="D12" s="1">
        <f>'Data Sheet'!D30</f>
        <v>10289.44</v>
      </c>
      <c r="E12" s="1">
        <f>'Data Sheet'!E30</f>
        <v>11271.2</v>
      </c>
      <c r="F12" s="1">
        <f>'Data Sheet'!F30</f>
        <v>12592.33</v>
      </c>
      <c r="G12" s="1">
        <f>'Data Sheet'!G30</f>
        <v>15306.23</v>
      </c>
      <c r="H12" s="1">
        <f>'Data Sheet'!H30</f>
        <v>13161.19</v>
      </c>
      <c r="I12" s="1">
        <f>'Data Sheet'!I30</f>
        <v>15242.66</v>
      </c>
      <c r="J12" s="1">
        <f>'Data Sheet'!J30</f>
        <v>19191.66</v>
      </c>
      <c r="K12" s="1">
        <f>'Data Sheet'!K30</f>
        <v>20458.78</v>
      </c>
      <c r="L12" s="1">
        <f>SUM(Quarters!H12:K12)</f>
        <v>20139.809999999998</v>
      </c>
      <c r="M12" s="1">
        <f>M10-M11*M10</f>
        <v>20067.186230368996</v>
      </c>
      <c r="N12" s="1">
        <f>N10-N11*N10</f>
        <v>18350.028807136063</v>
      </c>
    </row>
    <row r="13" spans="1:14" x14ac:dyDescent="0.25">
      <c r="A13" t="s">
        <v>57</v>
      </c>
      <c r="B13" s="6">
        <f>IF('Data Sheet'!B93&gt;0,B12/'Data Sheet'!B93,0)</f>
        <v>8.0370364209493239</v>
      </c>
      <c r="C13" s="6">
        <f>IF('Data Sheet'!C93&gt;0,C12/'Data Sheet'!C93,0)</f>
        <v>7.7413675978394147</v>
      </c>
      <c r="D13" s="6">
        <f>IF('Data Sheet'!D93&gt;0,D12/'Data Sheet'!D93,0)</f>
        <v>8.4704875117309051</v>
      </c>
      <c r="E13" s="6">
        <f>IF('Data Sheet'!E93&gt;0,E12/'Data Sheet'!E93,0)</f>
        <v>9.2354334128135172</v>
      </c>
      <c r="F13" s="6">
        <f>IF('Data Sheet'!F93&gt;0,F12/'Data Sheet'!F93,0)</f>
        <v>10.272241528396393</v>
      </c>
      <c r="G13" s="6">
        <f>IF('Data Sheet'!G93&gt;0,G12/'Data Sheet'!G93,0)</f>
        <v>12.451985812141032</v>
      </c>
      <c r="H13" s="6">
        <f>IF('Data Sheet'!H93&gt;0,H12/'Data Sheet'!H93,0)</f>
        <v>10.692504549590536</v>
      </c>
      <c r="I13" s="6">
        <f>IF('Data Sheet'!I93&gt;0,I12/'Data Sheet'!I93,0)</f>
        <v>12.368975842509718</v>
      </c>
      <c r="J13" s="6">
        <f>IF('Data Sheet'!J93&gt;0,J12/'Data Sheet'!J93,0)</f>
        <v>15.442275506919859</v>
      </c>
      <c r="K13" s="6">
        <f>IF('Data Sheet'!K93&gt;0,K12/'Data Sheet'!K93,0)</f>
        <v>16.387081788108645</v>
      </c>
      <c r="L13" s="6">
        <f>IF('Data Sheet'!$B6&gt;0,'Profit &amp; Loss'!L12/'Data Sheet'!$B6,0)</f>
        <v>16.090560703212443</v>
      </c>
      <c r="M13" s="6">
        <f>IF('Data Sheet'!$B6&gt;0,'Profit &amp; Loss'!M12/'Data Sheet'!$B6,0)</f>
        <v>16.03253844909268</v>
      </c>
      <c r="N13" s="6">
        <f>IF('Data Sheet'!$B6&gt;0,'Profit &amp; Loss'!N12/'Data Sheet'!$B6,0)</f>
        <v>14.660627504773872</v>
      </c>
    </row>
    <row r="14" spans="1:14" x14ac:dyDescent="0.25">
      <c r="A14" t="s">
        <v>16</v>
      </c>
      <c r="B14" s="6">
        <f>IF(B15&gt;0,B15/B13,"")</f>
        <v>25.336453555096305</v>
      </c>
      <c r="C14" s="6">
        <f t="shared" ref="C14:K14" si="2">IF(C15&gt;0,C15/C13,"")</f>
        <v>26.49790200600356</v>
      </c>
      <c r="D14" s="6">
        <f t="shared" si="2"/>
        <v>31.019466073955435</v>
      </c>
      <c r="E14" s="6">
        <f t="shared" si="2"/>
        <v>25.932729877918941</v>
      </c>
      <c r="F14" s="6">
        <f t="shared" si="2"/>
        <v>27.125530414148926</v>
      </c>
      <c r="G14" s="6">
        <f t="shared" si="2"/>
        <v>12.925649163771876</v>
      </c>
      <c r="H14" s="6">
        <f t="shared" si="2"/>
        <v>19.155474664525016</v>
      </c>
      <c r="I14" s="6">
        <f t="shared" si="2"/>
        <v>18.995913889045614</v>
      </c>
      <c r="J14" s="6">
        <f t="shared" si="2"/>
        <v>23.279600201337455</v>
      </c>
      <c r="K14" s="6">
        <f t="shared" si="2"/>
        <v>24.502837368601647</v>
      </c>
      <c r="L14" s="6">
        <f t="shared" ref="L14" si="3">IF(L13&gt;0,L15/L13,0)</f>
        <v>25.629933450216267</v>
      </c>
      <c r="M14" s="6">
        <f>M25</f>
        <v>25.629933450216267</v>
      </c>
      <c r="N14" s="6">
        <f>N25</f>
        <v>20.74823478958298</v>
      </c>
    </row>
    <row r="15" spans="1:14" s="2" customFormat="1" x14ac:dyDescent="0.25">
      <c r="A15" s="2" t="s">
        <v>58</v>
      </c>
      <c r="B15" s="1">
        <f>'Data Sheet'!B90</f>
        <v>203.63</v>
      </c>
      <c r="C15" s="1">
        <f>'Data Sheet'!C90</f>
        <v>205.13</v>
      </c>
      <c r="D15" s="1">
        <f>'Data Sheet'!D90</f>
        <v>262.75</v>
      </c>
      <c r="E15" s="1">
        <f>'Data Sheet'!E90</f>
        <v>239.5</v>
      </c>
      <c r="F15" s="1">
        <f>'Data Sheet'!F90</f>
        <v>278.64</v>
      </c>
      <c r="G15" s="1">
        <f>'Data Sheet'!G90</f>
        <v>160.94999999999999</v>
      </c>
      <c r="H15" s="1">
        <f>'Data Sheet'!H90</f>
        <v>204.82</v>
      </c>
      <c r="I15" s="1">
        <f>'Data Sheet'!I90</f>
        <v>234.96</v>
      </c>
      <c r="J15" s="1">
        <f>'Data Sheet'!J90</f>
        <v>359.49</v>
      </c>
      <c r="K15" s="1">
        <f>'Data Sheet'!K90</f>
        <v>401.53</v>
      </c>
      <c r="L15" s="1">
        <f>'Data Sheet'!B8</f>
        <v>412.4</v>
      </c>
      <c r="M15" s="8">
        <f>M13*M14</f>
        <v>410.91289348827894</v>
      </c>
      <c r="N15" s="9">
        <f>N13*N14</f>
        <v>304.18214163166635</v>
      </c>
    </row>
    <row r="17" spans="1:14" s="2" customFormat="1" x14ac:dyDescent="0.25">
      <c r="A17" s="2" t="s">
        <v>15</v>
      </c>
    </row>
    <row r="18" spans="1:14" x14ac:dyDescent="0.25">
      <c r="A18" t="s">
        <v>17</v>
      </c>
      <c r="B18" s="5">
        <f>IF('Data Sheet'!B30&gt;0, 'Data Sheet'!B31/'Data Sheet'!B30, 0)</f>
        <v>0.51843132222655708</v>
      </c>
      <c r="C18" s="5">
        <f>IF('Data Sheet'!C30&gt;0, 'Data Sheet'!C31/'Data Sheet'!C30, 0)</f>
        <v>0.73199813793214152</v>
      </c>
      <c r="D18" s="5">
        <f>IF('Data Sheet'!D30&gt;0, 'Data Sheet'!D31/'Data Sheet'!D30, 0)</f>
        <v>0.56077104293333746</v>
      </c>
      <c r="E18" s="5">
        <f>IF('Data Sheet'!E30&gt;0, 'Data Sheet'!E31/'Data Sheet'!E30, 0)</f>
        <v>0.55763450209383203</v>
      </c>
      <c r="F18" s="5">
        <f>IF('Data Sheet'!F30&gt;0, 'Data Sheet'!F31/'Data Sheet'!F30, 0)</f>
        <v>0.55976137855345276</v>
      </c>
      <c r="G18" s="5">
        <f>IF('Data Sheet'!G30&gt;0, 'Data Sheet'!G31/'Data Sheet'!G30, 0)</f>
        <v>0.8151308323473514</v>
      </c>
      <c r="H18" s="5">
        <f>IF('Data Sheet'!H30&gt;0, 'Data Sheet'!H31/'Data Sheet'!H30, 0)</f>
        <v>1.0053771733407084</v>
      </c>
      <c r="I18" s="5">
        <f>IF('Data Sheet'!I30&gt;0, 'Data Sheet'!I31/'Data Sheet'!I30, 0)</f>
        <v>0.92974585800641096</v>
      </c>
      <c r="J18" s="5">
        <f>IF('Data Sheet'!J30&gt;0, 'Data Sheet'!J31/'Data Sheet'!J30, 0)</f>
        <v>1.0037380820627295</v>
      </c>
      <c r="K18" s="5">
        <f>IF('Data Sheet'!K30&gt;0, 'Data Sheet'!K31/'Data Sheet'!K30, 0)</f>
        <v>0.83907544829163816</v>
      </c>
    </row>
    <row r="19" spans="1:14" x14ac:dyDescent="0.25">
      <c r="A19" t="s">
        <v>18</v>
      </c>
      <c r="B19" s="5">
        <f t="shared" ref="B19:L19" si="4">IF(B6&gt;0,B6/B4,0)</f>
        <v>0.36714751082962055</v>
      </c>
      <c r="C19" s="5">
        <f t="shared" ref="C19:K19" si="5">IF(C6&gt;0,C6/C4,0)</f>
        <v>0.37077599822413199</v>
      </c>
      <c r="D19" s="5">
        <f t="shared" si="5"/>
        <v>0.36171096811605047</v>
      </c>
      <c r="E19" s="5">
        <f t="shared" si="5"/>
        <v>0.38022998950031928</v>
      </c>
      <c r="F19" s="5">
        <f t="shared" si="5"/>
        <v>0.38348264507056129</v>
      </c>
      <c r="G19" s="5">
        <f t="shared" si="5"/>
        <v>0.39166715599228147</v>
      </c>
      <c r="H19" s="5">
        <f t="shared" si="5"/>
        <v>0.34644058919006154</v>
      </c>
      <c r="I19" s="5">
        <f t="shared" si="5"/>
        <v>0.3400660636555245</v>
      </c>
      <c r="J19" s="5">
        <f t="shared" si="5"/>
        <v>0.36244517162741785</v>
      </c>
      <c r="K19" s="5">
        <f t="shared" si="5"/>
        <v>0.37017016005651215</v>
      </c>
      <c r="L19" s="5">
        <f t="shared" si="4"/>
        <v>0.34976602090245207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2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25">
      <c r="A23"/>
      <c r="B23"/>
      <c r="C23"/>
      <c r="D23"/>
      <c r="E23"/>
      <c r="F23"/>
      <c r="G23" t="s">
        <v>22</v>
      </c>
      <c r="H23" s="5">
        <f>IF(B4=0,"",POWER($K4/B4,1/9)-1)</f>
        <v>6.9168562118728794E-2</v>
      </c>
      <c r="I23" s="5">
        <f>IF(D4=0,"",POWER($K4/D4,1/7)-1)</f>
        <v>7.4810883698475106E-2</v>
      </c>
      <c r="J23" s="5">
        <f>IF(F4=0,"",POWER($K4/F4,1/5)-1)</f>
        <v>7.9511514582520038E-2</v>
      </c>
      <c r="K23" s="5">
        <f>IF(H4=0,"",POWER($K4/H4, 1/3)-1)</f>
        <v>0.12890080047839403</v>
      </c>
      <c r="L23" s="5">
        <f>IF(ISERROR(MAX(IF(J4=0,"",(K4-J4)/J4),IF(K4=0,"",(L4-K4)/K4))),"",MAX(IF(J4=0,"",(K4-J4)/J4),IF(K4=0,"",(L4-K4)/K4)))</f>
        <v>6.0597841961938938E-2</v>
      </c>
      <c r="M23" s="16">
        <f>MAX(K23:L23)</f>
        <v>0.12890080047839403</v>
      </c>
      <c r="N23" s="16">
        <f>MIN(H23:L23)</f>
        <v>6.0597841961938938E-2</v>
      </c>
    </row>
    <row r="24" spans="1:14" x14ac:dyDescent="0.25">
      <c r="G24" t="s">
        <v>18</v>
      </c>
      <c r="H24" s="5">
        <f>IF(SUM(B4:$K$4)=0,"",SUMPRODUCT(B19:$K$19,B4:$K$4)/SUM(B4:$K$4))</f>
        <v>0.36655785446434302</v>
      </c>
      <c r="I24" s="5">
        <f>IF(SUM(E4:$K$4)=0,"",SUMPRODUCT(E19:$K$19,E4:$K$4)/SUM(E4:$K$4))</f>
        <v>0.36660642860499176</v>
      </c>
      <c r="J24" s="5">
        <f>IF(SUM(G4:$K$4)=0,"",SUMPRODUCT(G19:$K$19,G4:$K$4)/SUM(G4:$K$4))</f>
        <v>0.36193078706583809</v>
      </c>
      <c r="K24" s="5">
        <f>IF(SUM(I4:$K$4)=0, "", SUMPRODUCT(I19:$K$19,I4:$K$4)/SUM(I4:$K$4))</f>
        <v>0.35844511818146924</v>
      </c>
      <c r="L24" s="5">
        <f>L19</f>
        <v>0.34976602090245207</v>
      </c>
      <c r="M24" s="16">
        <f>MAX(K24:L24)</f>
        <v>0.35844511818146924</v>
      </c>
      <c r="N24" s="16">
        <f>MIN(H24:L24)</f>
        <v>0.34976602090245207</v>
      </c>
    </row>
    <row r="25" spans="1:14" x14ac:dyDescent="0.25">
      <c r="G25" t="s">
        <v>23</v>
      </c>
      <c r="H25" s="6">
        <f>IF(ISERROR(AVERAGEIF(B14:$L14,"&gt;0")),"",AVERAGEIF(B14:$L14,"&gt;0"))</f>
        <v>23.672862787692825</v>
      </c>
      <c r="I25" s="6">
        <f>IF(ISERROR(AVERAGEIF(E14:$L14,"&gt;0")),"",AVERAGEIF(E14:$L14,"&gt;0"))</f>
        <v>22.193458628695719</v>
      </c>
      <c r="J25" s="6">
        <f>IF(ISERROR(AVERAGEIF(G14:$L14,"&gt;0")),"",AVERAGEIF(G14:$L14,"&gt;0"))</f>
        <v>20.74823478958298</v>
      </c>
      <c r="K25" s="6">
        <f>IF(ISERROR(AVERAGEIF(I14:$L14,"&gt;0")),"",AVERAGEIF(I14:$L14,"&gt;0"))</f>
        <v>23.102071227300247</v>
      </c>
      <c r="L25" s="6">
        <f>L14</f>
        <v>25.629933450216267</v>
      </c>
      <c r="M25" s="1">
        <f>MAX(K25:L25)</f>
        <v>25.629933450216267</v>
      </c>
      <c r="N25" s="1">
        <f>MIN(H25:L25)</f>
        <v>20.74823478958298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 x14ac:dyDescent="0.25"/>
  <cols>
    <col min="1" max="1" width="20.7109375" customWidth="1"/>
    <col min="2" max="11" width="13.42578125" bestFit="1" customWidth="1"/>
  </cols>
  <sheetData>
    <row r="1" spans="1:11" s="2" customFormat="1" x14ac:dyDescent="0.25">
      <c r="A1" s="2" t="str">
        <f>'Profit &amp; Loss'!A1</f>
        <v>ITC LTD</v>
      </c>
      <c r="E1" t="str">
        <f>UPDATE</f>
        <v/>
      </c>
      <c r="J1" s="2" t="s">
        <v>1</v>
      </c>
    </row>
    <row r="3" spans="1:11" s="2" customFormat="1" x14ac:dyDescent="0.25">
      <c r="A3" s="11" t="s">
        <v>2</v>
      </c>
      <c r="B3" s="12">
        <f>'Data Sheet'!B41</f>
        <v>44834</v>
      </c>
      <c r="C3" s="12">
        <f>'Data Sheet'!C41</f>
        <v>44926</v>
      </c>
      <c r="D3" s="12">
        <f>'Data Sheet'!D41</f>
        <v>45016</v>
      </c>
      <c r="E3" s="12">
        <f>'Data Sheet'!E41</f>
        <v>45107</v>
      </c>
      <c r="F3" s="12">
        <f>'Data Sheet'!F41</f>
        <v>45199</v>
      </c>
      <c r="G3" s="12">
        <f>'Data Sheet'!G41</f>
        <v>45291</v>
      </c>
      <c r="H3" s="12">
        <f>'Data Sheet'!H41</f>
        <v>45382</v>
      </c>
      <c r="I3" s="12">
        <f>'Data Sheet'!I41</f>
        <v>45473</v>
      </c>
      <c r="J3" s="12">
        <f>'Data Sheet'!J41</f>
        <v>45565</v>
      </c>
      <c r="K3" s="12">
        <f>'Data Sheet'!K41</f>
        <v>45657</v>
      </c>
    </row>
    <row r="4" spans="1:11" s="2" customFormat="1" x14ac:dyDescent="0.25">
      <c r="A4" s="2" t="s">
        <v>6</v>
      </c>
      <c r="B4" s="1">
        <f>'Data Sheet'!B42</f>
        <v>17107.990000000002</v>
      </c>
      <c r="C4" s="1">
        <f>'Data Sheet'!C42</f>
        <v>17704.52</v>
      </c>
      <c r="D4" s="1">
        <f>'Data Sheet'!D42</f>
        <v>17634.89</v>
      </c>
      <c r="E4" s="1">
        <f>'Data Sheet'!E42</f>
        <v>17164.46</v>
      </c>
      <c r="F4" s="1">
        <f>'Data Sheet'!F42</f>
        <v>17774.47</v>
      </c>
      <c r="G4" s="1">
        <f>'Data Sheet'!G42</f>
        <v>17195.240000000002</v>
      </c>
      <c r="H4" s="1">
        <f>'Data Sheet'!H42</f>
        <v>17922.7</v>
      </c>
      <c r="I4" s="1">
        <f>'Data Sheet'!I42</f>
        <v>18457.330000000002</v>
      </c>
      <c r="J4" s="1">
        <f>'Data Sheet'!J42</f>
        <v>19990.36</v>
      </c>
      <c r="K4" s="1">
        <f>'Data Sheet'!K42</f>
        <v>18790.169999999998</v>
      </c>
    </row>
    <row r="5" spans="1:11" x14ac:dyDescent="0.25">
      <c r="A5" t="s">
        <v>7</v>
      </c>
      <c r="B5" s="6">
        <f>'Data Sheet'!B43</f>
        <v>10848.89</v>
      </c>
      <c r="C5" s="6">
        <f>'Data Sheet'!C43</f>
        <v>10999.82</v>
      </c>
      <c r="D5" s="6">
        <f>'Data Sheet'!D43</f>
        <v>11010.89</v>
      </c>
      <c r="E5" s="6">
        <f>'Data Sheet'!E43</f>
        <v>10494.39</v>
      </c>
      <c r="F5" s="6">
        <f>'Data Sheet'!F43</f>
        <v>11320.23</v>
      </c>
      <c r="G5" s="6">
        <f>'Data Sheet'!G43</f>
        <v>10985.01</v>
      </c>
      <c r="H5" s="6">
        <f>'Data Sheet'!H43</f>
        <v>11296.48</v>
      </c>
      <c r="I5" s="6">
        <f>'Data Sheet'!I43</f>
        <v>11708.92</v>
      </c>
      <c r="J5" s="6">
        <f>'Data Sheet'!J43</f>
        <v>13438.28</v>
      </c>
      <c r="K5" s="6">
        <f>'Data Sheet'!K43</f>
        <v>12428.27</v>
      </c>
    </row>
    <row r="6" spans="1:11" s="2" customFormat="1" x14ac:dyDescent="0.25">
      <c r="A6" s="2" t="s">
        <v>8</v>
      </c>
      <c r="B6" s="1">
        <f>'Data Sheet'!B50</f>
        <v>6259.1</v>
      </c>
      <c r="C6" s="1">
        <f>'Data Sheet'!C50</f>
        <v>6704.7</v>
      </c>
      <c r="D6" s="1">
        <f>'Data Sheet'!D50</f>
        <v>6624</v>
      </c>
      <c r="E6" s="1">
        <f>'Data Sheet'!E50</f>
        <v>6670.07</v>
      </c>
      <c r="F6" s="1">
        <f>'Data Sheet'!F50</f>
        <v>6454.24</v>
      </c>
      <c r="G6" s="1">
        <f>'Data Sheet'!G50</f>
        <v>6210.23</v>
      </c>
      <c r="H6" s="1">
        <f>'Data Sheet'!H50</f>
        <v>6626.22</v>
      </c>
      <c r="I6" s="1">
        <f>'Data Sheet'!I50</f>
        <v>6748.41</v>
      </c>
      <c r="J6" s="1">
        <f>'Data Sheet'!J50</f>
        <v>6552.08</v>
      </c>
      <c r="K6" s="1">
        <f>'Data Sheet'!K50</f>
        <v>6361.9</v>
      </c>
    </row>
    <row r="7" spans="1:11" x14ac:dyDescent="0.25">
      <c r="A7" t="s">
        <v>9</v>
      </c>
      <c r="B7" s="6">
        <f>'Data Sheet'!B44</f>
        <v>454.68</v>
      </c>
      <c r="C7" s="6">
        <f>'Data Sheet'!C44</f>
        <v>595.42999999999995</v>
      </c>
      <c r="D7" s="6">
        <f>'Data Sheet'!D44</f>
        <v>682.52</v>
      </c>
      <c r="E7" s="6">
        <f>'Data Sheet'!E44</f>
        <v>722.3</v>
      </c>
      <c r="F7" s="6">
        <f>'Data Sheet'!F44</f>
        <v>673.5</v>
      </c>
      <c r="G7" s="6">
        <f>'Data Sheet'!G44</f>
        <v>820.26</v>
      </c>
      <c r="H7" s="6">
        <f>'Data Sheet'!H44</f>
        <v>681.78</v>
      </c>
      <c r="I7" s="6">
        <f>'Data Sheet'!I44</f>
        <v>699.46</v>
      </c>
      <c r="J7" s="6">
        <f>'Data Sheet'!J44</f>
        <v>690.31</v>
      </c>
      <c r="K7" s="6">
        <f>'Data Sheet'!K44</f>
        <v>803.4</v>
      </c>
    </row>
    <row r="8" spans="1:11" x14ac:dyDescent="0.25">
      <c r="A8" t="s">
        <v>10</v>
      </c>
      <c r="B8" s="6">
        <f>'Data Sheet'!B45</f>
        <v>462.38</v>
      </c>
      <c r="C8" s="6">
        <f>'Data Sheet'!C45</f>
        <v>447.11</v>
      </c>
      <c r="D8" s="6">
        <f>'Data Sheet'!D45</f>
        <v>461.4</v>
      </c>
      <c r="E8" s="6">
        <f>'Data Sheet'!E45</f>
        <v>442.46</v>
      </c>
      <c r="F8" s="6">
        <f>'Data Sheet'!F45</f>
        <v>453.04</v>
      </c>
      <c r="G8" s="6">
        <f>'Data Sheet'!G45</f>
        <v>384.04</v>
      </c>
      <c r="H8" s="6">
        <f>'Data Sheet'!H45</f>
        <v>461.44</v>
      </c>
      <c r="I8" s="6">
        <f>'Data Sheet'!I45</f>
        <v>498.57</v>
      </c>
      <c r="J8" s="6">
        <f>'Data Sheet'!J45</f>
        <v>416.18</v>
      </c>
      <c r="K8" s="6">
        <f>'Data Sheet'!K45</f>
        <v>415.98</v>
      </c>
    </row>
    <row r="9" spans="1:11" x14ac:dyDescent="0.25">
      <c r="A9" t="s">
        <v>11</v>
      </c>
      <c r="B9" s="6">
        <f>'Data Sheet'!B46</f>
        <v>12.59</v>
      </c>
      <c r="C9" s="6">
        <f>'Data Sheet'!C46</f>
        <v>9.2100000000000009</v>
      </c>
      <c r="D9" s="6">
        <f>'Data Sheet'!D46</f>
        <v>12.15</v>
      </c>
      <c r="E9" s="6">
        <f>'Data Sheet'!E46</f>
        <v>9.9</v>
      </c>
      <c r="F9" s="6">
        <f>'Data Sheet'!F46</f>
        <v>9.8699999999999992</v>
      </c>
      <c r="G9" s="6">
        <f>'Data Sheet'!G46</f>
        <v>11.94</v>
      </c>
      <c r="H9" s="6">
        <f>'Data Sheet'!H46</f>
        <v>12.59</v>
      </c>
      <c r="I9" s="6">
        <f>'Data Sheet'!I46</f>
        <v>11.25</v>
      </c>
      <c r="J9" s="6">
        <f>'Data Sheet'!J46</f>
        <v>14.73</v>
      </c>
      <c r="K9" s="6">
        <f>'Data Sheet'!K46</f>
        <v>9.82</v>
      </c>
    </row>
    <row r="10" spans="1:11" x14ac:dyDescent="0.25">
      <c r="A10" t="s">
        <v>12</v>
      </c>
      <c r="B10" s="6">
        <f>'Data Sheet'!B47</f>
        <v>6238.81</v>
      </c>
      <c r="C10" s="6">
        <f>'Data Sheet'!C47</f>
        <v>6843.81</v>
      </c>
      <c r="D10" s="6">
        <f>'Data Sheet'!D47</f>
        <v>6832.97</v>
      </c>
      <c r="E10" s="6">
        <f>'Data Sheet'!E47</f>
        <v>6940.01</v>
      </c>
      <c r="F10" s="6">
        <f>'Data Sheet'!F47</f>
        <v>6664.83</v>
      </c>
      <c r="G10" s="6">
        <f>'Data Sheet'!G47</f>
        <v>6634.51</v>
      </c>
      <c r="H10" s="6">
        <f>'Data Sheet'!H47</f>
        <v>6833.97</v>
      </c>
      <c r="I10" s="6">
        <f>'Data Sheet'!I47</f>
        <v>6938.05</v>
      </c>
      <c r="J10" s="6">
        <f>'Data Sheet'!J47</f>
        <v>6811.48</v>
      </c>
      <c r="K10" s="6">
        <f>'Data Sheet'!K47</f>
        <v>6739.5</v>
      </c>
    </row>
    <row r="11" spans="1:11" x14ac:dyDescent="0.25">
      <c r="A11" t="s">
        <v>13</v>
      </c>
      <c r="B11" s="6">
        <f>'Data Sheet'!B48</f>
        <v>1568.49</v>
      </c>
      <c r="C11" s="6">
        <f>'Data Sheet'!C48</f>
        <v>1773.72</v>
      </c>
      <c r="D11" s="6">
        <f>'Data Sheet'!D48</f>
        <v>1607.95</v>
      </c>
      <c r="E11" s="6">
        <f>'Data Sheet'!E48</f>
        <v>1759.89</v>
      </c>
      <c r="F11" s="6">
        <f>'Data Sheet'!F48</f>
        <v>1700.31</v>
      </c>
      <c r="G11" s="6">
        <f>'Data Sheet'!G48</f>
        <v>1227.99</v>
      </c>
      <c r="H11" s="6">
        <f>'Data Sheet'!H48</f>
        <v>1646.75</v>
      </c>
      <c r="I11" s="6">
        <f>'Data Sheet'!I48</f>
        <v>1761.06</v>
      </c>
      <c r="J11" s="6">
        <f>'Data Sheet'!J48</f>
        <v>1757.05</v>
      </c>
      <c r="K11" s="6">
        <f>'Data Sheet'!K48</f>
        <v>1726.32</v>
      </c>
    </row>
    <row r="12" spans="1:11" s="2" customFormat="1" x14ac:dyDescent="0.25">
      <c r="A12" s="2" t="s">
        <v>14</v>
      </c>
      <c r="B12" s="1">
        <f>'Data Sheet'!B49</f>
        <v>4619.7700000000004</v>
      </c>
      <c r="C12" s="1">
        <f>'Data Sheet'!C49</f>
        <v>5006.6499999999996</v>
      </c>
      <c r="D12" s="1">
        <f>'Data Sheet'!D49</f>
        <v>5175.4799999999996</v>
      </c>
      <c r="E12" s="1">
        <f>'Data Sheet'!E49</f>
        <v>5104.93</v>
      </c>
      <c r="F12" s="1">
        <f>'Data Sheet'!F49</f>
        <v>4898.07</v>
      </c>
      <c r="G12" s="1">
        <f>'Data Sheet'!G49</f>
        <v>5335.23</v>
      </c>
      <c r="H12" s="1">
        <f>'Data Sheet'!H49</f>
        <v>5120.55</v>
      </c>
      <c r="I12" s="1">
        <f>'Data Sheet'!I49</f>
        <v>5091.59</v>
      </c>
      <c r="J12" s="1">
        <f>'Data Sheet'!J49</f>
        <v>4992.87</v>
      </c>
      <c r="K12" s="1">
        <f>'Data Sheet'!K49</f>
        <v>4934.8</v>
      </c>
    </row>
    <row r="14" spans="1:11" s="2" customFormat="1" x14ac:dyDescent="0.25">
      <c r="A14" s="2" t="s">
        <v>18</v>
      </c>
      <c r="B14" s="10">
        <f>IF(B4&gt;0,B6/B4,"")</f>
        <v>0.36585829194429037</v>
      </c>
      <c r="C14" s="10">
        <f t="shared" ref="C14:K14" si="0">IF(C4&gt;0,C6/C4,"")</f>
        <v>0.37869990262373676</v>
      </c>
      <c r="D14" s="10">
        <f t="shared" si="0"/>
        <v>0.37561901435166312</v>
      </c>
      <c r="E14" s="10">
        <f t="shared" si="0"/>
        <v>0.38859771877472404</v>
      </c>
      <c r="F14" s="10">
        <f t="shared" si="0"/>
        <v>0.3631185627475812</v>
      </c>
      <c r="G14" s="10">
        <f t="shared" si="0"/>
        <v>0.36115983260483708</v>
      </c>
      <c r="H14" s="10">
        <f t="shared" si="0"/>
        <v>0.36971103684154732</v>
      </c>
      <c r="I14" s="10">
        <f t="shared" si="0"/>
        <v>0.36562222163227287</v>
      </c>
      <c r="J14" s="10">
        <f t="shared" si="0"/>
        <v>0.32776198127497452</v>
      </c>
      <c r="K14" s="10">
        <f t="shared" si="0"/>
        <v>0.3385759681791064</v>
      </c>
    </row>
    <row r="22" s="23" customFormat="1" x14ac:dyDescent="0.2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I24" sqref="I24"/>
    </sheetView>
  </sheetViews>
  <sheetFormatPr defaultColWidth="8.85546875" defaultRowHeight="15" x14ac:dyDescent="0.25"/>
  <cols>
    <col min="1" max="1" width="22.85546875" bestFit="1" customWidth="1"/>
    <col min="2" max="2" width="13.42578125" customWidth="1"/>
    <col min="3" max="11" width="15.42578125" customWidth="1"/>
  </cols>
  <sheetData>
    <row r="1" spans="1:11" s="2" customFormat="1" x14ac:dyDescent="0.25">
      <c r="A1" s="2" t="str">
        <f>'Profit &amp; Loss'!A1</f>
        <v>ITC LTD</v>
      </c>
      <c r="E1" t="str">
        <f>UPDATE</f>
        <v/>
      </c>
      <c r="G1"/>
      <c r="J1" s="2" t="s">
        <v>1</v>
      </c>
    </row>
    <row r="2" spans="1:11" x14ac:dyDescent="0.25">
      <c r="G2" s="2"/>
      <c r="H2" s="2"/>
    </row>
    <row r="3" spans="1:11" x14ac:dyDescent="0.2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25">
      <c r="A4" t="s">
        <v>24</v>
      </c>
      <c r="B4" s="14">
        <f>'Data Sheet'!B57</f>
        <v>801.55</v>
      </c>
      <c r="C4" s="14">
        <f>'Data Sheet'!C57</f>
        <v>804.72</v>
      </c>
      <c r="D4" s="14">
        <f>'Data Sheet'!D57</f>
        <v>1214.74</v>
      </c>
      <c r="E4" s="14">
        <f>'Data Sheet'!E57</f>
        <v>1220.43</v>
      </c>
      <c r="F4" s="14">
        <f>'Data Sheet'!F57</f>
        <v>1225.8599999999999</v>
      </c>
      <c r="G4" s="14">
        <f>'Data Sheet'!G57</f>
        <v>1229.22</v>
      </c>
      <c r="H4" s="14">
        <f>'Data Sheet'!H57</f>
        <v>1230.8800000000001</v>
      </c>
      <c r="I4" s="14">
        <f>'Data Sheet'!I57</f>
        <v>1232.33</v>
      </c>
      <c r="J4" s="14">
        <f>'Data Sheet'!J57</f>
        <v>1242.8</v>
      </c>
      <c r="K4" s="14">
        <f>'Data Sheet'!K57</f>
        <v>1248.47</v>
      </c>
    </row>
    <row r="5" spans="1:11" x14ac:dyDescent="0.25">
      <c r="A5" t="s">
        <v>25</v>
      </c>
      <c r="B5" s="14">
        <f>'Data Sheet'!B58</f>
        <v>30933.94</v>
      </c>
      <c r="C5" s="14">
        <f>'Data Sheet'!C58</f>
        <v>41874.800000000003</v>
      </c>
      <c r="D5" s="14">
        <f>'Data Sheet'!D58</f>
        <v>45198.19</v>
      </c>
      <c r="E5" s="14">
        <f>'Data Sheet'!E58</f>
        <v>51289.68</v>
      </c>
      <c r="F5" s="14">
        <f>'Data Sheet'!F58</f>
        <v>57915.01</v>
      </c>
      <c r="G5" s="14">
        <f>'Data Sheet'!G58</f>
        <v>64044.04</v>
      </c>
      <c r="H5" s="14">
        <f>'Data Sheet'!H58</f>
        <v>59116.46</v>
      </c>
      <c r="I5" s="14">
        <f>'Data Sheet'!I58</f>
        <v>61223.24</v>
      </c>
      <c r="J5" s="14">
        <f>'Data Sheet'!J58</f>
        <v>67912.460000000006</v>
      </c>
      <c r="K5" s="14">
        <f>'Data Sheet'!K58</f>
        <v>73258.53</v>
      </c>
    </row>
    <row r="6" spans="1:11" x14ac:dyDescent="0.25">
      <c r="A6" t="s">
        <v>71</v>
      </c>
      <c r="B6" s="14">
        <f>'Data Sheet'!B59</f>
        <v>268.8</v>
      </c>
      <c r="C6" s="14">
        <f>'Data Sheet'!C59</f>
        <v>83.78</v>
      </c>
      <c r="D6" s="14">
        <f>'Data Sheet'!D59</f>
        <v>45.72</v>
      </c>
      <c r="E6" s="14">
        <f>'Data Sheet'!E59</f>
        <v>35.92</v>
      </c>
      <c r="F6" s="14">
        <f>'Data Sheet'!F59</f>
        <v>13.44</v>
      </c>
      <c r="G6" s="14">
        <f>'Data Sheet'!G59</f>
        <v>277.45</v>
      </c>
      <c r="H6" s="14">
        <f>'Data Sheet'!H59</f>
        <v>270.83</v>
      </c>
      <c r="I6" s="14">
        <f>'Data Sheet'!I59</f>
        <v>249.44</v>
      </c>
      <c r="J6" s="14">
        <f>'Data Sheet'!J59</f>
        <v>306.04000000000002</v>
      </c>
      <c r="K6" s="14">
        <f>'Data Sheet'!K59</f>
        <v>303.43</v>
      </c>
    </row>
    <row r="7" spans="1:11" x14ac:dyDescent="0.25">
      <c r="A7" t="s">
        <v>72</v>
      </c>
      <c r="B7" s="14">
        <f>'Data Sheet'!B60</f>
        <v>13947.93</v>
      </c>
      <c r="C7" s="14">
        <f>'Data Sheet'!C60</f>
        <v>8888.0400000000009</v>
      </c>
      <c r="D7" s="14">
        <f>'Data Sheet'!D60</f>
        <v>9439.67</v>
      </c>
      <c r="E7" s="14">
        <f>'Data Sheet'!E60</f>
        <v>11694.85</v>
      </c>
      <c r="F7" s="14">
        <f>'Data Sheet'!F60</f>
        <v>12584.73</v>
      </c>
      <c r="G7" s="14">
        <f>'Data Sheet'!G60</f>
        <v>11760.04</v>
      </c>
      <c r="H7" s="14">
        <f>'Data Sheet'!H60</f>
        <v>13142.59</v>
      </c>
      <c r="I7" s="14">
        <f>'Data Sheet'!I60</f>
        <v>14491.01</v>
      </c>
      <c r="J7" s="14">
        <f>'Data Sheet'!J60</f>
        <v>16369.66</v>
      </c>
      <c r="K7" s="14">
        <f>'Data Sheet'!K60</f>
        <v>16943.54</v>
      </c>
    </row>
    <row r="8" spans="1:11" s="2" customFormat="1" x14ac:dyDescent="0.25">
      <c r="A8" s="2" t="s">
        <v>26</v>
      </c>
      <c r="B8" s="15">
        <f>'Data Sheet'!B61</f>
        <v>45952.22</v>
      </c>
      <c r="C8" s="15">
        <f>'Data Sheet'!C61</f>
        <v>51651.34</v>
      </c>
      <c r="D8" s="15">
        <f>'Data Sheet'!D61</f>
        <v>55898.32</v>
      </c>
      <c r="E8" s="15">
        <f>'Data Sheet'!E61</f>
        <v>64240.88</v>
      </c>
      <c r="F8" s="15">
        <f>'Data Sheet'!F61</f>
        <v>71739.039999999994</v>
      </c>
      <c r="G8" s="15">
        <f>'Data Sheet'!G61</f>
        <v>77310.75</v>
      </c>
      <c r="H8" s="15">
        <f>'Data Sheet'!H61</f>
        <v>73760.759999999995</v>
      </c>
      <c r="I8" s="15">
        <f>'Data Sheet'!I61</f>
        <v>77196.02</v>
      </c>
      <c r="J8" s="15">
        <f>'Data Sheet'!J61</f>
        <v>85830.96</v>
      </c>
      <c r="K8" s="15">
        <f>'Data Sheet'!K61</f>
        <v>91753.97</v>
      </c>
    </row>
    <row r="9" spans="1:11" s="2" customForma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t="s">
        <v>27</v>
      </c>
      <c r="B10" s="14">
        <f>'Data Sheet'!B62</f>
        <v>15303.28</v>
      </c>
      <c r="C10" s="14">
        <f>'Data Sheet'!C62</f>
        <v>15106.63</v>
      </c>
      <c r="D10" s="14">
        <f>'Data Sheet'!D62</f>
        <v>15893.48</v>
      </c>
      <c r="E10" s="14">
        <f>'Data Sheet'!E62</f>
        <v>16523.96</v>
      </c>
      <c r="F10" s="14">
        <f>'Data Sheet'!F62</f>
        <v>19374.189999999999</v>
      </c>
      <c r="G10" s="14">
        <f>'Data Sheet'!G62</f>
        <v>21713.34</v>
      </c>
      <c r="H10" s="14">
        <f>'Data Sheet'!H62</f>
        <v>23298.48</v>
      </c>
      <c r="I10" s="14">
        <f>'Data Sheet'!I62</f>
        <v>24231.59</v>
      </c>
      <c r="J10" s="14">
        <f>'Data Sheet'!J62</f>
        <v>25851.27</v>
      </c>
      <c r="K10" s="14">
        <f>'Data Sheet'!K62</f>
        <v>27820.22</v>
      </c>
    </row>
    <row r="11" spans="1:11" x14ac:dyDescent="0.25">
      <c r="A11" t="s">
        <v>28</v>
      </c>
      <c r="B11" s="14">
        <f>'Data Sheet'!B63</f>
        <v>2700.2</v>
      </c>
      <c r="C11" s="14">
        <f>'Data Sheet'!C63</f>
        <v>2559.7199999999998</v>
      </c>
      <c r="D11" s="14">
        <f>'Data Sheet'!D63</f>
        <v>3729.89</v>
      </c>
      <c r="E11" s="14">
        <f>'Data Sheet'!E63</f>
        <v>5508.33</v>
      </c>
      <c r="F11" s="14">
        <f>'Data Sheet'!F63</f>
        <v>4136.42</v>
      </c>
      <c r="G11" s="14">
        <f>'Data Sheet'!G63</f>
        <v>3256.46</v>
      </c>
      <c r="H11" s="14">
        <f>'Data Sheet'!H63</f>
        <v>4011.29</v>
      </c>
      <c r="I11" s="14">
        <f>'Data Sheet'!I63</f>
        <v>3225.54</v>
      </c>
      <c r="J11" s="14">
        <f>'Data Sheet'!J63</f>
        <v>3003.3</v>
      </c>
      <c r="K11" s="14">
        <f>'Data Sheet'!K63</f>
        <v>2860.78</v>
      </c>
    </row>
    <row r="12" spans="1:11" x14ac:dyDescent="0.25">
      <c r="A12" t="s">
        <v>29</v>
      </c>
      <c r="B12" s="14">
        <f>'Data Sheet'!B64</f>
        <v>6942.77</v>
      </c>
      <c r="C12" s="14">
        <f>'Data Sheet'!C64</f>
        <v>11747.59</v>
      </c>
      <c r="D12" s="14">
        <f>'Data Sheet'!D64</f>
        <v>17581.38</v>
      </c>
      <c r="E12" s="14">
        <f>'Data Sheet'!E64</f>
        <v>22052.86</v>
      </c>
      <c r="F12" s="14">
        <f>'Data Sheet'!F64</f>
        <v>25043.49</v>
      </c>
      <c r="G12" s="14">
        <f>'Data Sheet'!G64</f>
        <v>28663.35</v>
      </c>
      <c r="H12" s="14">
        <f>'Data Sheet'!H64</f>
        <v>24870.87</v>
      </c>
      <c r="I12" s="14">
        <f>'Data Sheet'!I64</f>
        <v>24841.01</v>
      </c>
      <c r="J12" s="14">
        <f>'Data Sheet'!J64</f>
        <v>29415.02</v>
      </c>
      <c r="K12" s="14">
        <f>'Data Sheet'!K64</f>
        <v>31114.02</v>
      </c>
    </row>
    <row r="13" spans="1:11" x14ac:dyDescent="0.25">
      <c r="A13" t="s">
        <v>73</v>
      </c>
      <c r="B13" s="14">
        <f>'Data Sheet'!B65</f>
        <v>21005.97</v>
      </c>
      <c r="C13" s="14">
        <f>'Data Sheet'!C65</f>
        <v>22237.4</v>
      </c>
      <c r="D13" s="14">
        <f>'Data Sheet'!D65</f>
        <v>18693.57</v>
      </c>
      <c r="E13" s="14">
        <f>'Data Sheet'!E65</f>
        <v>20155.73</v>
      </c>
      <c r="F13" s="14">
        <f>'Data Sheet'!F65</f>
        <v>23184.94</v>
      </c>
      <c r="G13" s="14">
        <f>'Data Sheet'!G65</f>
        <v>23677.599999999999</v>
      </c>
      <c r="H13" s="14">
        <f>'Data Sheet'!H65</f>
        <v>21580.12</v>
      </c>
      <c r="I13" s="14">
        <f>'Data Sheet'!I65</f>
        <v>24897.88</v>
      </c>
      <c r="J13" s="14">
        <f>'Data Sheet'!J65</f>
        <v>27561.37</v>
      </c>
      <c r="K13" s="14">
        <f>'Data Sheet'!K65</f>
        <v>29958.95</v>
      </c>
    </row>
    <row r="14" spans="1:11" s="2" customFormat="1" x14ac:dyDescent="0.25">
      <c r="A14" s="2" t="s">
        <v>26</v>
      </c>
      <c r="B14" s="14">
        <f>'Data Sheet'!B66</f>
        <v>45952.22</v>
      </c>
      <c r="C14" s="14">
        <f>'Data Sheet'!C66</f>
        <v>51651.34</v>
      </c>
      <c r="D14" s="14">
        <f>'Data Sheet'!D66</f>
        <v>55898.32</v>
      </c>
      <c r="E14" s="14">
        <f>'Data Sheet'!E66</f>
        <v>64240.88</v>
      </c>
      <c r="F14" s="14">
        <f>'Data Sheet'!F66</f>
        <v>71739.039999999994</v>
      </c>
      <c r="G14" s="14">
        <f>'Data Sheet'!G66</f>
        <v>77310.75</v>
      </c>
      <c r="H14" s="14">
        <f>'Data Sheet'!H66</f>
        <v>73760.759999999995</v>
      </c>
      <c r="I14" s="14">
        <f>'Data Sheet'!I66</f>
        <v>77196.02</v>
      </c>
      <c r="J14" s="14">
        <f>'Data Sheet'!J66</f>
        <v>85830.96</v>
      </c>
      <c r="K14" s="14">
        <f>'Data Sheet'!K66</f>
        <v>91753.97</v>
      </c>
    </row>
    <row r="15" spans="1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t="s">
        <v>30</v>
      </c>
      <c r="B16" s="4">
        <f>B13-B7</f>
        <v>7058.0400000000009</v>
      </c>
      <c r="C16" s="4">
        <f t="shared" ref="C16:K16" si="0">C13-C7</f>
        <v>13349.36</v>
      </c>
      <c r="D16" s="4">
        <f t="shared" si="0"/>
        <v>9253.9</v>
      </c>
      <c r="E16" s="4">
        <f t="shared" si="0"/>
        <v>8460.8799999999992</v>
      </c>
      <c r="F16" s="4">
        <f t="shared" si="0"/>
        <v>10600.21</v>
      </c>
      <c r="G16" s="4">
        <f t="shared" si="0"/>
        <v>11917.559999999998</v>
      </c>
      <c r="H16" s="4">
        <f t="shared" si="0"/>
        <v>8437.5299999999988</v>
      </c>
      <c r="I16" s="4">
        <f t="shared" si="0"/>
        <v>10406.870000000001</v>
      </c>
      <c r="J16" s="4">
        <f t="shared" si="0"/>
        <v>11191.71</v>
      </c>
      <c r="K16" s="4">
        <f t="shared" si="0"/>
        <v>13015.41</v>
      </c>
    </row>
    <row r="17" spans="1:11" x14ac:dyDescent="0.25">
      <c r="A17" t="s">
        <v>44</v>
      </c>
      <c r="B17" s="4">
        <f>'Data Sheet'!B67</f>
        <v>1982.07</v>
      </c>
      <c r="C17" s="4">
        <f>'Data Sheet'!C67</f>
        <v>1917.18</v>
      </c>
      <c r="D17" s="4">
        <f>'Data Sheet'!D67</f>
        <v>2474.29</v>
      </c>
      <c r="E17" s="4">
        <f>'Data Sheet'!E67</f>
        <v>2682.29</v>
      </c>
      <c r="F17" s="4">
        <f>'Data Sheet'!F67</f>
        <v>4035.28</v>
      </c>
      <c r="G17" s="4">
        <f>'Data Sheet'!G67</f>
        <v>2562.48</v>
      </c>
      <c r="H17" s="4">
        <f>'Data Sheet'!H67</f>
        <v>2501.6999999999998</v>
      </c>
      <c r="I17" s="4">
        <f>'Data Sheet'!I67</f>
        <v>2461.9</v>
      </c>
      <c r="J17" s="4">
        <f>'Data Sheet'!J67</f>
        <v>2956.17</v>
      </c>
      <c r="K17" s="4">
        <f>'Data Sheet'!K67</f>
        <v>4025.82</v>
      </c>
    </row>
    <row r="18" spans="1:11" x14ac:dyDescent="0.25">
      <c r="A18" t="s">
        <v>45</v>
      </c>
      <c r="B18" s="4">
        <f>'Data Sheet'!B68</f>
        <v>8586.8700000000008</v>
      </c>
      <c r="C18" s="4">
        <f>'Data Sheet'!C68</f>
        <v>9062.1</v>
      </c>
      <c r="D18" s="4">
        <f>'Data Sheet'!D68</f>
        <v>8116.1</v>
      </c>
      <c r="E18" s="4">
        <f>'Data Sheet'!E68</f>
        <v>7495.09</v>
      </c>
      <c r="F18" s="4">
        <f>'Data Sheet'!F68</f>
        <v>7859.56</v>
      </c>
      <c r="G18" s="4">
        <f>'Data Sheet'!G68</f>
        <v>8879.33</v>
      </c>
      <c r="H18" s="4">
        <f>'Data Sheet'!H68</f>
        <v>10397.16</v>
      </c>
      <c r="I18" s="4">
        <f>'Data Sheet'!I68</f>
        <v>10864.15</v>
      </c>
      <c r="J18" s="4">
        <f>'Data Sheet'!J68</f>
        <v>11771.16</v>
      </c>
      <c r="K18" s="4">
        <f>'Data Sheet'!K68</f>
        <v>14152.88</v>
      </c>
    </row>
    <row r="20" spans="1:11" x14ac:dyDescent="0.25">
      <c r="A20" t="s">
        <v>46</v>
      </c>
      <c r="B20" s="4">
        <f>IF('Profit &amp; Loss'!B4&gt;0,'Balance Sheet'!B17/('Profit &amp; Loss'!B4/365),0)</f>
        <v>18.637523620358525</v>
      </c>
      <c r="C20" s="4">
        <f>IF('Profit &amp; Loss'!C4&gt;0,'Balance Sheet'!C17/('Profit &amp; Loss'!C4/365),0)</f>
        <v>17.854891674597688</v>
      </c>
      <c r="D20" s="4">
        <f>IF('Profit &amp; Loss'!D4&gt;0,'Balance Sheet'!D17/('Profit &amp; Loss'!D4/365),0)</f>
        <v>21.116823249375695</v>
      </c>
      <c r="E20" s="4">
        <f>IF('Profit &amp; Loss'!E4&gt;0,'Balance Sheet'!E17/('Profit &amp; Loss'!E4/365),0)</f>
        <v>22.533020368275956</v>
      </c>
      <c r="F20" s="4">
        <f>IF('Profit &amp; Loss'!F4&gt;0,'Balance Sheet'!F17/('Profit &amp; Loss'!F4/365),0)</f>
        <v>30.469383474163411</v>
      </c>
      <c r="G20" s="4">
        <f>IF('Profit &amp; Loss'!G4&gt;0,'Balance Sheet'!G17/('Profit &amp; Loss'!G4/365),0)</f>
        <v>18.938018980434403</v>
      </c>
      <c r="H20" s="4">
        <f>IF('Profit &amp; Loss'!H4&gt;0,'Balance Sheet'!H17/('Profit &amp; Loss'!H4/365),0)</f>
        <v>18.537713584442557</v>
      </c>
      <c r="I20" s="4">
        <f>IF('Profit &amp; Loss'!I4&gt;0,'Balance Sheet'!I17/('Profit &amp; Loss'!I4/365),0)</f>
        <v>14.817385044061677</v>
      </c>
      <c r="J20" s="4">
        <f>IF('Profit &amp; Loss'!J4&gt;0,'Balance Sheet'!J17/('Profit &amp; Loss'!J4/365),0)</f>
        <v>15.214563002342249</v>
      </c>
      <c r="K20" s="4">
        <f>IF('Profit &amp; Loss'!K4&gt;0,'Balance Sheet'!K17/('Profit &amp; Loss'!K4/365),0)</f>
        <v>20.73518666580495</v>
      </c>
    </row>
    <row r="21" spans="1:11" x14ac:dyDescent="0.25">
      <c r="A21" t="s">
        <v>47</v>
      </c>
      <c r="B21" s="4">
        <f>IF('Balance Sheet'!B18&gt;0,'Profit &amp; Loss'!B4/'Balance Sheet'!B18,0)</f>
        <v>4.5205237764167849</v>
      </c>
      <c r="C21" s="4">
        <f>IF('Balance Sheet'!C18&gt;0,'Profit &amp; Loss'!C4/'Balance Sheet'!C18,0)</f>
        <v>4.3248364065724276</v>
      </c>
      <c r="D21" s="4">
        <f>IF('Balance Sheet'!D18&gt;0,'Profit &amp; Loss'!D4/'Balance Sheet'!D18,0)</f>
        <v>5.2694767191138601</v>
      </c>
      <c r="E21" s="4">
        <f>IF('Balance Sheet'!E18&gt;0,'Profit &amp; Loss'!E4/'Balance Sheet'!E18,0)</f>
        <v>5.7969870942176813</v>
      </c>
      <c r="F21" s="4">
        <f>IF('Balance Sheet'!F18&gt;0,'Profit &amp; Loss'!F4/'Balance Sheet'!F18,0)</f>
        <v>6.1504180895622653</v>
      </c>
      <c r="G21" s="4">
        <f>IF('Balance Sheet'!G18&gt;0,'Profit &amp; Loss'!G4/'Balance Sheet'!G18,0)</f>
        <v>5.5620975906965953</v>
      </c>
      <c r="H21" s="4">
        <f>IF('Balance Sheet'!H18&gt;0,'Profit &amp; Loss'!H4/'Balance Sheet'!H18,0)</f>
        <v>4.7375869949101483</v>
      </c>
      <c r="I21" s="4">
        <f>IF('Balance Sheet'!I18&gt;0,'Profit &amp; Loss'!I4/'Balance Sheet'!I18,0)</f>
        <v>5.5820786715941884</v>
      </c>
      <c r="J21" s="4">
        <f>IF('Balance Sheet'!J18&gt;0,'Profit &amp; Loss'!J4/'Balance Sheet'!J18,0)</f>
        <v>6.0248123379514</v>
      </c>
      <c r="K21" s="4">
        <f>IF('Balance Sheet'!K18&gt;0,'Profit &amp; Loss'!K4/'Balance Sheet'!K18,0)</f>
        <v>5.0071942954366886</v>
      </c>
    </row>
    <row r="23" spans="1:11" s="2" customFormat="1" x14ac:dyDescent="0.25">
      <c r="A23" s="2" t="s">
        <v>59</v>
      </c>
      <c r="B23" s="10">
        <f>IF(SUM('Balance Sheet'!B4:B5)&gt;0,'Profit &amp; Loss'!B12/SUM('Balance Sheet'!B4:B5),"")</f>
        <v>0.30449096579255591</v>
      </c>
      <c r="C23" s="10">
        <f>IF(SUM('Balance Sheet'!C4:C5)&gt;0,'Profit &amp; Loss'!C12/SUM('Balance Sheet'!C4:C5),"")</f>
        <v>0.21894458981731754</v>
      </c>
      <c r="D23" s="10">
        <f>IF(SUM('Balance Sheet'!D4:D5)&gt;0,'Profit &amp; Loss'!D12/SUM('Balance Sheet'!D4:D5),"")</f>
        <v>0.2216933944915781</v>
      </c>
      <c r="E23" s="10">
        <f>IF(SUM('Balance Sheet'!E4:E5)&gt;0,'Profit &amp; Loss'!E12/SUM('Balance Sheet'!E4:E5),"")</f>
        <v>0.21464818870118538</v>
      </c>
      <c r="F23" s="10">
        <f>IF(SUM('Balance Sheet'!F4:F5)&gt;0,'Profit &amp; Loss'!F12/SUM('Balance Sheet'!F4:F5),"")</f>
        <v>0.21292094620860327</v>
      </c>
      <c r="G23" s="10">
        <f>IF(SUM('Balance Sheet'!G4:G5)&gt;0,'Profit &amp; Loss'!G12/SUM('Balance Sheet'!G4:G5),"")</f>
        <v>0.23449464604648212</v>
      </c>
      <c r="H23" s="10">
        <f>IF(SUM('Balance Sheet'!H4:H5)&gt;0,'Profit &amp; Loss'!H12/SUM('Balance Sheet'!H4:H5),"")</f>
        <v>0.21809063995198466</v>
      </c>
      <c r="I23" s="10">
        <f>IF(SUM('Balance Sheet'!I4:I5)&gt;0,'Profit &amp; Loss'!I12/SUM('Balance Sheet'!I4:I5),"")</f>
        <v>0.24405605456807136</v>
      </c>
      <c r="J23" s="10">
        <f>IF(SUM('Balance Sheet'!J4:J5)&gt;0,'Profit &amp; Loss'!J12/SUM('Balance Sheet'!J4:J5),"")</f>
        <v>0.2775155497933201</v>
      </c>
      <c r="K23" s="10">
        <f>IF(SUM('Balance Sheet'!K4:K5)&gt;0,'Profit &amp; Loss'!K12/SUM('Balance Sheet'!K4:K5),"")</f>
        <v>0.27458869636409999</v>
      </c>
    </row>
    <row r="24" spans="1:11" s="2" customFormat="1" x14ac:dyDescent="0.25">
      <c r="A24" s="2" t="s">
        <v>60</v>
      </c>
      <c r="B24" s="10"/>
      <c r="C24" s="10">
        <f>IF((B4+B5+B6+C4+C5+C6)&gt;0,('Profit &amp; Loss'!C10+'Profit &amp; Loss'!C9)*2/(B4+B5+B6+C4+C5+C6),"")</f>
        <v>0.39956350070933139</v>
      </c>
      <c r="D24" s="10">
        <f>IF((C4+C5+C6+D4+D5+D6)&gt;0,('Profit &amp; Loss'!D10+'Profit &amp; Loss'!D9)*2/(C4+C5+C6+D4+D5+D6),"")</f>
        <v>0.36034518411668875</v>
      </c>
      <c r="E24" s="10">
        <f>IF((D4+D5+D6+E4+E5+E6)&gt;0,('Profit &amp; Loss'!E10+'Profit &amp; Loss'!E9)*2/(D4+D5+D6+E4+E5+E6),"")</f>
        <v>0.35400589143866729</v>
      </c>
      <c r="F24" s="10">
        <f>IF((E4+E5+E6+F4+F5+F6)&gt;0,('Profit &amp; Loss'!F10+'Profit &amp; Loss'!F9)*2/(E4+E5+E6+F4+F5+F6),"")</f>
        <v>0.34415687544012852</v>
      </c>
      <c r="G24" s="10">
        <f>IF((F4+F5+F6+G4+G5+G6)&gt;0,('Profit &amp; Loss'!G10+'Profit &amp; Loss'!G9)*2/(F4+F5+F6+G4+G5+G6),"")</f>
        <v>0.32261652337652486</v>
      </c>
      <c r="H24" s="10">
        <f>IF((G4+G5+G6+H4+H5+H6)&gt;0,('Profit &amp; Loss'!H10+'Profit &amp; Loss'!H9)*2/(G4+G5+G6+H4+H5+H6),"")</f>
        <v>0.28527066262298589</v>
      </c>
      <c r="I24" s="10">
        <f>IF((H4+H5+H6+I4+I5+I6)&gt;0,('Profit &amp; Loss'!I10+'Profit &amp; Loss'!I9)*2/(H4+H5+H6+I4+I5+I6),"")</f>
        <v>0.33733252742915004</v>
      </c>
      <c r="J24" s="10">
        <f>IF((I4+I5+I6+J4+J5+J6)&gt;0,('Profit &amp; Loss'!J10+'Profit &amp; Loss'!J9)*2/(I4+I5+I6+J4+J5+J6),"")</f>
        <v>0.39333609298769096</v>
      </c>
      <c r="K24" s="10">
        <f>IF((J4+J5+J6+K4+K5+K6)&gt;0,('Profit &amp; Loss'!K10+'Profit &amp; Loss'!K9)*2/(J4+J5+J6+K4+K5+K6),"")</f>
        <v>0.3773426713604946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08" zoomScaleNormal="150" zoomScalePageLayoutView="150" workbookViewId="0">
      <pane xSplit="1" ySplit="3" topLeftCell="E7" activePane="bottomRight" state="frozen"/>
      <selection pane="topRight" activeCell="B1" sqref="B1"/>
      <selection pane="bottomLeft" activeCell="A4" sqref="A4"/>
      <selection pane="bottomRight" activeCell="F20" sqref="F20"/>
    </sheetView>
  </sheetViews>
  <sheetFormatPr defaultColWidth="8.85546875" defaultRowHeight="15" x14ac:dyDescent="0.2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2" customFormat="1" x14ac:dyDescent="0.25">
      <c r="A1" s="2" t="str">
        <f>'Balance Sheet'!A1</f>
        <v>ITC LTD</v>
      </c>
      <c r="E1" t="str">
        <f>UPDATE</f>
        <v/>
      </c>
      <c r="F1"/>
      <c r="J1" s="2" t="s">
        <v>1</v>
      </c>
    </row>
    <row r="3" spans="1:11" s="2" customFormat="1" x14ac:dyDescent="0.2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25">
      <c r="A4" s="2" t="s">
        <v>32</v>
      </c>
      <c r="B4" s="1">
        <f>'Data Sheet'!B82</f>
        <v>9843.2000000000007</v>
      </c>
      <c r="C4" s="1">
        <f>'Data Sheet'!C82</f>
        <v>9799.0400000000009</v>
      </c>
      <c r="D4" s="1">
        <f>'Data Sheet'!D82</f>
        <v>10627.31</v>
      </c>
      <c r="E4" s="1">
        <f>'Data Sheet'!E82</f>
        <v>13169.4</v>
      </c>
      <c r="F4" s="1">
        <f>'Data Sheet'!F82</f>
        <v>12583.41</v>
      </c>
      <c r="G4" s="1">
        <f>'Data Sheet'!G82</f>
        <v>14689.66</v>
      </c>
      <c r="H4" s="1">
        <f>'Data Sheet'!H82</f>
        <v>12526.97</v>
      </c>
      <c r="I4" s="1">
        <f>'Data Sheet'!I82</f>
        <v>15775.51</v>
      </c>
      <c r="J4" s="1">
        <f>'Data Sheet'!J82</f>
        <v>18877.55</v>
      </c>
      <c r="K4" s="1">
        <f>'Data Sheet'!K82</f>
        <v>17178.86</v>
      </c>
    </row>
    <row r="5" spans="1:11" x14ac:dyDescent="0.25">
      <c r="A5" t="s">
        <v>33</v>
      </c>
      <c r="B5" s="6">
        <f>'Data Sheet'!B83</f>
        <v>-5275.43</v>
      </c>
      <c r="C5" s="6">
        <f>'Data Sheet'!C83</f>
        <v>-3920.73</v>
      </c>
      <c r="D5" s="6">
        <f>'Data Sheet'!D83</f>
        <v>-3250.93</v>
      </c>
      <c r="E5" s="6">
        <f>'Data Sheet'!E83</f>
        <v>-7113.89</v>
      </c>
      <c r="F5" s="6">
        <f>'Data Sheet'!F83</f>
        <v>-5545.68</v>
      </c>
      <c r="G5" s="6">
        <f>'Data Sheet'!G83</f>
        <v>-6174.02</v>
      </c>
      <c r="H5" s="6">
        <f>'Data Sheet'!H83</f>
        <v>5739.98</v>
      </c>
      <c r="I5" s="6">
        <f>'Data Sheet'!I83</f>
        <v>-2238.4899999999998</v>
      </c>
      <c r="J5" s="6">
        <f>'Data Sheet'!J83</f>
        <v>-5732.29</v>
      </c>
      <c r="K5" s="6">
        <f>'Data Sheet'!K83</f>
        <v>1562.77</v>
      </c>
    </row>
    <row r="6" spans="1:11" x14ac:dyDescent="0.25">
      <c r="A6" t="s">
        <v>34</v>
      </c>
      <c r="B6" s="6">
        <f>'Data Sheet'!B84</f>
        <v>-4661.03</v>
      </c>
      <c r="C6" s="6">
        <f>'Data Sheet'!C84</f>
        <v>-5612.52</v>
      </c>
      <c r="D6" s="6">
        <f>'Data Sheet'!D84</f>
        <v>-7301.03</v>
      </c>
      <c r="E6" s="6">
        <f>'Data Sheet'!E84</f>
        <v>-6221.13</v>
      </c>
      <c r="F6" s="6">
        <f>'Data Sheet'!F84</f>
        <v>-6868.64</v>
      </c>
      <c r="G6" s="6">
        <f>'Data Sheet'!G84</f>
        <v>-8181.48</v>
      </c>
      <c r="H6" s="6">
        <f>'Data Sheet'!H84</f>
        <v>-18633.830000000002</v>
      </c>
      <c r="I6" s="6">
        <f>'Data Sheet'!I84</f>
        <v>-13580.5</v>
      </c>
      <c r="J6" s="6">
        <f>'Data Sheet'!J84</f>
        <v>-13006.03</v>
      </c>
      <c r="K6" s="6">
        <f>'Data Sheet'!K84</f>
        <v>-18550.96</v>
      </c>
    </row>
    <row r="7" spans="1:11" s="2" customFormat="1" x14ac:dyDescent="0.25">
      <c r="A7" s="2" t="s">
        <v>35</v>
      </c>
      <c r="B7" s="1">
        <f>'Data Sheet'!B85</f>
        <v>-93.26</v>
      </c>
      <c r="C7" s="1">
        <f>'Data Sheet'!C85</f>
        <v>265.79000000000002</v>
      </c>
      <c r="D7" s="1">
        <f>'Data Sheet'!D85</f>
        <v>75.349999999999994</v>
      </c>
      <c r="E7" s="1">
        <f>'Data Sheet'!E85</f>
        <v>-165.62</v>
      </c>
      <c r="F7" s="1">
        <f>'Data Sheet'!F85</f>
        <v>169.09</v>
      </c>
      <c r="G7" s="1">
        <f>'Data Sheet'!G85</f>
        <v>334.16</v>
      </c>
      <c r="H7" s="1">
        <f>'Data Sheet'!H85</f>
        <v>-366.88</v>
      </c>
      <c r="I7" s="1">
        <f>'Data Sheet'!I85</f>
        <v>-43.48</v>
      </c>
      <c r="J7" s="1">
        <f>'Data Sheet'!J85</f>
        <v>139.22999999999999</v>
      </c>
      <c r="K7" s="1">
        <f>'Data Sheet'!K85</f>
        <v>190.67</v>
      </c>
    </row>
    <row r="8" spans="1:11" x14ac:dyDescent="0.2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2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5546875" defaultRowHeight="15" x14ac:dyDescent="0.25"/>
  <cols>
    <col min="1" max="1" width="8.85546875" style="2"/>
    <col min="2" max="2" width="10.42578125" customWidth="1"/>
    <col min="3" max="3" width="13.28515625" style="20" customWidth="1"/>
    <col min="6" max="6" width="6.85546875" customWidth="1"/>
  </cols>
  <sheetData>
    <row r="1" spans="1:7" ht="21" x14ac:dyDescent="0.35">
      <c r="A1" s="19" t="s">
        <v>56</v>
      </c>
    </row>
    <row r="3" spans="1:7" x14ac:dyDescent="0.25">
      <c r="A3" s="2" t="s">
        <v>48</v>
      </c>
    </row>
    <row r="4" spans="1:7" x14ac:dyDescent="0.25">
      <c r="B4" t="s">
        <v>90</v>
      </c>
    </row>
    <row r="5" spans="1:7" x14ac:dyDescent="0.25">
      <c r="B5" t="s">
        <v>49</v>
      </c>
    </row>
    <row r="7" spans="1:7" x14ac:dyDescent="0.25">
      <c r="A7" s="2" t="s">
        <v>50</v>
      </c>
    </row>
    <row r="8" spans="1:7" x14ac:dyDescent="0.25">
      <c r="B8" t="s">
        <v>51</v>
      </c>
      <c r="C8" s="21" t="s">
        <v>91</v>
      </c>
    </row>
    <row r="10" spans="1:7" x14ac:dyDescent="0.25">
      <c r="A10" s="2" t="s">
        <v>52</v>
      </c>
    </row>
    <row r="11" spans="1:7" x14ac:dyDescent="0.25">
      <c r="B11" t="s">
        <v>53</v>
      </c>
    </row>
    <row r="14" spans="1:7" x14ac:dyDescent="0.25">
      <c r="A14" s="2" t="s">
        <v>54</v>
      </c>
    </row>
    <row r="15" spans="1:7" x14ac:dyDescent="0.25">
      <c r="B15" t="s">
        <v>55</v>
      </c>
    </row>
    <row r="16" spans="1:7" x14ac:dyDescent="0.2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D71E-CDA2-4442-B971-A8AB1F35D73C}">
  <sheetPr>
    <tabColor theme="2" tint="-0.74999237037263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3F78-2FE6-4A7E-BB87-276E6C74FDDC}">
  <sheetPr>
    <tabColor theme="2" tint="-0.749992370372631"/>
    <pageSetUpPr fitToPage="1"/>
  </sheetPr>
  <dimension ref="A2:M146"/>
  <sheetViews>
    <sheetView showGridLines="0" view="pageBreakPreview" topLeftCell="A38" zoomScale="38" zoomScaleNormal="100" workbookViewId="0">
      <selection activeCell="B130" sqref="B130"/>
    </sheetView>
  </sheetViews>
  <sheetFormatPr defaultRowHeight="15" x14ac:dyDescent="0.25"/>
  <cols>
    <col min="1" max="1" width="1.85546875" customWidth="1"/>
    <col min="2" max="2" width="28.7109375" bestFit="1" customWidth="1"/>
    <col min="3" max="12" width="18" customWidth="1"/>
  </cols>
  <sheetData>
    <row r="2" spans="1:13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3" ht="33.75" x14ac:dyDescent="0.25">
      <c r="B3" s="114" t="s">
        <v>63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B4" s="20" t="s">
        <v>200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8.75" x14ac:dyDescent="0.3">
      <c r="B5" s="108" t="s">
        <v>201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B6" s="20" t="s">
        <v>202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ht="4.5" customHeight="1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8"/>
    </row>
    <row r="9" spans="1:13" ht="6" customHeight="1" x14ac:dyDescent="0.25"/>
    <row r="10" spans="1:13" x14ac:dyDescent="0.25">
      <c r="B10" s="115" t="str">
        <f>"Historical Financial Statement-"&amp;'Data Sheet'!B1</f>
        <v>Historical Financial Statement-ITC LTD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</row>
    <row r="11" spans="1:13" x14ac:dyDescent="0.25">
      <c r="B11" s="26" t="s">
        <v>93</v>
      </c>
      <c r="C11" s="27">
        <f>'Data Sheet'!B16</f>
        <v>42094</v>
      </c>
      <c r="D11" s="27">
        <f>'Data Sheet'!C16</f>
        <v>42460</v>
      </c>
      <c r="E11" s="27">
        <f>'Data Sheet'!D16</f>
        <v>42825</v>
      </c>
      <c r="F11" s="27">
        <f>'Data Sheet'!E16</f>
        <v>43190</v>
      </c>
      <c r="G11" s="27">
        <f>'Data Sheet'!F16</f>
        <v>43555</v>
      </c>
      <c r="H11" s="27">
        <f>'Data Sheet'!G16</f>
        <v>43921</v>
      </c>
      <c r="I11" s="27">
        <f>'Data Sheet'!H16</f>
        <v>44286</v>
      </c>
      <c r="J11" s="27">
        <f>'Data Sheet'!I16</f>
        <v>44651</v>
      </c>
      <c r="K11" s="27">
        <f>'Data Sheet'!J16</f>
        <v>45016</v>
      </c>
      <c r="L11" s="27">
        <f>'Data Sheet'!K16</f>
        <v>45382</v>
      </c>
      <c r="M11" s="25"/>
    </row>
    <row r="12" spans="1:13" s="38" customFormat="1" x14ac:dyDescent="0.25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25">
      <c r="A13" s="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1:13" x14ac:dyDescent="0.25">
      <c r="B14" t="s">
        <v>6</v>
      </c>
      <c r="C14" s="28">
        <f>IFERROR('Data Sheet'!B17,0)</f>
        <v>38817.15</v>
      </c>
      <c r="D14" s="28">
        <f>IFERROR('Data Sheet'!C17,0)</f>
        <v>39192.1</v>
      </c>
      <c r="E14" s="28">
        <f>IFERROR('Data Sheet'!D17,0)</f>
        <v>42767.6</v>
      </c>
      <c r="F14" s="28">
        <f>IFERROR('Data Sheet'!E17,0)</f>
        <v>43448.94</v>
      </c>
      <c r="G14" s="28">
        <f>IFERROR('Data Sheet'!F17,0)</f>
        <v>48339.58</v>
      </c>
      <c r="H14" s="28">
        <f>IFERROR('Data Sheet'!G17,0)</f>
        <v>49387.7</v>
      </c>
      <c r="I14" s="28">
        <f>IFERROR('Data Sheet'!H17,0)</f>
        <v>49257.45</v>
      </c>
      <c r="J14" s="28">
        <f>IFERROR('Data Sheet'!I17,0)</f>
        <v>60644.54</v>
      </c>
      <c r="K14" s="28">
        <f>IFERROR('Data Sheet'!J17,0)</f>
        <v>70919.03</v>
      </c>
      <c r="L14" s="28">
        <f>IFERROR('Data Sheet'!K17,0)</f>
        <v>70866.22</v>
      </c>
    </row>
    <row r="15" spans="1:13" x14ac:dyDescent="0.25">
      <c r="B15" s="29" t="s">
        <v>22</v>
      </c>
      <c r="C15" s="29"/>
      <c r="D15" s="30">
        <f>D14/C14-1</f>
        <v>9.6593902437451806E-3</v>
      </c>
      <c r="E15" s="30">
        <f t="shared" ref="E15:L15" si="0">E14/D14-1</f>
        <v>9.1230120355888067E-2</v>
      </c>
      <c r="F15" s="30">
        <f t="shared" si="0"/>
        <v>1.5931218960147486E-2</v>
      </c>
      <c r="G15" s="30">
        <f t="shared" si="0"/>
        <v>0.11256062863673999</v>
      </c>
      <c r="H15" s="30">
        <f t="shared" si="0"/>
        <v>2.1682439110972673E-2</v>
      </c>
      <c r="I15" s="30">
        <f t="shared" si="0"/>
        <v>-2.6372963308678443E-3</v>
      </c>
      <c r="J15" s="30">
        <f t="shared" si="0"/>
        <v>0.23117497962237188</v>
      </c>
      <c r="K15" s="30">
        <f t="shared" si="0"/>
        <v>0.1694215175842706</v>
      </c>
      <c r="L15" s="30">
        <f t="shared" si="0"/>
        <v>-7.4465203486284715E-4</v>
      </c>
    </row>
    <row r="17" spans="2:12" x14ac:dyDescent="0.25">
      <c r="B17" t="s">
        <v>95</v>
      </c>
      <c r="C17" s="28">
        <f>IFERROR(SUM('Data Sheet'!B18,'Data Sheet'!B20:B22)-1*'Data Sheet'!B19,0)</f>
        <v>19688.379999999997</v>
      </c>
      <c r="D17" s="28">
        <f>IFERROR(SUM('Data Sheet'!C18,'Data Sheet'!C20:C22)-1*'Data Sheet'!C19,0)</f>
        <v>19162.939999999999</v>
      </c>
      <c r="E17" s="28">
        <f>IFERROR(SUM('Data Sheet'!D18,'Data Sheet'!D20:D22)-1*'Data Sheet'!D19,0)</f>
        <v>21949.119999999999</v>
      </c>
      <c r="F17" s="28">
        <f>IFERROR(SUM('Data Sheet'!E18,'Data Sheet'!E20:E22)-1*'Data Sheet'!E19,0)</f>
        <v>21967.5</v>
      </c>
      <c r="G17" s="28">
        <f>IFERROR(SUM('Data Sheet'!F18,'Data Sheet'!F20:F22)-1*'Data Sheet'!F19,0)</f>
        <v>24215.95</v>
      </c>
      <c r="H17" s="28">
        <f>IFERROR(SUM('Data Sheet'!G18,'Data Sheet'!G20:G22)-1*'Data Sheet'!G19,0)</f>
        <v>24330.399999999998</v>
      </c>
      <c r="I17" s="28">
        <f>IFERROR(SUM('Data Sheet'!H18,'Data Sheet'!H20:H22)-1*'Data Sheet'!H19,0)</f>
        <v>26881.51</v>
      </c>
      <c r="J17" s="28">
        <f>IFERROR(SUM('Data Sheet'!I18,'Data Sheet'!I20:I22)-1*'Data Sheet'!I19,0)</f>
        <v>34053.060000000005</v>
      </c>
      <c r="K17" s="28">
        <f>IFERROR(SUM('Data Sheet'!J18,'Data Sheet'!J20:J22)-1*'Data Sheet'!J19,0)</f>
        <v>38302.130000000005</v>
      </c>
      <c r="L17" s="28">
        <f>IFERROR(SUM('Data Sheet'!K18,'Data Sheet'!K20:K22)-1*'Data Sheet'!K19,0)</f>
        <v>37015.479999999996</v>
      </c>
    </row>
    <row r="18" spans="2:12" x14ac:dyDescent="0.25">
      <c r="B18" s="29" t="s">
        <v>96</v>
      </c>
      <c r="C18" s="31">
        <f>C17/C14</f>
        <v>0.50720828293679465</v>
      </c>
      <c r="D18" s="31">
        <f t="shared" ref="D18:L18" si="1">D17/D14</f>
        <v>0.48894904840516329</v>
      </c>
      <c r="E18" s="31">
        <f t="shared" si="1"/>
        <v>0.51321841768067411</v>
      </c>
      <c r="F18" s="31">
        <f t="shared" si="1"/>
        <v>0.50559346211898382</v>
      </c>
      <c r="G18" s="31">
        <f t="shared" si="1"/>
        <v>0.50095491106873502</v>
      </c>
      <c r="H18" s="31">
        <f t="shared" si="1"/>
        <v>0.49264088021916386</v>
      </c>
      <c r="I18" s="31">
        <f t="shared" si="1"/>
        <v>0.54573490913557243</v>
      </c>
      <c r="J18" s="31">
        <f t="shared" si="1"/>
        <v>0.56151897598695621</v>
      </c>
      <c r="K18" s="31">
        <f t="shared" si="1"/>
        <v>0.54008254202010386</v>
      </c>
      <c r="L18" s="31">
        <f t="shared" si="1"/>
        <v>0.52232897422777724</v>
      </c>
    </row>
    <row r="20" spans="2:12" x14ac:dyDescent="0.25">
      <c r="B20" s="51" t="s">
        <v>97</v>
      </c>
      <c r="C20" s="52">
        <f>C14-C17</f>
        <v>19128.770000000004</v>
      </c>
      <c r="D20" s="52">
        <f t="shared" ref="D20:L20" si="2">D14-D17</f>
        <v>20029.16</v>
      </c>
      <c r="E20" s="52">
        <f t="shared" si="2"/>
        <v>20818.48</v>
      </c>
      <c r="F20" s="52">
        <f t="shared" si="2"/>
        <v>21481.440000000002</v>
      </c>
      <c r="G20" s="52">
        <f t="shared" si="2"/>
        <v>24123.63</v>
      </c>
      <c r="H20" s="52">
        <f t="shared" si="2"/>
        <v>25057.3</v>
      </c>
      <c r="I20" s="52">
        <f t="shared" si="2"/>
        <v>22375.94</v>
      </c>
      <c r="J20" s="52">
        <f t="shared" si="2"/>
        <v>26591.479999999996</v>
      </c>
      <c r="K20" s="52">
        <f t="shared" si="2"/>
        <v>32616.899999999994</v>
      </c>
      <c r="L20" s="52">
        <f t="shared" si="2"/>
        <v>33850.740000000005</v>
      </c>
    </row>
    <row r="21" spans="2:12" x14ac:dyDescent="0.25">
      <c r="B21" s="36" t="s">
        <v>115</v>
      </c>
      <c r="C21" s="35">
        <f>IFERROR(C20/C14,0)</f>
        <v>0.4927917170632054</v>
      </c>
      <c r="D21" s="35">
        <f t="shared" ref="D21:H21" si="3">IFERROR(D20/D14,0)</f>
        <v>0.51105095159483671</v>
      </c>
      <c r="E21" s="35">
        <f t="shared" si="3"/>
        <v>0.48678158231932583</v>
      </c>
      <c r="F21" s="35">
        <f t="shared" si="3"/>
        <v>0.49440653788101624</v>
      </c>
      <c r="G21" s="35">
        <f t="shared" si="3"/>
        <v>0.49904508893126504</v>
      </c>
      <c r="H21" s="35">
        <f t="shared" si="3"/>
        <v>0.50735911978083614</v>
      </c>
      <c r="I21" s="35">
        <f>IFERROR(I20/I14,0)</f>
        <v>0.45426509086442762</v>
      </c>
      <c r="J21" s="35">
        <f t="shared" ref="J21" si="4">IFERROR(J20/J14,0)</f>
        <v>0.43848102401304379</v>
      </c>
      <c r="K21" s="35">
        <f t="shared" ref="K21" si="5">IFERROR(K20/K14,0)</f>
        <v>0.45991745797989614</v>
      </c>
      <c r="L21" s="35">
        <f t="shared" ref="L21" si="6">IFERROR(L20/L14,0)</f>
        <v>0.4776710257722227</v>
      </c>
    </row>
    <row r="23" spans="2:12" x14ac:dyDescent="0.25">
      <c r="B23" t="s">
        <v>203</v>
      </c>
      <c r="C23" s="28">
        <f>IFERROR(SUM('Data Sheet'!B23:B24),0)</f>
        <v>4877.1499999999996</v>
      </c>
      <c r="D23" s="28">
        <f>IFERROR(SUM('Data Sheet'!C23:C24),0)</f>
        <v>5497.67</v>
      </c>
      <c r="E23" s="28">
        <f>IFERROR(SUM('Data Sheet'!D23:D24),0)</f>
        <v>5348.9699999999993</v>
      </c>
      <c r="F23" s="28">
        <f>IFERROR(SUM('Data Sheet'!E23:E24),0)</f>
        <v>4960.8500000000004</v>
      </c>
      <c r="G23" s="28">
        <f>IFERROR(SUM('Data Sheet'!F23:F24),0)</f>
        <v>5586.24</v>
      </c>
      <c r="H23" s="28">
        <f>IFERROR(SUM('Data Sheet'!G23:G24),0)</f>
        <v>5713.76</v>
      </c>
      <c r="I23" s="28">
        <f>IFERROR(SUM('Data Sheet'!H23:H24),0)</f>
        <v>5311.1600000000008</v>
      </c>
      <c r="J23" s="28">
        <f>IFERROR(SUM('Data Sheet'!I23:I24),0)</f>
        <v>5968.33</v>
      </c>
      <c r="K23" s="28">
        <f>IFERROR(SUM('Data Sheet'!J23:J24),0)</f>
        <v>6912.6399999999994</v>
      </c>
      <c r="L23" s="28">
        <f>IFERROR(SUM('Data Sheet'!K23:K24),0)</f>
        <v>7618.18</v>
      </c>
    </row>
    <row r="24" spans="2:12" x14ac:dyDescent="0.25">
      <c r="B24" s="29" t="s">
        <v>99</v>
      </c>
      <c r="C24" s="31">
        <f>C23/C14</f>
        <v>0.12564420623358488</v>
      </c>
      <c r="D24" s="31">
        <f t="shared" ref="D24:H24" si="7">D23/D14</f>
        <v>0.14027495337070481</v>
      </c>
      <c r="E24" s="31">
        <f t="shared" si="7"/>
        <v>0.12507061420327537</v>
      </c>
      <c r="F24" s="31">
        <f t="shared" si="7"/>
        <v>0.11417654838069698</v>
      </c>
      <c r="G24" s="31">
        <f t="shared" si="7"/>
        <v>0.11556244386070379</v>
      </c>
      <c r="H24" s="31">
        <f t="shared" si="7"/>
        <v>0.11569196378855465</v>
      </c>
      <c r="I24" s="31">
        <f t="shared" ref="I24" si="8">I23/I14</f>
        <v>0.10782450167436604</v>
      </c>
      <c r="J24" s="31">
        <f t="shared" ref="J24" si="9">J23/J14</f>
        <v>9.8414960357519399E-2</v>
      </c>
      <c r="K24" s="31">
        <f t="shared" ref="K24" si="10">K23/K14</f>
        <v>9.7472286352478302E-2</v>
      </c>
      <c r="L24" s="31">
        <f t="shared" ref="L24" si="11">L23/L14</f>
        <v>0.10750086571571053</v>
      </c>
    </row>
    <row r="26" spans="2:12" x14ac:dyDescent="0.25">
      <c r="B26" s="56" t="s">
        <v>98</v>
      </c>
      <c r="C26" s="57">
        <f>C20-C23</f>
        <v>14251.620000000004</v>
      </c>
      <c r="D26" s="57">
        <f t="shared" ref="D26:L26" si="12">D20-D23</f>
        <v>14531.49</v>
      </c>
      <c r="E26" s="57">
        <f t="shared" si="12"/>
        <v>15469.51</v>
      </c>
      <c r="F26" s="57">
        <f t="shared" si="12"/>
        <v>16520.590000000004</v>
      </c>
      <c r="G26" s="57">
        <f t="shared" si="12"/>
        <v>18537.39</v>
      </c>
      <c r="H26" s="57">
        <f t="shared" si="12"/>
        <v>19343.54</v>
      </c>
      <c r="I26" s="57">
        <f t="shared" si="12"/>
        <v>17064.78</v>
      </c>
      <c r="J26" s="57">
        <f t="shared" si="12"/>
        <v>20623.149999999994</v>
      </c>
      <c r="K26" s="57">
        <f t="shared" si="12"/>
        <v>25704.259999999995</v>
      </c>
      <c r="L26" s="57">
        <f t="shared" si="12"/>
        <v>26232.560000000005</v>
      </c>
    </row>
    <row r="27" spans="2:12" x14ac:dyDescent="0.25">
      <c r="B27" s="29" t="s">
        <v>102</v>
      </c>
      <c r="C27" s="31">
        <f>C26/C14</f>
        <v>0.36714751082962049</v>
      </c>
      <c r="D27" s="31">
        <f t="shared" ref="D27:L27" si="13">D26/D14</f>
        <v>0.37077599822413193</v>
      </c>
      <c r="E27" s="31">
        <f t="shared" si="13"/>
        <v>0.36171096811605047</v>
      </c>
      <c r="F27" s="31">
        <f t="shared" si="13"/>
        <v>0.38022998950031928</v>
      </c>
      <c r="G27" s="31">
        <f t="shared" si="13"/>
        <v>0.38348264507056118</v>
      </c>
      <c r="H27" s="31">
        <f t="shared" si="13"/>
        <v>0.39166715599228152</v>
      </c>
      <c r="I27" s="31">
        <f t="shared" si="13"/>
        <v>0.3464405891900616</v>
      </c>
      <c r="J27" s="31">
        <f t="shared" si="13"/>
        <v>0.34006606365552439</v>
      </c>
      <c r="K27" s="31">
        <f t="shared" si="13"/>
        <v>0.36244517162741785</v>
      </c>
      <c r="L27" s="31">
        <f t="shared" si="13"/>
        <v>0.37017016005651215</v>
      </c>
    </row>
    <row r="29" spans="2:12" x14ac:dyDescent="0.25">
      <c r="B29" t="s">
        <v>100</v>
      </c>
      <c r="C29" s="28">
        <f>IFERROR('Data Sheet'!B27,0)</f>
        <v>90.96</v>
      </c>
      <c r="D29" s="28">
        <f>IFERROR('Data Sheet'!C27,0)</f>
        <v>78.13</v>
      </c>
      <c r="E29" s="28">
        <f>IFERROR('Data Sheet'!D27,0)</f>
        <v>49.03</v>
      </c>
      <c r="F29" s="28">
        <f>IFERROR('Data Sheet'!E27,0)</f>
        <v>115.01</v>
      </c>
      <c r="G29" s="28">
        <f>IFERROR('Data Sheet'!F27,0)</f>
        <v>71.400000000000006</v>
      </c>
      <c r="H29" s="28">
        <f>IFERROR('Data Sheet'!G27,0)</f>
        <v>81.38</v>
      </c>
      <c r="I29" s="28">
        <f>IFERROR('Data Sheet'!H27,0)</f>
        <v>57.97</v>
      </c>
      <c r="J29" s="28">
        <f>IFERROR('Data Sheet'!I27,0)</f>
        <v>59.99</v>
      </c>
      <c r="K29" s="28">
        <f>IFERROR('Data Sheet'!J27,0)</f>
        <v>77.77</v>
      </c>
      <c r="L29" s="28">
        <f>IFERROR('Data Sheet'!K27,0)</f>
        <v>80.06</v>
      </c>
    </row>
    <row r="30" spans="2:12" x14ac:dyDescent="0.25">
      <c r="B30" s="29" t="s">
        <v>101</v>
      </c>
      <c r="C30" s="31">
        <f>C29/C14</f>
        <v>2.3432941367411051E-3</v>
      </c>
      <c r="D30" s="31">
        <f t="shared" ref="D30:L30" si="14">D29/D14</f>
        <v>1.9935139989946953E-3</v>
      </c>
      <c r="E30" s="31">
        <f t="shared" si="14"/>
        <v>1.146428604831695E-3</v>
      </c>
      <c r="F30" s="31">
        <f t="shared" si="14"/>
        <v>2.647015094039118E-3</v>
      </c>
      <c r="G30" s="31">
        <f t="shared" si="14"/>
        <v>1.4770504832685763E-3</v>
      </c>
      <c r="H30" s="31">
        <f t="shared" si="14"/>
        <v>1.647778697934911E-3</v>
      </c>
      <c r="I30" s="31">
        <f t="shared" si="14"/>
        <v>1.1768778123918311E-3</v>
      </c>
      <c r="J30" s="31">
        <f t="shared" si="14"/>
        <v>9.8920694262006107E-4</v>
      </c>
      <c r="K30" s="31">
        <f t="shared" si="14"/>
        <v>1.0966027031108574E-3</v>
      </c>
      <c r="L30" s="31">
        <f t="shared" si="14"/>
        <v>1.1297343078267756E-3</v>
      </c>
    </row>
    <row r="32" spans="2:12" x14ac:dyDescent="0.25">
      <c r="B32" t="s">
        <v>10</v>
      </c>
      <c r="C32" s="28">
        <f>IFERROR('Data Sheet'!B26,0)</f>
        <v>1027.96</v>
      </c>
      <c r="D32" s="28">
        <f>IFERROR('Data Sheet'!C26,0)</f>
        <v>1077.4000000000001</v>
      </c>
      <c r="E32" s="28">
        <f>IFERROR('Data Sheet'!D26,0)</f>
        <v>1152.79</v>
      </c>
      <c r="F32" s="28">
        <f>IFERROR('Data Sheet'!E26,0)</f>
        <v>1236.28</v>
      </c>
      <c r="G32" s="28">
        <f>IFERROR('Data Sheet'!F26,0)</f>
        <v>1396.61</v>
      </c>
      <c r="H32" s="28">
        <f>IFERROR('Data Sheet'!G26,0)</f>
        <v>1644.91</v>
      </c>
      <c r="I32" s="28">
        <f>IFERROR('Data Sheet'!H26,0)</f>
        <v>1645.59</v>
      </c>
      <c r="J32" s="28">
        <f>IFERROR('Data Sheet'!I26,0)</f>
        <v>1732.41</v>
      </c>
      <c r="K32" s="28">
        <f>IFERROR('Data Sheet'!J26,0)</f>
        <v>1809.01</v>
      </c>
      <c r="L32" s="28">
        <f>IFERROR('Data Sheet'!K26,0)</f>
        <v>1816.39</v>
      </c>
    </row>
    <row r="33" spans="1:12" x14ac:dyDescent="0.25">
      <c r="B33" s="29" t="s">
        <v>204</v>
      </c>
      <c r="C33" s="31">
        <f>C32/C14</f>
        <v>2.6482109067770303E-2</v>
      </c>
      <c r="D33" s="31">
        <f t="shared" ref="D33:L33" si="15">D32/D14</f>
        <v>2.7490234001240049E-2</v>
      </c>
      <c r="E33" s="31">
        <f t="shared" si="15"/>
        <v>2.6954750792656124E-2</v>
      </c>
      <c r="F33" s="31">
        <f t="shared" si="15"/>
        <v>2.845362855802696E-2</v>
      </c>
      <c r="G33" s="31">
        <f t="shared" si="15"/>
        <v>2.8891645314253867E-2</v>
      </c>
      <c r="H33" s="31">
        <f t="shared" si="15"/>
        <v>3.3306066085280348E-2</v>
      </c>
      <c r="I33" s="31">
        <f t="shared" si="15"/>
        <v>3.3407941336792708E-2</v>
      </c>
      <c r="J33" s="31">
        <f t="shared" si="15"/>
        <v>2.8566627762367396E-2</v>
      </c>
      <c r="K33" s="31">
        <f t="shared" si="15"/>
        <v>2.550810410125463E-2</v>
      </c>
      <c r="L33" s="31">
        <f t="shared" si="15"/>
        <v>2.5631252802816348E-2</v>
      </c>
    </row>
    <row r="35" spans="1:12" x14ac:dyDescent="0.25">
      <c r="B35" s="53" t="s">
        <v>103</v>
      </c>
      <c r="C35" s="54">
        <f>IFERROR(C26-SUM(C29,C32),0)</f>
        <v>13132.700000000004</v>
      </c>
      <c r="D35" s="54">
        <f t="shared" ref="D35:L35" si="16">D26-SUM(D29,D32)</f>
        <v>13375.96</v>
      </c>
      <c r="E35" s="54">
        <f t="shared" si="16"/>
        <v>14267.69</v>
      </c>
      <c r="F35" s="54">
        <f t="shared" si="16"/>
        <v>15169.300000000003</v>
      </c>
      <c r="G35" s="55">
        <f t="shared" si="16"/>
        <v>17069.38</v>
      </c>
      <c r="H35" s="55">
        <f t="shared" si="16"/>
        <v>17617.25</v>
      </c>
      <c r="I35" s="54">
        <f t="shared" si="16"/>
        <v>15361.22</v>
      </c>
      <c r="J35" s="55">
        <f t="shared" si="16"/>
        <v>18830.749999999993</v>
      </c>
      <c r="K35" s="55">
        <f t="shared" si="16"/>
        <v>23817.479999999996</v>
      </c>
      <c r="L35" s="54">
        <f t="shared" si="16"/>
        <v>24336.110000000004</v>
      </c>
    </row>
    <row r="36" spans="1:12" x14ac:dyDescent="0.25">
      <c r="B36" s="35" t="s">
        <v>104</v>
      </c>
      <c r="C36" s="35">
        <f>C35/C14</f>
        <v>0.33832210762510911</v>
      </c>
      <c r="D36" s="35">
        <f t="shared" ref="D36:L36" si="17">D35/D14</f>
        <v>0.34129225022389714</v>
      </c>
      <c r="E36" s="35">
        <f t="shared" si="17"/>
        <v>0.33360978871856267</v>
      </c>
      <c r="F36" s="35">
        <f t="shared" si="17"/>
        <v>0.34912934584825317</v>
      </c>
      <c r="G36" s="35">
        <f t="shared" si="17"/>
        <v>0.3531139492730388</v>
      </c>
      <c r="H36" s="35">
        <f t="shared" si="17"/>
        <v>0.35671331120906624</v>
      </c>
      <c r="I36" s="35">
        <f t="shared" si="17"/>
        <v>0.31185577004087706</v>
      </c>
      <c r="J36" s="35">
        <f t="shared" si="17"/>
        <v>0.31051022895053687</v>
      </c>
      <c r="K36" s="35">
        <f t="shared" si="17"/>
        <v>0.33584046482305235</v>
      </c>
      <c r="L36" s="35">
        <f t="shared" si="17"/>
        <v>0.34340917294586903</v>
      </c>
    </row>
    <row r="38" spans="1:12" x14ac:dyDescent="0.25">
      <c r="B38" t="s">
        <v>13</v>
      </c>
      <c r="C38" s="34">
        <f>IFERROR('Data Sheet'!B29,0)</f>
        <v>4596.42</v>
      </c>
      <c r="D38" s="34">
        <f>IFERROR('Data Sheet'!C29,0)</f>
        <v>5358.21</v>
      </c>
      <c r="E38" s="34">
        <f>IFERROR('Data Sheet'!D29,0)</f>
        <v>5549.09</v>
      </c>
      <c r="F38" s="34">
        <f>IFERROR('Data Sheet'!E29,0)</f>
        <v>5916.43</v>
      </c>
      <c r="G38" s="34">
        <f>IFERROR('Data Sheet'!F29,0)</f>
        <v>6313.92</v>
      </c>
      <c r="H38" s="34">
        <f>IFERROR('Data Sheet'!G29,0)</f>
        <v>4441.79</v>
      </c>
      <c r="I38" s="34">
        <f>IFERROR('Data Sheet'!H29,0)</f>
        <v>4555.29</v>
      </c>
      <c r="J38" s="34">
        <f>IFERROR('Data Sheet'!I29,0)</f>
        <v>5237.34</v>
      </c>
      <c r="K38" s="34">
        <f>IFERROR('Data Sheet'!J29,0)</f>
        <v>6438.4</v>
      </c>
      <c r="L38" s="34">
        <f>IFERROR('Data Sheet'!K29,0)</f>
        <v>6388.52</v>
      </c>
    </row>
    <row r="39" spans="1:12" x14ac:dyDescent="0.25">
      <c r="B39" s="36" t="s">
        <v>105</v>
      </c>
      <c r="C39" s="35">
        <f>C38/C35</f>
        <v>0.34999809635490026</v>
      </c>
      <c r="D39" s="35">
        <f t="shared" ref="D39:H39" si="18">D38/D35</f>
        <v>0.40058507950083588</v>
      </c>
      <c r="E39" s="35">
        <f t="shared" si="18"/>
        <v>0.3889270092075171</v>
      </c>
      <c r="F39" s="35">
        <f t="shared" si="18"/>
        <v>0.3900265668158715</v>
      </c>
      <c r="G39" s="35">
        <f t="shared" si="18"/>
        <v>0.36989744208635578</v>
      </c>
      <c r="H39" s="35">
        <f t="shared" si="18"/>
        <v>0.25212731839532276</v>
      </c>
      <c r="I39" s="35">
        <f>I38/I35</f>
        <v>0.29654480568600672</v>
      </c>
      <c r="J39" s="35">
        <f t="shared" ref="J39" si="19">J38/J35</f>
        <v>0.27812699972120081</v>
      </c>
      <c r="K39" s="35">
        <f t="shared" ref="K39" si="20">K38/K35</f>
        <v>0.27032246904374435</v>
      </c>
      <c r="L39" s="35">
        <f t="shared" ref="L39" si="21">L38/L35</f>
        <v>0.26251196267603982</v>
      </c>
    </row>
    <row r="41" spans="1:12" x14ac:dyDescent="0.25">
      <c r="B41" s="53" t="s">
        <v>106</v>
      </c>
      <c r="C41" s="54">
        <f>IFERROR(C35-C38,0)</f>
        <v>8536.2800000000043</v>
      </c>
      <c r="D41" s="54">
        <f t="shared" ref="D41:L41" si="22">IFERROR(D35-D38,0)</f>
        <v>8017.7499999999991</v>
      </c>
      <c r="E41" s="54">
        <f t="shared" si="22"/>
        <v>8718.6</v>
      </c>
      <c r="F41" s="54">
        <f t="shared" si="22"/>
        <v>9252.8700000000026</v>
      </c>
      <c r="G41" s="55">
        <f t="shared" si="22"/>
        <v>10755.460000000001</v>
      </c>
      <c r="H41" s="55">
        <f t="shared" si="22"/>
        <v>13175.46</v>
      </c>
      <c r="I41" s="54">
        <f t="shared" si="22"/>
        <v>10805.93</v>
      </c>
      <c r="J41" s="55">
        <f t="shared" si="22"/>
        <v>13593.409999999993</v>
      </c>
      <c r="K41" s="55">
        <f t="shared" si="22"/>
        <v>17379.079999999994</v>
      </c>
      <c r="L41" s="54">
        <f t="shared" si="22"/>
        <v>17947.590000000004</v>
      </c>
    </row>
    <row r="42" spans="1:12" x14ac:dyDescent="0.25">
      <c r="B42" s="36" t="s">
        <v>107</v>
      </c>
      <c r="C42" s="35">
        <f>C41/C14</f>
        <v>0.21991001400154322</v>
      </c>
      <c r="D42" s="35">
        <f t="shared" ref="D42:L42" si="23">D41/D14</f>
        <v>0.20457566703493815</v>
      </c>
      <c r="E42" s="35">
        <f t="shared" si="23"/>
        <v>0.20385993134990041</v>
      </c>
      <c r="F42" s="35">
        <f t="shared" si="23"/>
        <v>0.21295962571238797</v>
      </c>
      <c r="G42" s="35">
        <f t="shared" si="23"/>
        <v>0.22249800267193054</v>
      </c>
      <c r="H42" s="35">
        <f t="shared" si="23"/>
        <v>0.26677614061800814</v>
      </c>
      <c r="I42" s="35">
        <f t="shared" si="23"/>
        <v>0.21937656131204519</v>
      </c>
      <c r="J42" s="35">
        <f t="shared" si="23"/>
        <v>0.2241489505897809</v>
      </c>
      <c r="K42" s="35">
        <f t="shared" si="23"/>
        <v>0.24505524116728605</v>
      </c>
      <c r="L42" s="35">
        <f t="shared" si="23"/>
        <v>0.25326015695489335</v>
      </c>
    </row>
    <row r="44" spans="1:12" x14ac:dyDescent="0.25">
      <c r="B44" t="s">
        <v>108</v>
      </c>
      <c r="C44" s="28">
        <f>IFERROR('Data Sheet'!B93,0)</f>
        <v>1202.33</v>
      </c>
      <c r="D44" s="28">
        <f>IFERROR('Data Sheet'!C93,0)</f>
        <v>1207.08</v>
      </c>
      <c r="E44" s="28">
        <f>IFERROR('Data Sheet'!D93,0)</f>
        <v>1214.74</v>
      </c>
      <c r="F44" s="28">
        <f>IFERROR('Data Sheet'!E93,0)</f>
        <v>1220.43</v>
      </c>
      <c r="G44" s="28">
        <f>IFERROR('Data Sheet'!F93,0)</f>
        <v>1225.8599999999999</v>
      </c>
      <c r="H44" s="28">
        <f>IFERROR('Data Sheet'!G93,0)</f>
        <v>1229.22</v>
      </c>
      <c r="I44" s="28">
        <f>IFERROR('Data Sheet'!H93,0)</f>
        <v>1230.8800000000001</v>
      </c>
      <c r="J44" s="28">
        <f>IFERROR('Data Sheet'!I93,0)</f>
        <v>1232.33</v>
      </c>
      <c r="K44" s="28">
        <f>IFERROR('Data Sheet'!J93,0)</f>
        <v>1242.8</v>
      </c>
      <c r="L44" s="28">
        <f>IFERROR('Data Sheet'!K93,0)</f>
        <v>1248.47</v>
      </c>
    </row>
    <row r="46" spans="1:12" x14ac:dyDescent="0.25">
      <c r="B46" t="s">
        <v>111</v>
      </c>
      <c r="C46" s="28">
        <f>IFERROR(C41/C44,0)</f>
        <v>7.0997812580572761</v>
      </c>
      <c r="D46" s="28">
        <f t="shared" ref="D46:L46" si="24">IFERROR(D41/D44,0)</f>
        <v>6.6422689465486959</v>
      </c>
      <c r="E46" s="28">
        <f t="shared" si="24"/>
        <v>7.1773383604722003</v>
      </c>
      <c r="F46" s="28">
        <f t="shared" si="24"/>
        <v>7.5816474521275303</v>
      </c>
      <c r="G46" s="34">
        <f t="shared" si="24"/>
        <v>8.7738077757655866</v>
      </c>
      <c r="H46" s="34">
        <f t="shared" si="24"/>
        <v>10.718553228876848</v>
      </c>
      <c r="I46" s="34">
        <f t="shared" si="24"/>
        <v>8.7790280124788769</v>
      </c>
      <c r="J46" s="34">
        <f t="shared" si="24"/>
        <v>11.030657372619341</v>
      </c>
      <c r="K46" s="34">
        <f t="shared" si="24"/>
        <v>13.983810749919533</v>
      </c>
      <c r="L46" s="28">
        <f t="shared" si="24"/>
        <v>14.375667817408511</v>
      </c>
    </row>
    <row r="47" spans="1:12" x14ac:dyDescent="0.25">
      <c r="B47" s="36" t="s">
        <v>112</v>
      </c>
      <c r="C47" s="37"/>
      <c r="D47" s="35">
        <f>IFERROR(D46/C46-1,0)</f>
        <v>-6.4440339058244422E-2</v>
      </c>
      <c r="E47" s="35">
        <f t="shared" ref="E47:J47" si="25">IFERROR(E46/D46-1,0)</f>
        <v>8.0555216632943516E-2</v>
      </c>
      <c r="F47" s="35">
        <f t="shared" si="25"/>
        <v>5.633134058190481E-2</v>
      </c>
      <c r="G47" s="35">
        <f t="shared" si="25"/>
        <v>0.15724291206702268</v>
      </c>
      <c r="H47" s="35">
        <f t="shared" si="25"/>
        <v>0.22165352864042731</v>
      </c>
      <c r="I47" s="35">
        <f t="shared" si="25"/>
        <v>-0.18095028078721465</v>
      </c>
      <c r="J47" s="34">
        <f t="shared" si="25"/>
        <v>0.25647820657821163</v>
      </c>
      <c r="K47" s="34">
        <f>IFERROR(K46/J46-1,0)</f>
        <v>0.26772233762156428</v>
      </c>
      <c r="L47" s="35">
        <f t="shared" ref="L47" si="26">IFERROR(L46/K46-1,0)</f>
        <v>2.8022194700484837E-2</v>
      </c>
    </row>
    <row r="48" spans="1:12" x14ac:dyDescent="0.25">
      <c r="A48" t="s">
        <v>110</v>
      </c>
    </row>
    <row r="49" spans="1:12" x14ac:dyDescent="0.25">
      <c r="B49" t="s">
        <v>109</v>
      </c>
      <c r="C49" s="28">
        <f>IFERROR('Data Sheet'!B31/'Historical FS'!C44,0)</f>
        <v>4.1666514184957544</v>
      </c>
      <c r="D49" s="28">
        <f>IFERROR('Data Sheet'!C31/'Historical FS'!D44,0)</f>
        <v>5.666666666666667</v>
      </c>
      <c r="E49" s="28">
        <f>IFERROR('Data Sheet'!D31/'Historical FS'!E44,0)</f>
        <v>4.7500041161071511</v>
      </c>
      <c r="F49" s="28">
        <f>IFERROR('Data Sheet'!E31/'Historical FS'!F44,0)</f>
        <v>5.1499963127750057</v>
      </c>
      <c r="G49" s="28">
        <f>IFERROR('Data Sheet'!F31/'Historical FS'!G44,0)</f>
        <v>5.7500040787691908</v>
      </c>
      <c r="H49" s="28">
        <f>IFERROR('Data Sheet'!G31/'Historical FS'!H44,0)</f>
        <v>10.149997559427929</v>
      </c>
      <c r="I49" s="28">
        <f>IFERROR('Data Sheet'!H31/'Historical FS'!I44,0)</f>
        <v>10.749999999999998</v>
      </c>
      <c r="J49" s="28">
        <f>IFERROR('Data Sheet'!I31/'Historical FS'!J44,0)</f>
        <v>11.500004057354767</v>
      </c>
      <c r="K49" s="28">
        <f>IFERROR('Data Sheet'!J31/'Historical FS'!K44,0)</f>
        <v>15.500000000000002</v>
      </c>
      <c r="L49" s="28">
        <f>IFERROR('Data Sheet'!K31/'Historical FS'!L44,0)</f>
        <v>13.749997997548999</v>
      </c>
    </row>
    <row r="50" spans="1:12" x14ac:dyDescent="0.25">
      <c r="B50" s="36" t="s">
        <v>113</v>
      </c>
      <c r="C50" s="35">
        <f>IFERROR(C49/C46,0)</f>
        <v>0.58687039319235046</v>
      </c>
      <c r="D50" s="35">
        <f t="shared" ref="D50:L50" si="27">IFERROR(D49/D46,0)</f>
        <v>0.85312213526238667</v>
      </c>
      <c r="E50" s="35">
        <f t="shared" si="27"/>
        <v>0.66180579450829269</v>
      </c>
      <c r="F50" s="35">
        <f t="shared" si="27"/>
        <v>0.67927140443991962</v>
      </c>
      <c r="G50" s="35">
        <f t="shared" si="27"/>
        <v>0.65536016125763097</v>
      </c>
      <c r="H50" s="35">
        <f t="shared" si="27"/>
        <v>0.94695593170940517</v>
      </c>
      <c r="I50" s="35">
        <f t="shared" si="27"/>
        <v>1.2245091352618422</v>
      </c>
      <c r="J50" s="35">
        <f t="shared" si="27"/>
        <v>1.0425492941064831</v>
      </c>
      <c r="K50" s="35">
        <f t="shared" si="27"/>
        <v>1.108424611659536</v>
      </c>
      <c r="L50" s="35">
        <f t="shared" si="27"/>
        <v>0.95647716490069112</v>
      </c>
    </row>
    <row r="52" spans="1:12" x14ac:dyDescent="0.25">
      <c r="B52" t="s">
        <v>114</v>
      </c>
      <c r="C52" s="5">
        <f>IFERROR(IF(C46&gt;C49,1-C50,0),0)</f>
        <v>0.41312960680764954</v>
      </c>
      <c r="D52" s="5">
        <f t="shared" ref="D52:L52" si="28">IFERROR(IF(D46&gt;D49,1-D50,0),0)</f>
        <v>0.14687786473761333</v>
      </c>
      <c r="E52" s="5">
        <f t="shared" si="28"/>
        <v>0.33819420549170731</v>
      </c>
      <c r="F52" s="5">
        <f t="shared" si="28"/>
        <v>0.32072859556008038</v>
      </c>
      <c r="G52" s="5">
        <f t="shared" si="28"/>
        <v>0.34463983874236903</v>
      </c>
      <c r="H52" s="5">
        <f t="shared" si="28"/>
        <v>5.3044068290594826E-2</v>
      </c>
      <c r="I52" s="5">
        <f t="shared" si="28"/>
        <v>0</v>
      </c>
      <c r="J52" s="5">
        <f t="shared" si="28"/>
        <v>0</v>
      </c>
      <c r="K52" s="5">
        <f t="shared" si="28"/>
        <v>0</v>
      </c>
      <c r="L52" s="5">
        <f t="shared" si="28"/>
        <v>4.3522835099308876E-2</v>
      </c>
    </row>
    <row r="54" spans="1:12" x14ac:dyDescent="0.25">
      <c r="A54" s="43" t="s">
        <v>116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</row>
    <row r="55" spans="1:12" x14ac:dyDescent="0.25">
      <c r="B55" t="s">
        <v>24</v>
      </c>
      <c r="C55" s="28">
        <f>IFERROR('Data Sheet'!B57,0)</f>
        <v>801.55</v>
      </c>
      <c r="D55" s="28">
        <f>IFERROR('Data Sheet'!C57,0)</f>
        <v>804.72</v>
      </c>
      <c r="E55" s="28">
        <f>IFERROR('Data Sheet'!D57,0)</f>
        <v>1214.74</v>
      </c>
      <c r="F55" s="28">
        <f>IFERROR('Data Sheet'!E57,0)</f>
        <v>1220.43</v>
      </c>
      <c r="G55" s="28">
        <f>IFERROR('Data Sheet'!F57,0)</f>
        <v>1225.8599999999999</v>
      </c>
      <c r="H55" s="28">
        <f>IFERROR('Data Sheet'!G57,0)</f>
        <v>1229.22</v>
      </c>
      <c r="I55" s="28">
        <f>IFERROR('Data Sheet'!H57,0)</f>
        <v>1230.8800000000001</v>
      </c>
      <c r="J55" s="28">
        <f>IFERROR('Data Sheet'!I57,0)</f>
        <v>1232.33</v>
      </c>
      <c r="K55" s="28">
        <f>IFERROR('Data Sheet'!J57,0)</f>
        <v>1242.8</v>
      </c>
      <c r="L55" s="28">
        <f>IFERROR('Data Sheet'!K57,0)</f>
        <v>1248.47</v>
      </c>
    </row>
    <row r="56" spans="1:12" x14ac:dyDescent="0.25">
      <c r="B56" t="s">
        <v>25</v>
      </c>
      <c r="C56" s="28">
        <f>IFERROR('Data Sheet'!B58,0)</f>
        <v>30933.94</v>
      </c>
      <c r="D56" s="28">
        <f>IFERROR('Data Sheet'!C58,0)</f>
        <v>41874.800000000003</v>
      </c>
      <c r="E56" s="28">
        <f>IFERROR('Data Sheet'!D58,0)</f>
        <v>45198.19</v>
      </c>
      <c r="F56" s="28">
        <f>IFERROR('Data Sheet'!E58,0)</f>
        <v>51289.68</v>
      </c>
      <c r="G56" s="28">
        <f>IFERROR('Data Sheet'!F58,0)</f>
        <v>57915.01</v>
      </c>
      <c r="H56" s="28">
        <f>IFERROR('Data Sheet'!G58,0)</f>
        <v>64044.04</v>
      </c>
      <c r="I56" s="28">
        <f>IFERROR('Data Sheet'!H58,0)</f>
        <v>59116.46</v>
      </c>
      <c r="J56" s="28">
        <f>IFERROR('Data Sheet'!I58,0)</f>
        <v>61223.24</v>
      </c>
      <c r="K56" s="28">
        <f>IFERROR('Data Sheet'!J58,0)</f>
        <v>67912.460000000006</v>
      </c>
      <c r="L56" s="28">
        <f>IFERROR('Data Sheet'!K58,0)</f>
        <v>73258.53</v>
      </c>
    </row>
    <row r="57" spans="1:12" x14ac:dyDescent="0.25">
      <c r="B57" t="s">
        <v>71</v>
      </c>
      <c r="C57" s="28">
        <f>IFERROR('Data Sheet'!B59,0)</f>
        <v>268.8</v>
      </c>
      <c r="D57" s="28">
        <f>IFERROR('Data Sheet'!C59,0)</f>
        <v>83.78</v>
      </c>
      <c r="E57" s="28">
        <f>IFERROR('Data Sheet'!D59,0)</f>
        <v>45.72</v>
      </c>
      <c r="F57" s="28">
        <f>IFERROR('Data Sheet'!E59,0)</f>
        <v>35.92</v>
      </c>
      <c r="G57" s="28">
        <f>IFERROR('Data Sheet'!F59,0)</f>
        <v>13.44</v>
      </c>
      <c r="H57" s="28">
        <f>IFERROR('Data Sheet'!G59,0)</f>
        <v>277.45</v>
      </c>
      <c r="I57" s="28">
        <f>IFERROR('Data Sheet'!H59,0)</f>
        <v>270.83</v>
      </c>
      <c r="J57" s="28">
        <f>IFERROR('Data Sheet'!I59,0)</f>
        <v>249.44</v>
      </c>
      <c r="K57" s="28">
        <f>IFERROR('Data Sheet'!J59,0)</f>
        <v>306.04000000000002</v>
      </c>
      <c r="L57" s="28">
        <f>IFERROR('Data Sheet'!K59,0)</f>
        <v>303.43</v>
      </c>
    </row>
    <row r="58" spans="1:12" x14ac:dyDescent="0.25">
      <c r="B58" t="s">
        <v>72</v>
      </c>
      <c r="C58" s="28">
        <f>IFERROR('Data Sheet'!B60,0)</f>
        <v>13947.93</v>
      </c>
      <c r="D58" s="28">
        <f>IFERROR('Data Sheet'!C60,0)</f>
        <v>8888.0400000000009</v>
      </c>
      <c r="E58" s="28">
        <f>IFERROR('Data Sheet'!D60,0)</f>
        <v>9439.67</v>
      </c>
      <c r="F58" s="28">
        <f>IFERROR('Data Sheet'!E60,0)</f>
        <v>11694.85</v>
      </c>
      <c r="G58" s="28">
        <f>IFERROR('Data Sheet'!F60,0)</f>
        <v>12584.73</v>
      </c>
      <c r="H58" s="28">
        <f>IFERROR('Data Sheet'!G60,0)</f>
        <v>11760.04</v>
      </c>
      <c r="I58" s="28">
        <f>IFERROR('Data Sheet'!H60,0)</f>
        <v>13142.59</v>
      </c>
      <c r="J58" s="28">
        <f>IFERROR('Data Sheet'!I60,0)</f>
        <v>14491.01</v>
      </c>
      <c r="K58" s="28">
        <f>IFERROR('Data Sheet'!J60,0)</f>
        <v>16369.66</v>
      </c>
      <c r="L58" s="28">
        <f>IFERROR('Data Sheet'!K60,0)</f>
        <v>16943.54</v>
      </c>
    </row>
    <row r="59" spans="1:12" x14ac:dyDescent="0.25">
      <c r="B59" s="53" t="s">
        <v>117</v>
      </c>
      <c r="C59" s="54">
        <f>IFERROR('Data Sheet'!B61,0)</f>
        <v>45952.22</v>
      </c>
      <c r="D59" s="54">
        <f>IFERROR('Data Sheet'!C61,0)</f>
        <v>51651.34</v>
      </c>
      <c r="E59" s="54">
        <f>IFERROR('Data Sheet'!D61,0)</f>
        <v>55898.32</v>
      </c>
      <c r="F59" s="54">
        <f>IFERROR('Data Sheet'!E61,0)</f>
        <v>64240.88</v>
      </c>
      <c r="G59" s="55">
        <f>IFERROR('Data Sheet'!F61,0)</f>
        <v>71739.039999999994</v>
      </c>
      <c r="H59" s="55">
        <f>IFERROR('Data Sheet'!G61,0)</f>
        <v>77310.75</v>
      </c>
      <c r="I59" s="54">
        <f>IFERROR('Data Sheet'!H61,0)</f>
        <v>73760.759999999995</v>
      </c>
      <c r="J59" s="55">
        <f>IFERROR('Data Sheet'!I61,0)</f>
        <v>77196.02</v>
      </c>
      <c r="K59" s="55">
        <f>IFERROR('Data Sheet'!J61,0)</f>
        <v>85830.96</v>
      </c>
      <c r="L59" s="54">
        <f>IFERROR('Data Sheet'!K61,0)</f>
        <v>91753.97</v>
      </c>
    </row>
    <row r="60" spans="1:12" x14ac:dyDescent="0.25">
      <c r="B60" s="2"/>
    </row>
    <row r="61" spans="1:12" x14ac:dyDescent="0.25">
      <c r="B61" t="s">
        <v>118</v>
      </c>
      <c r="C61" s="28">
        <f>IFERROR('Data Sheet'!B62,0)</f>
        <v>15303.28</v>
      </c>
      <c r="D61" s="28">
        <f>IFERROR('Data Sheet'!C62,0)</f>
        <v>15106.63</v>
      </c>
      <c r="E61" s="28">
        <f>IFERROR('Data Sheet'!D62,0)</f>
        <v>15893.48</v>
      </c>
      <c r="F61" s="28">
        <f>IFERROR('Data Sheet'!E62,0)</f>
        <v>16523.96</v>
      </c>
      <c r="G61" s="28">
        <f>IFERROR('Data Sheet'!F62,0)</f>
        <v>19374.189999999999</v>
      </c>
      <c r="H61" s="28">
        <f>IFERROR('Data Sheet'!G62,0)</f>
        <v>21713.34</v>
      </c>
      <c r="I61" s="28">
        <f>IFERROR('Data Sheet'!H62,0)</f>
        <v>23298.48</v>
      </c>
      <c r="J61" s="28">
        <f>IFERROR('Data Sheet'!I62,0)</f>
        <v>24231.59</v>
      </c>
      <c r="K61" s="28">
        <f>IFERROR('Data Sheet'!J62,0)</f>
        <v>25851.27</v>
      </c>
      <c r="L61" s="28">
        <f>IFERROR('Data Sheet'!K62,0)</f>
        <v>27820.22</v>
      </c>
    </row>
    <row r="62" spans="1:12" x14ac:dyDescent="0.25">
      <c r="B62" t="s">
        <v>28</v>
      </c>
      <c r="C62" s="28">
        <f>IFERROR('Data Sheet'!B63,0)</f>
        <v>2700.2</v>
      </c>
      <c r="D62" s="28">
        <f>IFERROR('Data Sheet'!C63,0)</f>
        <v>2559.7199999999998</v>
      </c>
      <c r="E62" s="28">
        <f>IFERROR('Data Sheet'!D63,0)</f>
        <v>3729.89</v>
      </c>
      <c r="F62" s="28">
        <f>IFERROR('Data Sheet'!E63,0)</f>
        <v>5508.33</v>
      </c>
      <c r="G62" s="28">
        <f>IFERROR('Data Sheet'!F63,0)</f>
        <v>4136.42</v>
      </c>
      <c r="H62" s="28">
        <f>IFERROR('Data Sheet'!G63,0)</f>
        <v>3256.46</v>
      </c>
      <c r="I62" s="28">
        <f>IFERROR('Data Sheet'!H63,0)</f>
        <v>4011.29</v>
      </c>
      <c r="J62" s="28">
        <f>IFERROR('Data Sheet'!I63,0)</f>
        <v>3225.54</v>
      </c>
      <c r="K62" s="28">
        <f>IFERROR('Data Sheet'!J63,0)</f>
        <v>3003.3</v>
      </c>
      <c r="L62" s="28">
        <f>IFERROR('Data Sheet'!K63,0)</f>
        <v>2860.78</v>
      </c>
    </row>
    <row r="63" spans="1:12" x14ac:dyDescent="0.25">
      <c r="B63" t="s">
        <v>29</v>
      </c>
      <c r="C63" s="28">
        <f>IFERROR('Data Sheet'!B64,0)</f>
        <v>6942.77</v>
      </c>
      <c r="D63" s="28">
        <f>IFERROR('Data Sheet'!C64,0)</f>
        <v>11747.59</v>
      </c>
      <c r="E63" s="28">
        <f>IFERROR('Data Sheet'!D64,0)</f>
        <v>17581.38</v>
      </c>
      <c r="F63" s="28">
        <f>IFERROR('Data Sheet'!E64,0)</f>
        <v>22052.86</v>
      </c>
      <c r="G63" s="28">
        <f>IFERROR('Data Sheet'!F64,0)</f>
        <v>25043.49</v>
      </c>
      <c r="H63" s="28">
        <f>IFERROR('Data Sheet'!G64,0)</f>
        <v>28663.35</v>
      </c>
      <c r="I63" s="28">
        <f>IFERROR('Data Sheet'!H64,0)</f>
        <v>24870.87</v>
      </c>
      <c r="J63" s="28">
        <f>IFERROR('Data Sheet'!I64,0)</f>
        <v>24841.01</v>
      </c>
      <c r="K63" s="28">
        <f>IFERROR('Data Sheet'!J64,0)</f>
        <v>29415.02</v>
      </c>
      <c r="L63" s="28">
        <f>IFERROR('Data Sheet'!K64,0)</f>
        <v>31114.02</v>
      </c>
    </row>
    <row r="64" spans="1:12" x14ac:dyDescent="0.25">
      <c r="B64" t="s">
        <v>73</v>
      </c>
      <c r="C64" s="28">
        <f>IFERROR('Data Sheet'!B65-SUM('Data Sheet'!B67:B69),0)</f>
        <v>2540.8100000000013</v>
      </c>
      <c r="D64" s="28">
        <f>IFERROR('Data Sheet'!C65-SUM('Data Sheet'!C67:C69),0)</f>
        <v>5194.82</v>
      </c>
      <c r="E64" s="28">
        <f>IFERROR('Data Sheet'!D65-SUM('Data Sheet'!D67:D69),0)</f>
        <v>5135.7800000000007</v>
      </c>
      <c r="F64" s="28">
        <f>IFERROR('Data Sheet'!E65-SUM('Data Sheet'!E67:E69),0)</f>
        <v>7078.7499999999982</v>
      </c>
      <c r="G64" s="28">
        <f>IFERROR('Data Sheet'!F65-SUM('Data Sheet'!F67:F69),0)</f>
        <v>7138.07</v>
      </c>
      <c r="H64" s="28">
        <f>IFERROR('Data Sheet'!G65-SUM('Data Sheet'!G67:G69),0)</f>
        <v>4958.4499999999971</v>
      </c>
      <c r="I64" s="28">
        <f>IFERROR('Data Sheet'!H65-SUM('Data Sheet'!H67:H69),0)</f>
        <v>4022.239999999998</v>
      </c>
      <c r="J64" s="28">
        <f>IFERROR('Data Sheet'!I65-SUM('Data Sheet'!I67:I69),0)</f>
        <v>6917.41</v>
      </c>
      <c r="K64" s="28">
        <f>IFERROR('Data Sheet'!J65-SUM('Data Sheet'!J67:J69),0)</f>
        <v>7953.8499999999985</v>
      </c>
      <c r="L64" s="28">
        <f>IFERROR('Data Sheet'!K65-SUM('Data Sheet'!K67:K69),0)</f>
        <v>4562.57</v>
      </c>
    </row>
    <row r="65" spans="2:12" x14ac:dyDescent="0.25">
      <c r="B65" s="53" t="s">
        <v>120</v>
      </c>
      <c r="C65" s="54">
        <f>IFERROR(SUM(C61:C64),0)</f>
        <v>27487.06</v>
      </c>
      <c r="D65" s="54">
        <f t="shared" ref="D65:L65" si="29">IFERROR(SUM(D61:D64),0)</f>
        <v>34608.759999999995</v>
      </c>
      <c r="E65" s="54">
        <f t="shared" si="29"/>
        <v>42340.53</v>
      </c>
      <c r="F65" s="54">
        <f t="shared" si="29"/>
        <v>51163.9</v>
      </c>
      <c r="G65" s="55">
        <f t="shared" si="29"/>
        <v>55692.170000000006</v>
      </c>
      <c r="H65" s="55">
        <f t="shared" si="29"/>
        <v>58591.599999999991</v>
      </c>
      <c r="I65" s="54">
        <f t="shared" si="29"/>
        <v>56202.879999999997</v>
      </c>
      <c r="J65" s="55">
        <f t="shared" si="29"/>
        <v>59215.55</v>
      </c>
      <c r="K65" s="55">
        <f t="shared" si="29"/>
        <v>66223.44</v>
      </c>
      <c r="L65" s="54">
        <f t="shared" si="29"/>
        <v>66357.59</v>
      </c>
    </row>
    <row r="66" spans="2:12" x14ac:dyDescent="0.25">
      <c r="B66" s="2"/>
    </row>
    <row r="67" spans="2:12" x14ac:dyDescent="0.25">
      <c r="B67" t="s">
        <v>78</v>
      </c>
      <c r="C67" s="28">
        <f>IFERROR('Data Sheet'!B67,0)</f>
        <v>1982.07</v>
      </c>
      <c r="D67" s="28">
        <f>IFERROR('Data Sheet'!C67,0)</f>
        <v>1917.18</v>
      </c>
      <c r="E67" s="28">
        <f>IFERROR('Data Sheet'!D67,0)</f>
        <v>2474.29</v>
      </c>
      <c r="F67" s="28">
        <f>IFERROR('Data Sheet'!E67,0)</f>
        <v>2682.29</v>
      </c>
      <c r="G67" s="28">
        <f>IFERROR('Data Sheet'!F67,0)</f>
        <v>4035.28</v>
      </c>
      <c r="H67" s="28">
        <f>IFERROR('Data Sheet'!G67,0)</f>
        <v>2562.48</v>
      </c>
      <c r="I67" s="28">
        <f>IFERROR('Data Sheet'!H67,0)</f>
        <v>2501.6999999999998</v>
      </c>
      <c r="J67" s="28">
        <f>IFERROR('Data Sheet'!I67,0)</f>
        <v>2461.9</v>
      </c>
      <c r="K67" s="28">
        <f>IFERROR('Data Sheet'!J67,0)</f>
        <v>2956.17</v>
      </c>
      <c r="L67" s="28">
        <f>IFERROR('Data Sheet'!K67,0)</f>
        <v>4025.82</v>
      </c>
    </row>
    <row r="68" spans="2:12" x14ac:dyDescent="0.25">
      <c r="B68" t="s">
        <v>45</v>
      </c>
      <c r="C68" s="28">
        <f>IFERROR('Data Sheet'!B68,0)</f>
        <v>8586.8700000000008</v>
      </c>
      <c r="D68" s="28">
        <f>IFERROR('Data Sheet'!C68,0)</f>
        <v>9062.1</v>
      </c>
      <c r="E68" s="28">
        <f>IFERROR('Data Sheet'!D68,0)</f>
        <v>8116.1</v>
      </c>
      <c r="F68" s="28">
        <f>IFERROR('Data Sheet'!E68,0)</f>
        <v>7495.09</v>
      </c>
      <c r="G68" s="28">
        <f>IFERROR('Data Sheet'!F68,0)</f>
        <v>7859.56</v>
      </c>
      <c r="H68" s="28">
        <f>IFERROR('Data Sheet'!G68,0)</f>
        <v>8879.33</v>
      </c>
      <c r="I68" s="28">
        <f>IFERROR('Data Sheet'!H68,0)</f>
        <v>10397.16</v>
      </c>
      <c r="J68" s="28">
        <f>IFERROR('Data Sheet'!I68,0)</f>
        <v>10864.15</v>
      </c>
      <c r="K68" s="28">
        <f>IFERROR('Data Sheet'!J68,0)</f>
        <v>11771.16</v>
      </c>
      <c r="L68" s="28">
        <f>IFERROR('Data Sheet'!K68,0)</f>
        <v>14152.88</v>
      </c>
    </row>
    <row r="69" spans="2:12" x14ac:dyDescent="0.25">
      <c r="B69" t="s">
        <v>87</v>
      </c>
      <c r="C69" s="28">
        <f>IFERROR('Data Sheet'!B69,0)</f>
        <v>7896.22</v>
      </c>
      <c r="D69" s="28">
        <f>IFERROR('Data Sheet'!C69,0)</f>
        <v>6063.3</v>
      </c>
      <c r="E69" s="28">
        <f>IFERROR('Data Sheet'!D69,0)</f>
        <v>2967.4</v>
      </c>
      <c r="F69" s="28">
        <f>IFERROR('Data Sheet'!E69,0)</f>
        <v>2899.6</v>
      </c>
      <c r="G69" s="28">
        <f>IFERROR('Data Sheet'!F69,0)</f>
        <v>4152.03</v>
      </c>
      <c r="H69" s="28">
        <f>IFERROR('Data Sheet'!G69,0)</f>
        <v>7277.34</v>
      </c>
      <c r="I69" s="28">
        <f>IFERROR('Data Sheet'!H69,0)</f>
        <v>4659.0200000000004</v>
      </c>
      <c r="J69" s="28">
        <f>IFERROR('Data Sheet'!I69,0)</f>
        <v>4654.42</v>
      </c>
      <c r="K69" s="28">
        <f>IFERROR('Data Sheet'!J69,0)</f>
        <v>4880.1899999999996</v>
      </c>
      <c r="L69" s="28">
        <f>IFERROR('Data Sheet'!K69,0)</f>
        <v>7217.68</v>
      </c>
    </row>
    <row r="70" spans="2:12" x14ac:dyDescent="0.25">
      <c r="B70" s="53" t="s">
        <v>121</v>
      </c>
      <c r="C70" s="54">
        <f>IFERROR(SUM(C67:C69),0)</f>
        <v>18465.16</v>
      </c>
      <c r="D70" s="54">
        <f t="shared" ref="D70:L70" si="30">IFERROR(SUM(D67:D69),0)</f>
        <v>17042.580000000002</v>
      </c>
      <c r="E70" s="54">
        <f t="shared" si="30"/>
        <v>13557.789999999999</v>
      </c>
      <c r="F70" s="54">
        <f t="shared" si="30"/>
        <v>13076.980000000001</v>
      </c>
      <c r="G70" s="55">
        <f t="shared" si="30"/>
        <v>16046.869999999999</v>
      </c>
      <c r="H70" s="55">
        <f t="shared" si="30"/>
        <v>18719.150000000001</v>
      </c>
      <c r="I70" s="54">
        <f t="shared" si="30"/>
        <v>17557.88</v>
      </c>
      <c r="J70" s="55">
        <f t="shared" si="30"/>
        <v>17980.47</v>
      </c>
      <c r="K70" s="55">
        <f t="shared" si="30"/>
        <v>19607.52</v>
      </c>
      <c r="L70" s="54">
        <f t="shared" si="30"/>
        <v>25396.38</v>
      </c>
    </row>
    <row r="72" spans="2:12" x14ac:dyDescent="0.25">
      <c r="B72" s="53" t="s">
        <v>119</v>
      </c>
      <c r="C72" s="54">
        <f>IFERROR(SUM(C70,C65),0)</f>
        <v>45952.22</v>
      </c>
      <c r="D72" s="54">
        <f t="shared" ref="D72:L72" si="31">IFERROR(SUM(D70,D65),0)</f>
        <v>51651.34</v>
      </c>
      <c r="E72" s="54">
        <f t="shared" si="31"/>
        <v>55898.32</v>
      </c>
      <c r="F72" s="54">
        <f t="shared" si="31"/>
        <v>64240.880000000005</v>
      </c>
      <c r="G72" s="55">
        <f t="shared" si="31"/>
        <v>71739.040000000008</v>
      </c>
      <c r="H72" s="55">
        <f t="shared" si="31"/>
        <v>77310.75</v>
      </c>
      <c r="I72" s="54">
        <f t="shared" si="31"/>
        <v>73760.759999999995</v>
      </c>
      <c r="J72" s="55">
        <f t="shared" si="31"/>
        <v>77196.02</v>
      </c>
      <c r="K72" s="55">
        <f t="shared" si="31"/>
        <v>85830.96</v>
      </c>
      <c r="L72" s="54">
        <f t="shared" si="31"/>
        <v>91753.97</v>
      </c>
    </row>
    <row r="74" spans="2:12" x14ac:dyDescent="0.25">
      <c r="B74" s="2" t="s">
        <v>122</v>
      </c>
      <c r="C74" s="106" t="b">
        <f>C72=C59</f>
        <v>1</v>
      </c>
      <c r="D74" s="106" t="b">
        <f t="shared" ref="D74:L74" si="32">D72=D59</f>
        <v>1</v>
      </c>
      <c r="E74" s="106" t="b">
        <f t="shared" si="32"/>
        <v>1</v>
      </c>
      <c r="F74" s="106" t="b">
        <f t="shared" si="32"/>
        <v>1</v>
      </c>
      <c r="G74" s="106" t="b">
        <f t="shared" si="32"/>
        <v>1</v>
      </c>
      <c r="H74" s="106" t="b">
        <f t="shared" si="32"/>
        <v>1</v>
      </c>
      <c r="I74" s="106" t="b">
        <f t="shared" si="32"/>
        <v>1</v>
      </c>
      <c r="J74" s="106" t="b">
        <f t="shared" si="32"/>
        <v>1</v>
      </c>
      <c r="K74" s="106" t="b">
        <f t="shared" si="32"/>
        <v>1</v>
      </c>
      <c r="L74" s="106" t="b">
        <f t="shared" si="32"/>
        <v>1</v>
      </c>
    </row>
    <row r="76" spans="2:12" x14ac:dyDescent="0.25"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</row>
    <row r="77" spans="2:12" s="38" customFormat="1" x14ac:dyDescent="0.25"/>
    <row r="78" spans="2:12" s="38" customFormat="1" x14ac:dyDescent="0.25"/>
    <row r="79" spans="2:12" s="38" customFormat="1" x14ac:dyDescent="0.25"/>
    <row r="80" spans="2:12" s="38" customFormat="1" x14ac:dyDescent="0.25"/>
    <row r="81" spans="1:12" s="38" customFormat="1" x14ac:dyDescent="0.25"/>
    <row r="82" spans="1:12" s="38" customFormat="1" x14ac:dyDescent="0.25"/>
    <row r="83" spans="1:12" s="38" customFormat="1" x14ac:dyDescent="0.25"/>
    <row r="84" spans="1:12" s="38" customFormat="1" x14ac:dyDescent="0.25"/>
    <row r="85" spans="1:12" s="38" customFormat="1" x14ac:dyDescent="0.25"/>
    <row r="86" spans="1:12" x14ac:dyDescent="0.25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</row>
    <row r="87" spans="1:12" x14ac:dyDescent="0.25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</row>
    <row r="88" spans="1:12" ht="4.5" customHeight="1" x14ac:dyDescent="0.25">
      <c r="C88" s="38"/>
      <c r="D88" s="38"/>
      <c r="E88" s="38"/>
      <c r="F88" s="38"/>
      <c r="G88" s="38"/>
      <c r="H88" s="38"/>
      <c r="I88" s="38"/>
      <c r="J88" s="38"/>
      <c r="K88" s="38"/>
      <c r="L88" s="38"/>
    </row>
    <row r="89" spans="1:12" ht="32.25" customHeight="1" x14ac:dyDescent="0.25">
      <c r="B89" s="107" t="s">
        <v>63</v>
      </c>
      <c r="J89" s="38"/>
      <c r="K89" s="38"/>
      <c r="L89" s="38"/>
    </row>
    <row r="90" spans="1:12" x14ac:dyDescent="0.25">
      <c r="B90" s="20" t="s">
        <v>200</v>
      </c>
      <c r="J90" s="38"/>
      <c r="K90" s="38"/>
      <c r="L90" s="38"/>
    </row>
    <row r="91" spans="1:12" ht="18.75" x14ac:dyDescent="0.3">
      <c r="B91" s="108" t="s">
        <v>201</v>
      </c>
      <c r="J91" s="38"/>
      <c r="K91" s="38"/>
      <c r="L91" s="38"/>
    </row>
    <row r="92" spans="1:12" x14ac:dyDescent="0.25">
      <c r="B92" s="20" t="s">
        <v>202</v>
      </c>
      <c r="J92" s="38"/>
      <c r="K92" s="38"/>
      <c r="L92" s="38"/>
    </row>
    <row r="93" spans="1:12" ht="5.25" customHeight="1" x14ac:dyDescent="0.25">
      <c r="B93" s="20"/>
      <c r="J93" s="38"/>
      <c r="K93" s="38"/>
      <c r="L93" s="38"/>
    </row>
    <row r="94" spans="1:12" x14ac:dyDescent="0.25">
      <c r="B94" s="103"/>
      <c r="C94" s="33"/>
      <c r="D94" s="33"/>
      <c r="E94" s="33"/>
      <c r="F94" s="33"/>
      <c r="G94" s="33"/>
      <c r="H94" s="33"/>
      <c r="I94" s="33"/>
      <c r="J94" s="33"/>
      <c r="K94" s="33"/>
      <c r="L94" s="33"/>
    </row>
    <row r="96" spans="1:12" x14ac:dyDescent="0.25">
      <c r="A96" s="2" t="s">
        <v>123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</row>
    <row r="97" spans="2:12" x14ac:dyDescent="0.25">
      <c r="B97" s="2" t="s">
        <v>151</v>
      </c>
    </row>
    <row r="98" spans="2:12" x14ac:dyDescent="0.25">
      <c r="B98" t="s">
        <v>124</v>
      </c>
      <c r="C98" s="34">
        <f>'cash flow data'!E4</f>
        <v>14261</v>
      </c>
      <c r="D98" s="34">
        <f>'cash flow data'!F4</f>
        <v>15154</v>
      </c>
      <c r="E98" s="34">
        <f>'cash flow data'!G4</f>
        <v>16075</v>
      </c>
      <c r="F98" s="34">
        <f>'cash flow data'!H4</f>
        <v>17433</v>
      </c>
      <c r="G98" s="34">
        <f>'cash flow data'!I4</f>
        <v>18862</v>
      </c>
      <c r="H98" s="34">
        <f>'cash flow data'!J4</f>
        <v>19416</v>
      </c>
      <c r="I98" s="34">
        <f>'cash flow data'!K4</f>
        <v>17326</v>
      </c>
      <c r="J98" s="34">
        <f>'cash flow data'!L4</f>
        <v>20857</v>
      </c>
      <c r="K98" s="34">
        <f>'cash flow data'!M4</f>
        <v>26052</v>
      </c>
      <c r="L98" s="34">
        <f>'cash flow data'!N4</f>
        <v>26635</v>
      </c>
    </row>
    <row r="99" spans="2:12" x14ac:dyDescent="0.25">
      <c r="B99" t="s">
        <v>78</v>
      </c>
      <c r="C99" s="34">
        <f>'cash flow data'!E5</f>
        <v>558</v>
      </c>
      <c r="D99" s="34">
        <f>'cash flow data'!F5</f>
        <v>-207</v>
      </c>
      <c r="E99" s="34">
        <f>'cash flow data'!G5</f>
        <v>-870</v>
      </c>
      <c r="F99" s="34">
        <f>'cash flow data'!H5</f>
        <v>-964</v>
      </c>
      <c r="G99" s="34">
        <f>'cash flow data'!I5</f>
        <v>-755</v>
      </c>
      <c r="H99" s="34">
        <f>'cash flow data'!J5</f>
        <v>1411</v>
      </c>
      <c r="I99" s="34">
        <f>'cash flow data'!K5</f>
        <v>-66</v>
      </c>
      <c r="J99" s="34">
        <f>'cash flow data'!L5</f>
        <v>-732</v>
      </c>
      <c r="K99" s="34">
        <f>'cash flow data'!M5</f>
        <v>-884</v>
      </c>
      <c r="L99" s="34">
        <f>'cash flow data'!N5</f>
        <v>-934</v>
      </c>
    </row>
    <row r="100" spans="2:12" x14ac:dyDescent="0.25">
      <c r="B100" t="s">
        <v>45</v>
      </c>
      <c r="C100" s="34">
        <f>'cash flow data'!E6</f>
        <v>-505</v>
      </c>
      <c r="D100" s="34">
        <f>'cash flow data'!F6</f>
        <v>-693</v>
      </c>
      <c r="E100" s="34">
        <f>'cash flow data'!G6</f>
        <v>593</v>
      </c>
      <c r="F100" s="34">
        <f>'cash flow data'!H6</f>
        <v>602</v>
      </c>
      <c r="G100" s="34">
        <f>'cash flow data'!I6</f>
        <v>-359</v>
      </c>
      <c r="H100" s="34">
        <f>'cash flow data'!J6</f>
        <v>-508</v>
      </c>
      <c r="I100" s="34">
        <f>'cash flow data'!K6</f>
        <v>-1460</v>
      </c>
      <c r="J100" s="34">
        <f>'cash flow data'!L6</f>
        <v>-466</v>
      </c>
      <c r="K100" s="34">
        <f>'cash flow data'!M6</f>
        <v>-1098</v>
      </c>
      <c r="L100" s="34">
        <f>'cash flow data'!N6</f>
        <v>-2545</v>
      </c>
    </row>
    <row r="101" spans="2:12" x14ac:dyDescent="0.25">
      <c r="B101" t="s">
        <v>125</v>
      </c>
      <c r="C101" s="34">
        <f>'cash flow data'!E7</f>
        <v>-23</v>
      </c>
      <c r="D101" s="34">
        <f>'cash flow data'!F7</f>
        <v>622</v>
      </c>
      <c r="E101" s="34">
        <f>'cash flow data'!G7</f>
        <v>321</v>
      </c>
      <c r="F101" s="34">
        <f>'cash flow data'!H7</f>
        <v>2098</v>
      </c>
      <c r="G101" s="34">
        <f>'cash flow data'!I7</f>
        <v>639</v>
      </c>
      <c r="H101" s="34">
        <f>'cash flow data'!J7</f>
        <v>-607</v>
      </c>
      <c r="I101" s="34">
        <f>'cash flow data'!K7</f>
        <v>1112</v>
      </c>
      <c r="J101" s="34">
        <f>'cash flow data'!L7</f>
        <v>1099</v>
      </c>
      <c r="K101" s="34">
        <f>'cash flow data'!M7</f>
        <v>1058</v>
      </c>
      <c r="L101" s="34">
        <f>'cash flow data'!N7</f>
        <v>141</v>
      </c>
    </row>
    <row r="102" spans="2:12" x14ac:dyDescent="0.25">
      <c r="B102" t="s">
        <v>126</v>
      </c>
      <c r="C102" s="34">
        <f>'cash flow data'!E8</f>
        <v>0</v>
      </c>
      <c r="D102" s="34">
        <f>'cash flow data'!F8</f>
        <v>0</v>
      </c>
      <c r="E102" s="34">
        <f>'cash flow data'!G8</f>
        <v>0</v>
      </c>
      <c r="F102" s="34">
        <f>'cash flow data'!H8</f>
        <v>0</v>
      </c>
      <c r="G102" s="34">
        <f>'cash flow data'!I8</f>
        <v>0</v>
      </c>
      <c r="H102" s="34">
        <f>'cash flow data'!J8</f>
        <v>0</v>
      </c>
      <c r="I102" s="34">
        <f>'cash flow data'!K8</f>
        <v>0</v>
      </c>
      <c r="J102" s="34">
        <f>'cash flow data'!L8</f>
        <v>0</v>
      </c>
      <c r="K102" s="34">
        <f>'cash flow data'!M8</f>
        <v>0</v>
      </c>
      <c r="L102" s="34">
        <f>'cash flow data'!N8</f>
        <v>0</v>
      </c>
    </row>
    <row r="103" spans="2:12" x14ac:dyDescent="0.25">
      <c r="B103" t="s">
        <v>127</v>
      </c>
      <c r="C103" s="34">
        <f>'cash flow data'!E9</f>
        <v>31</v>
      </c>
      <c r="D103" s="34">
        <v>0</v>
      </c>
      <c r="E103" s="34">
        <v>0</v>
      </c>
      <c r="F103" s="34">
        <f>'cash flow data'!H8</f>
        <v>0</v>
      </c>
      <c r="G103" s="34">
        <f>'cash flow data'!I8</f>
        <v>0</v>
      </c>
      <c r="H103" s="34">
        <f>'cash flow data'!J8</f>
        <v>0</v>
      </c>
      <c r="I103" s="34">
        <f>'cash flow data'!K8</f>
        <v>0</v>
      </c>
      <c r="J103" s="34">
        <f>'cash flow data'!L8</f>
        <v>0</v>
      </c>
      <c r="K103" s="34">
        <f>'cash flow data'!M8</f>
        <v>0</v>
      </c>
      <c r="L103" s="34">
        <f>'cash flow data'!N8</f>
        <v>0</v>
      </c>
    </row>
    <row r="104" spans="2:12" x14ac:dyDescent="0.25">
      <c r="B104" t="s">
        <v>128</v>
      </c>
      <c r="C104" s="34">
        <v>0</v>
      </c>
      <c r="D104" s="34">
        <f>'cash flow data'!F9</f>
        <v>-277</v>
      </c>
      <c r="E104" s="34">
        <f>'cash flow data'!G9</f>
        <v>44</v>
      </c>
      <c r="F104" s="34">
        <f>'cash flow data'!H9</f>
        <v>1736</v>
      </c>
      <c r="G104" s="34">
        <f>'cash flow data'!I9</f>
        <v>-476</v>
      </c>
      <c r="H104" s="34">
        <f>'cash flow data'!J9</f>
        <v>296</v>
      </c>
      <c r="I104" s="34">
        <f>'cash flow data'!K9</f>
        <v>-413</v>
      </c>
      <c r="J104" s="34">
        <f>'cash flow data'!L9</f>
        <v>-100</v>
      </c>
      <c r="K104" s="34">
        <f>'cash flow data'!M9</f>
        <v>-924</v>
      </c>
      <c r="L104" s="34">
        <f>'cash flow data'!N9</f>
        <v>-3337</v>
      </c>
    </row>
    <row r="105" spans="2:12" ht="15.75" thickBot="1" x14ac:dyDescent="0.3">
      <c r="B105" t="s">
        <v>129</v>
      </c>
      <c r="C105" s="34">
        <f>'cash flow data'!E10</f>
        <v>-4449</v>
      </c>
      <c r="D105" s="34">
        <f>'cash flow data'!F10</f>
        <v>-5078</v>
      </c>
      <c r="E105" s="34">
        <f>'cash flow data'!G10</f>
        <v>-5492</v>
      </c>
      <c r="F105" s="34">
        <f>'cash flow data'!H10</f>
        <v>-6000</v>
      </c>
      <c r="G105" s="34">
        <f>'cash flow data'!I10</f>
        <v>-5803</v>
      </c>
      <c r="H105" s="34">
        <f>'cash flow data'!J10</f>
        <v>-5023</v>
      </c>
      <c r="I105" s="34">
        <f>'cash flow data'!K10</f>
        <v>-4387</v>
      </c>
      <c r="J105" s="34">
        <f>'cash flow data'!L10</f>
        <v>-4982</v>
      </c>
      <c r="K105" s="34">
        <f>'cash flow data'!M10</f>
        <v>-6250</v>
      </c>
      <c r="L105" s="34">
        <f>'cash flow data'!N10</f>
        <v>-6120</v>
      </c>
    </row>
    <row r="106" spans="2:12" ht="16.5" thickTop="1" thickBot="1" x14ac:dyDescent="0.3">
      <c r="B106" s="110" t="s">
        <v>152</v>
      </c>
      <c r="C106" s="111">
        <f>SUM(C98:C105)</f>
        <v>9873</v>
      </c>
      <c r="D106" s="111">
        <f t="shared" ref="D106:L106" si="33">SUM(D98:D105)</f>
        <v>9521</v>
      </c>
      <c r="E106" s="111">
        <f t="shared" si="33"/>
        <v>10671</v>
      </c>
      <c r="F106" s="111">
        <f t="shared" si="33"/>
        <v>14905</v>
      </c>
      <c r="G106" s="111">
        <f t="shared" si="33"/>
        <v>12108</v>
      </c>
      <c r="H106" s="111">
        <f t="shared" si="33"/>
        <v>14985</v>
      </c>
      <c r="I106" s="111">
        <f t="shared" si="33"/>
        <v>12112</v>
      </c>
      <c r="J106" s="111">
        <f t="shared" si="33"/>
        <v>15676</v>
      </c>
      <c r="K106" s="111">
        <f t="shared" si="33"/>
        <v>17954</v>
      </c>
      <c r="L106" s="111">
        <f t="shared" si="33"/>
        <v>13840</v>
      </c>
    </row>
    <row r="107" spans="2:12" ht="15.75" thickTop="1" x14ac:dyDescent="0.25"/>
    <row r="108" spans="2:12" x14ac:dyDescent="0.25">
      <c r="B108" s="2" t="s">
        <v>153</v>
      </c>
    </row>
    <row r="109" spans="2:12" x14ac:dyDescent="0.25">
      <c r="B109" t="s">
        <v>130</v>
      </c>
      <c r="C109" s="34">
        <f>IFERROR('cash flow data'!E12,0)</f>
        <v>-3300</v>
      </c>
      <c r="D109" s="34">
        <f>IFERROR('cash flow data'!F12,0)</f>
        <v>-2348</v>
      </c>
      <c r="E109" s="34">
        <f>IFERROR('cash flow data'!G12,0)</f>
        <v>-3122</v>
      </c>
      <c r="F109" s="34">
        <f>IFERROR('cash flow data'!H12,0)</f>
        <v>-2878</v>
      </c>
      <c r="G109" s="34">
        <f>IFERROR('cash flow data'!I12,0)</f>
        <v>-3169</v>
      </c>
      <c r="H109" s="34">
        <f>IFERROR('cash flow data'!J12,0)</f>
        <v>-2441</v>
      </c>
      <c r="I109" s="34">
        <f>IFERROR('cash flow data'!K12,0)</f>
        <v>-1837</v>
      </c>
      <c r="J109" s="34">
        <f>IFERROR('cash flow data'!L12,0)</f>
        <v>-2142</v>
      </c>
      <c r="K109" s="34">
        <f>IFERROR('cash flow data'!M12,0)</f>
        <v>-2743</v>
      </c>
      <c r="L109" s="34">
        <f>IFERROR('cash flow data'!N12,0)</f>
        <v>-3563</v>
      </c>
    </row>
    <row r="110" spans="2:12" x14ac:dyDescent="0.25">
      <c r="B110" t="s">
        <v>131</v>
      </c>
      <c r="C110" s="34">
        <f>IFERROR('cash flow data'!E13,0)</f>
        <v>9</v>
      </c>
      <c r="D110" s="34">
        <f>IFERROR('cash flow data'!F13,0)</f>
        <v>8</v>
      </c>
      <c r="E110" s="34">
        <f>IFERROR('cash flow data'!G13,0)</f>
        <v>50</v>
      </c>
      <c r="F110" s="34">
        <f>IFERROR('cash flow data'!H13,0)</f>
        <v>80</v>
      </c>
      <c r="G110" s="34">
        <f>IFERROR('cash flow data'!I13,0)</f>
        <v>28</v>
      </c>
      <c r="H110" s="34">
        <f>IFERROR('cash flow data'!J13,0)</f>
        <v>27</v>
      </c>
      <c r="I110" s="34">
        <f>IFERROR('cash flow data'!K13,0)</f>
        <v>3</v>
      </c>
      <c r="J110" s="34">
        <f>IFERROR('cash flow data'!L13,0)</f>
        <v>133</v>
      </c>
      <c r="K110" s="34">
        <f>IFERROR('cash flow data'!M13,0)</f>
        <v>49</v>
      </c>
      <c r="L110" s="34">
        <f>IFERROR('cash flow data'!N13,0)</f>
        <v>107</v>
      </c>
    </row>
    <row r="111" spans="2:12" x14ac:dyDescent="0.25">
      <c r="B111" t="s">
        <v>132</v>
      </c>
      <c r="C111" s="34">
        <f>IFERROR('cash flow data'!E14,0)</f>
        <v>-98742</v>
      </c>
      <c r="D111" s="34">
        <f>IFERROR('cash flow data'!F14,0)</f>
        <v>-154081</v>
      </c>
      <c r="E111" s="34">
        <f>IFERROR('cash flow data'!G14,0)</f>
        <v>-85683</v>
      </c>
      <c r="F111" s="34">
        <f>IFERROR('cash flow data'!H14,0)</f>
        <v>-98330</v>
      </c>
      <c r="G111" s="34">
        <f>IFERROR('cash flow data'!I14,0)</f>
        <v>-94187</v>
      </c>
      <c r="H111" s="34">
        <f>IFERROR('cash flow data'!J14,0)</f>
        <v>-79835</v>
      </c>
      <c r="I111" s="34">
        <f>IFERROR('cash flow data'!K14,0)</f>
        <v>-57553</v>
      </c>
      <c r="J111" s="34">
        <f>IFERROR('cash flow data'!L14,0)</f>
        <v>-69776</v>
      </c>
      <c r="K111" s="34">
        <f>IFERROR('cash flow data'!M14,0)</f>
        <v>-80932</v>
      </c>
      <c r="L111" s="34">
        <f>IFERROR('cash flow data'!N14,0)</f>
        <v>-75107</v>
      </c>
    </row>
    <row r="112" spans="2:12" x14ac:dyDescent="0.25">
      <c r="B112" t="s">
        <v>133</v>
      </c>
      <c r="C112" s="34">
        <f>IFERROR('cash flow data'!E15,0)</f>
        <v>99658</v>
      </c>
      <c r="D112" s="34">
        <f>IFERROR('cash flow data'!F15,0)</f>
        <v>150651</v>
      </c>
      <c r="E112" s="34">
        <f>IFERROR('cash flow data'!G15,0)</f>
        <v>81034</v>
      </c>
      <c r="F112" s="34">
        <f>IFERROR('cash flow data'!H15,0)</f>
        <v>95017</v>
      </c>
      <c r="G112" s="34">
        <f>IFERROR('cash flow data'!I15,0)</f>
        <v>92454</v>
      </c>
      <c r="H112" s="34">
        <f>IFERROR('cash flow data'!J15,0)</f>
        <v>75835</v>
      </c>
      <c r="I112" s="34">
        <f>IFERROR('cash flow data'!K15,0)</f>
        <v>62797</v>
      </c>
      <c r="J112" s="34">
        <f>IFERROR('cash flow data'!L15,0)</f>
        <v>70992</v>
      </c>
      <c r="K112" s="34">
        <f>IFERROR('cash flow data'!M15,0)</f>
        <v>77230</v>
      </c>
      <c r="L112" s="34">
        <f>IFERROR('cash flow data'!N15,0)</f>
        <v>77830</v>
      </c>
    </row>
    <row r="113" spans="2:12" x14ac:dyDescent="0.25">
      <c r="B113" t="s">
        <v>134</v>
      </c>
      <c r="C113" s="34">
        <f>IFERROR('cash flow data'!E16,0)</f>
        <v>559</v>
      </c>
      <c r="D113" s="34">
        <f>IFERROR('cash flow data'!F16,0)</f>
        <v>741</v>
      </c>
      <c r="E113" s="34">
        <f>IFERROR('cash flow data'!G16,0)</f>
        <v>756</v>
      </c>
      <c r="F113" s="34">
        <f>IFERROR('cash flow data'!H16,0)</f>
        <v>736</v>
      </c>
      <c r="G113" s="34">
        <f>IFERROR('cash flow data'!I16,0)</f>
        <v>1184</v>
      </c>
      <c r="H113" s="34">
        <f>IFERROR('cash flow data'!J16,0)</f>
        <v>1513</v>
      </c>
      <c r="I113" s="34">
        <f>IFERROR('cash flow data'!K16,0)</f>
        <v>1275</v>
      </c>
      <c r="J113" s="34">
        <f>IFERROR('cash flow data'!L16,0)</f>
        <v>1035</v>
      </c>
      <c r="K113" s="34">
        <f>IFERROR('cash flow data'!M16,0)</f>
        <v>1324</v>
      </c>
      <c r="L113" s="34">
        <f>IFERROR('cash flow data'!N16,0)</f>
        <v>1138</v>
      </c>
    </row>
    <row r="114" spans="2:12" x14ac:dyDescent="0.25">
      <c r="B114" t="s">
        <v>135</v>
      </c>
      <c r="C114" s="34">
        <f>IFERROR('cash flow data'!E17,0)</f>
        <v>268</v>
      </c>
      <c r="D114" s="34">
        <f>IFERROR('cash flow data'!F17,0)</f>
        <v>64</v>
      </c>
      <c r="E114" s="34">
        <f>IFERROR('cash flow data'!G17,0)</f>
        <v>4</v>
      </c>
      <c r="F114" s="34">
        <f>IFERROR('cash flow data'!H17,0)</f>
        <v>13</v>
      </c>
      <c r="G114" s="34">
        <f>IFERROR('cash flow data'!I17,0)</f>
        <v>13</v>
      </c>
      <c r="H114" s="34">
        <f>IFERROR('cash flow data'!J17,0)</f>
        <v>17</v>
      </c>
      <c r="I114" s="34">
        <f>IFERROR('cash flow data'!K17,0)</f>
        <v>7</v>
      </c>
      <c r="J114" s="34">
        <f>IFERROR('cash flow data'!L17,0)</f>
        <v>16</v>
      </c>
      <c r="K114" s="34">
        <f>IFERROR('cash flow data'!M17,0)</f>
        <v>19</v>
      </c>
      <c r="L114" s="34">
        <f>IFERROR('cash flow data'!N17,0)</f>
        <v>36</v>
      </c>
    </row>
    <row r="115" spans="2:12" x14ac:dyDescent="0.25">
      <c r="B115" t="s">
        <v>136</v>
      </c>
      <c r="C115" s="34">
        <f>IFERROR('cash flow data'!E19,0)</f>
        <v>0</v>
      </c>
      <c r="D115" s="34">
        <f>IFERROR('cash flow data'!F19,0)</f>
        <v>0</v>
      </c>
      <c r="E115" s="34">
        <f>IFERROR('cash flow data'!G19,0)</f>
        <v>0</v>
      </c>
      <c r="F115" s="34">
        <f>IFERROR('cash flow data'!H19,0)</f>
        <v>0</v>
      </c>
      <c r="G115" s="34">
        <f>IFERROR('cash flow data'!I19,0)</f>
        <v>0</v>
      </c>
      <c r="H115" s="34">
        <f>IFERROR('cash flow data'!J19,0)</f>
        <v>0</v>
      </c>
      <c r="I115" s="34">
        <f>IFERROR('cash flow data'!K19,0)</f>
        <v>-2</v>
      </c>
      <c r="J115" s="34">
        <f>IFERROR('cash flow data'!L19,0)</f>
        <v>-2</v>
      </c>
      <c r="K115" s="34">
        <f>IFERROR('cash flow data'!M19,0)</f>
        <v>-2</v>
      </c>
      <c r="L115" s="34">
        <f>IFERROR('cash flow data'!N19,0)</f>
        <v>-65</v>
      </c>
    </row>
    <row r="116" spans="2:12" x14ac:dyDescent="0.25">
      <c r="B116" t="s">
        <v>137</v>
      </c>
      <c r="C116" s="34">
        <f>IFERROR('cash flow data'!E20,0)</f>
        <v>0</v>
      </c>
      <c r="D116" s="34">
        <f>IFERROR('cash flow data'!F20,0)</f>
        <v>0</v>
      </c>
      <c r="E116" s="34">
        <f>IFERROR('cash flow data'!G20,0)</f>
        <v>129</v>
      </c>
      <c r="F116" s="34">
        <f>IFERROR('cash flow data'!H20,0)</f>
        <v>18</v>
      </c>
      <c r="G116" s="34">
        <f>IFERROR('cash flow data'!I20,0)</f>
        <v>18</v>
      </c>
      <c r="H116" s="34">
        <f>IFERROR('cash flow data'!J20,0)</f>
        <v>0</v>
      </c>
      <c r="I116" s="34">
        <f>IFERROR('cash flow data'!K20,0)</f>
        <v>0</v>
      </c>
      <c r="J116" s="34">
        <f>IFERROR('cash flow data'!L20,0)</f>
        <v>0</v>
      </c>
      <c r="K116" s="34">
        <f>IFERROR('cash flow data'!M20,0)</f>
        <v>56</v>
      </c>
      <c r="L116" s="34">
        <f>IFERROR('cash flow data'!N20,0)</f>
        <v>0</v>
      </c>
    </row>
    <row r="117" spans="2:12" x14ac:dyDescent="0.25">
      <c r="B117" t="str">
        <f>'cash flow data'!B18</f>
        <v>Invest in subsidiaries</v>
      </c>
      <c r="C117" s="34">
        <f>IFERROR('cash flow data'!E18,0)</f>
        <v>0</v>
      </c>
      <c r="D117" s="34">
        <f>IFERROR('cash flow data'!F18,0)</f>
        <v>-8</v>
      </c>
      <c r="E117" s="34">
        <f>IFERROR('cash flow data'!G18,0)</f>
        <v>0</v>
      </c>
      <c r="F117" s="34">
        <f>IFERROR('cash flow data'!H18,0)</f>
        <v>0</v>
      </c>
      <c r="G117" s="34">
        <f>IFERROR('cash flow data'!I18,0)</f>
        <v>0</v>
      </c>
      <c r="H117" s="34">
        <f>IFERROR('cash flow data'!J18,0)</f>
        <v>0</v>
      </c>
      <c r="I117" s="34">
        <f>IFERROR('cash flow data'!K18,0)</f>
        <v>0</v>
      </c>
      <c r="J117" s="34">
        <f>IFERROR('cash flow data'!L18,0)</f>
        <v>0</v>
      </c>
      <c r="K117" s="34">
        <f>IFERROR('cash flow data'!M18,0)</f>
        <v>0</v>
      </c>
      <c r="L117" s="34">
        <f>IFERROR('cash flow data'!N18,0)</f>
        <v>0</v>
      </c>
    </row>
    <row r="118" spans="2:12" x14ac:dyDescent="0.25">
      <c r="B118" t="s">
        <v>138</v>
      </c>
      <c r="C118" s="34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</row>
    <row r="119" spans="2:12" x14ac:dyDescent="0.25">
      <c r="B119" t="s">
        <v>139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</row>
    <row r="120" spans="2:12" ht="15.75" thickBot="1" x14ac:dyDescent="0.3">
      <c r="B120" t="s">
        <v>140</v>
      </c>
      <c r="C120" s="34">
        <f>IFERROR('cash flow data'!E21,0)</f>
        <v>-3728</v>
      </c>
      <c r="D120" s="34">
        <f>IFERROR('cash flow data'!F21,0)</f>
        <v>1052</v>
      </c>
      <c r="E120" s="34">
        <f>IFERROR('cash flow data'!G21,0)</f>
        <v>3579</v>
      </c>
      <c r="F120" s="34">
        <f>IFERROR('cash flow data'!H21,0)</f>
        <v>-1769</v>
      </c>
      <c r="G120" s="34">
        <f>IFERROR('cash flow data'!I21,0)</f>
        <v>-1887</v>
      </c>
      <c r="H120" s="34">
        <f>IFERROR('cash flow data'!J21,0)</f>
        <v>-1290</v>
      </c>
      <c r="I120" s="34">
        <f>IFERROR('cash flow data'!K21,0)</f>
        <v>1051</v>
      </c>
      <c r="J120" s="34">
        <f>IFERROR('cash flow data'!L21,0)</f>
        <v>-2494</v>
      </c>
      <c r="K120" s="34">
        <f>IFERROR('cash flow data'!M21,0)</f>
        <v>-733</v>
      </c>
      <c r="L120" s="34">
        <f>IFERROR('cash flow data'!N21,0)</f>
        <v>1187</v>
      </c>
    </row>
    <row r="121" spans="2:12" ht="16.5" thickTop="1" thickBot="1" x14ac:dyDescent="0.3">
      <c r="B121" s="110" t="s">
        <v>154</v>
      </c>
      <c r="C121" s="111">
        <f t="shared" ref="C121:L121" si="34">SUM(C109:C120)</f>
        <v>-5276</v>
      </c>
      <c r="D121" s="111">
        <f t="shared" si="34"/>
        <v>-3921</v>
      </c>
      <c r="E121" s="111">
        <f t="shared" si="34"/>
        <v>-3253</v>
      </c>
      <c r="F121" s="111">
        <f t="shared" si="34"/>
        <v>-7113</v>
      </c>
      <c r="G121" s="111">
        <f t="shared" si="34"/>
        <v>-5546</v>
      </c>
      <c r="H121" s="111">
        <f t="shared" si="34"/>
        <v>-6174</v>
      </c>
      <c r="I121" s="111">
        <f t="shared" si="34"/>
        <v>5741</v>
      </c>
      <c r="J121" s="111">
        <f t="shared" si="34"/>
        <v>-2238</v>
      </c>
      <c r="K121" s="111">
        <f t="shared" si="34"/>
        <v>-5732</v>
      </c>
      <c r="L121" s="111">
        <f t="shared" si="34"/>
        <v>1563</v>
      </c>
    </row>
    <row r="122" spans="2:12" ht="15.75" thickTop="1" x14ac:dyDescent="0.25"/>
    <row r="123" spans="2:12" x14ac:dyDescent="0.25">
      <c r="B123" s="2" t="s">
        <v>155</v>
      </c>
    </row>
    <row r="124" spans="2:12" x14ac:dyDescent="0.25">
      <c r="B124" t="s">
        <v>141</v>
      </c>
      <c r="C124" s="34">
        <f>IFERROR('cash flow data'!E23,0)</f>
        <v>979</v>
      </c>
      <c r="D124" s="34">
        <f>IFERROR('cash flow data'!F23,0)</f>
        <v>532</v>
      </c>
      <c r="E124" s="34">
        <f>IFERROR('cash flow data'!G23,0)</f>
        <v>1067</v>
      </c>
      <c r="F124" s="34">
        <f>IFERROR('cash flow data'!H23,0)</f>
        <v>913</v>
      </c>
      <c r="G124" s="34">
        <f>IFERROR('cash flow data'!I23,0)</f>
        <v>969</v>
      </c>
      <c r="H124" s="34">
        <f>IFERROR('cash flow data'!J23,0)</f>
        <v>625</v>
      </c>
      <c r="I124" s="34">
        <f>IFERROR('cash flow data'!K23,0)</f>
        <v>291</v>
      </c>
      <c r="J124" s="34">
        <f>IFERROR('cash flow data'!L23,0)</f>
        <v>292</v>
      </c>
      <c r="K124" s="34">
        <f>IFERROR('cash flow data'!M23,0)</f>
        <v>2477</v>
      </c>
      <c r="L124" s="34">
        <f>IFERROR('cash flow data'!N23,0)</f>
        <v>1443</v>
      </c>
    </row>
    <row r="125" spans="2:12" x14ac:dyDescent="0.25">
      <c r="B125" t="s">
        <v>142</v>
      </c>
      <c r="C125" s="34">
        <f>IFERROR('cash flow data'!E24,0)</f>
        <v>7</v>
      </c>
      <c r="D125" s="34">
        <f>IFERROR('cash flow data'!F24,0)</f>
        <v>0</v>
      </c>
      <c r="E125" s="34">
        <f>IFERROR('cash flow data'!G24,0)</f>
        <v>0</v>
      </c>
      <c r="F125" s="34">
        <f>IFERROR('cash flow data'!H24,0)</f>
        <v>11</v>
      </c>
      <c r="G125" s="34">
        <f>IFERROR('cash flow data'!I24,0)</f>
        <v>0</v>
      </c>
      <c r="H125" s="34">
        <f>IFERROR('cash flow data'!J24,0)</f>
        <v>0</v>
      </c>
      <c r="I125" s="34">
        <f>IFERROR('cash flow data'!K24,0)</f>
        <v>0</v>
      </c>
      <c r="J125" s="34">
        <f>IFERROR('cash flow data'!L24,0)</f>
        <v>0</v>
      </c>
      <c r="K125" s="34">
        <f>IFERROR('cash flow data'!M24,0)</f>
        <v>0</v>
      </c>
      <c r="L125" s="34">
        <f>IFERROR('cash flow data'!N24,0)</f>
        <v>8</v>
      </c>
    </row>
    <row r="126" spans="2:12" x14ac:dyDescent="0.25">
      <c r="B126" t="s">
        <v>143</v>
      </c>
      <c r="C126" s="34">
        <f>IFERROR('cash flow data'!E25,0)</f>
        <v>-20</v>
      </c>
      <c r="D126" s="34">
        <f>IFERROR('cash flow data'!F25,0)</f>
        <v>-13</v>
      </c>
      <c r="E126" s="34">
        <f>IFERROR('cash flow data'!G25,0)</f>
        <v>-13</v>
      </c>
      <c r="F126" s="34">
        <f>IFERROR('cash flow data'!H25,0)</f>
        <v>-8</v>
      </c>
      <c r="G126" s="34">
        <f>IFERROR('cash flow data'!I25,0)</f>
        <v>-18</v>
      </c>
      <c r="H126" s="34">
        <f>IFERROR('cash flow data'!J25,0)</f>
        <v>-3</v>
      </c>
      <c r="I126" s="34">
        <f>IFERROR('cash flow data'!K25,0)</f>
        <v>-2</v>
      </c>
      <c r="J126" s="34">
        <f>IFERROR('cash flow data'!L25,0)</f>
        <v>-1</v>
      </c>
      <c r="K126" s="34">
        <f>IFERROR('cash flow data'!M25,0)</f>
        <v>-1</v>
      </c>
      <c r="L126" s="34">
        <f>IFERROR('cash flow data'!N25,0)</f>
        <v>-2</v>
      </c>
    </row>
    <row r="127" spans="2:12" x14ac:dyDescent="0.25">
      <c r="B127" t="s">
        <v>144</v>
      </c>
      <c r="C127" s="34">
        <f>IFERROR('cash flow data'!E26,0)</f>
        <v>-16</v>
      </c>
      <c r="D127" s="34">
        <f>IFERROR('cash flow data'!F26,0)</f>
        <v>-28</v>
      </c>
      <c r="E127" s="34">
        <f>IFERROR('cash flow data'!G26,0)</f>
        <v>-25</v>
      </c>
      <c r="F127" s="34">
        <f>IFERROR('cash flow data'!H26,0)</f>
        <v>-49</v>
      </c>
      <c r="G127" s="34">
        <f>IFERROR('cash flow data'!I26,0)</f>
        <v>-98</v>
      </c>
      <c r="H127" s="34">
        <f>IFERROR('cash flow data'!J26,0)</f>
        <v>-44</v>
      </c>
      <c r="I127" s="34">
        <f>IFERROR('cash flow data'!K26,0)</f>
        <v>-41</v>
      </c>
      <c r="J127" s="34">
        <f>IFERROR('cash flow data'!L26,0)</f>
        <v>-40</v>
      </c>
      <c r="K127" s="34">
        <f>IFERROR('cash flow data'!M26,0)</f>
        <v>-41</v>
      </c>
      <c r="L127" s="34">
        <f>IFERROR('cash flow data'!N26,0)</f>
        <v>-46</v>
      </c>
    </row>
    <row r="128" spans="2:12" x14ac:dyDescent="0.25">
      <c r="B128" t="s">
        <v>145</v>
      </c>
      <c r="C128" s="34">
        <f>IFERROR('cash flow data'!E27,0)</f>
        <v>-4876</v>
      </c>
      <c r="D128" s="34">
        <f>IFERROR('cash flow data'!F27,0)</f>
        <v>-5133</v>
      </c>
      <c r="E128" s="34">
        <f>IFERROR('cash flow data'!G27,0)</f>
        <v>-6994</v>
      </c>
      <c r="F128" s="34">
        <f>IFERROR('cash flow data'!H27,0)</f>
        <v>-5952</v>
      </c>
      <c r="G128" s="34">
        <f>IFERROR('cash flow data'!I27,0)</f>
        <v>-6519</v>
      </c>
      <c r="H128" s="34">
        <f>IFERROR('cash flow data'!J27,0)</f>
        <v>-7302</v>
      </c>
      <c r="I128" s="34">
        <f>IFERROR('cash flow data'!K27,0)</f>
        <v>-18881</v>
      </c>
      <c r="J128" s="34">
        <f>IFERROR('cash flow data'!L27,0)</f>
        <v>-13788</v>
      </c>
      <c r="K128" s="34">
        <f>IFERROR('cash flow data'!M27,0)</f>
        <v>-15418</v>
      </c>
      <c r="L128" s="34">
        <f>IFERROR('cash flow data'!N27,0)</f>
        <v>-19899</v>
      </c>
    </row>
    <row r="129" spans="1:12" x14ac:dyDescent="0.25">
      <c r="B129" t="s">
        <v>146</v>
      </c>
      <c r="C129" s="34">
        <f>IFERROR('cash flow data'!E28,0)</f>
        <v>0</v>
      </c>
      <c r="D129" s="34">
        <f>IFERROR('cash flow data'!F28,0)</f>
        <v>0</v>
      </c>
      <c r="E129" s="34">
        <f>IFERROR('cash flow data'!G28,0)</f>
        <v>0</v>
      </c>
      <c r="F129" s="34">
        <f>IFERROR('cash flow data'!H28,0)</f>
        <v>0</v>
      </c>
      <c r="G129" s="34">
        <f>IFERROR('cash flow data'!I28,0)</f>
        <v>0</v>
      </c>
      <c r="H129" s="34">
        <f>IFERROR('cash flow data'!J28,0)</f>
        <v>-49</v>
      </c>
      <c r="I129" s="34">
        <f>IFERROR('cash flow data'!K28,0)</f>
        <v>-55</v>
      </c>
      <c r="J129" s="34">
        <f>IFERROR('cash flow data'!L28,0)</f>
        <v>-59</v>
      </c>
      <c r="K129" s="34">
        <f>IFERROR('cash flow data'!M28,0)</f>
        <v>-59</v>
      </c>
      <c r="L129" s="34">
        <f>IFERROR('cash flow data'!N28,0)</f>
        <v>-67</v>
      </c>
    </row>
    <row r="130" spans="1:12" x14ac:dyDescent="0.25">
      <c r="B130" t="s">
        <v>147</v>
      </c>
      <c r="C130" s="34">
        <f>IFERROR('cash flow data'!E29,0)</f>
        <v>-734</v>
      </c>
      <c r="D130" s="34">
        <f>IFERROR('cash flow data'!F29,0)</f>
        <v>-971</v>
      </c>
      <c r="E130" s="34">
        <f>IFERROR('cash flow data'!G29,0)</f>
        <v>-1335</v>
      </c>
      <c r="F130" s="34">
        <f>IFERROR('cash flow data'!H29,0)</f>
        <v>-1136</v>
      </c>
      <c r="G130" s="34">
        <f>IFERROR('cash flow data'!I29,0)</f>
        <v>-1203</v>
      </c>
      <c r="H130" s="34">
        <f>IFERROR('cash flow data'!J29,0)</f>
        <v>-1409</v>
      </c>
      <c r="I130" s="34">
        <f>IFERROR('cash flow data'!K29,0)</f>
        <v>55</v>
      </c>
      <c r="J130" s="34">
        <f>IFERROR('cash flow data'!L29,0)</f>
        <v>15</v>
      </c>
      <c r="K130" s="34">
        <f>IFERROR('cash flow data'!M29,0)</f>
        <v>35</v>
      </c>
      <c r="L130" s="34">
        <f>IFERROR('cash flow data'!N29,0)</f>
        <v>12</v>
      </c>
    </row>
    <row r="131" spans="1:12" ht="15.75" thickBot="1" x14ac:dyDescent="0.3">
      <c r="B131" t="s">
        <v>35</v>
      </c>
      <c r="C131" s="34">
        <f>IFERROR('cash flow data'!E30,0)</f>
        <v>-93</v>
      </c>
      <c r="D131" s="34">
        <f>IFERROR('cash flow data'!F30,0)</f>
        <v>266</v>
      </c>
      <c r="E131" s="34">
        <f>IFERROR('cash flow data'!G30,0)</f>
        <v>75</v>
      </c>
      <c r="F131" s="34">
        <f>IFERROR('cash flow data'!H30,0)</f>
        <v>-166</v>
      </c>
      <c r="G131" s="34">
        <f>IFERROR('cash flow data'!I30,0)</f>
        <v>169</v>
      </c>
      <c r="H131" s="34">
        <f>IFERROR('cash flow data'!J30,0)</f>
        <v>334</v>
      </c>
      <c r="I131" s="34">
        <f>IFERROR('cash flow data'!K30,0)</f>
        <v>-367</v>
      </c>
      <c r="J131" s="34">
        <f>IFERROR('cash flow data'!L30,0)</f>
        <v>-43</v>
      </c>
      <c r="K131" s="34">
        <f>IFERROR('cash flow data'!M30,0)</f>
        <v>139</v>
      </c>
      <c r="L131" s="34">
        <f>IFERROR('cash flow data'!N30,0)</f>
        <v>191</v>
      </c>
    </row>
    <row r="132" spans="1:12" ht="16.5" thickTop="1" thickBot="1" x14ac:dyDescent="0.3">
      <c r="B132" s="112" t="s">
        <v>156</v>
      </c>
      <c r="C132" s="113">
        <f t="shared" ref="C132:L132" si="35">SUM(C124:C131)</f>
        <v>-4753</v>
      </c>
      <c r="D132" s="113">
        <f t="shared" si="35"/>
        <v>-5347</v>
      </c>
      <c r="E132" s="113">
        <f t="shared" si="35"/>
        <v>-7225</v>
      </c>
      <c r="F132" s="113">
        <f t="shared" si="35"/>
        <v>-6387</v>
      </c>
      <c r="G132" s="113">
        <f t="shared" si="35"/>
        <v>-6700</v>
      </c>
      <c r="H132" s="113">
        <f t="shared" si="35"/>
        <v>-7848</v>
      </c>
      <c r="I132" s="113">
        <f t="shared" si="35"/>
        <v>-19000</v>
      </c>
      <c r="J132" s="113">
        <f t="shared" si="35"/>
        <v>-13624</v>
      </c>
      <c r="K132" s="113">
        <f t="shared" si="35"/>
        <v>-12868</v>
      </c>
      <c r="L132" s="113">
        <f t="shared" si="35"/>
        <v>-18360</v>
      </c>
    </row>
    <row r="133" spans="1:12" ht="16.5" thickTop="1" thickBot="1" x14ac:dyDescent="0.3"/>
    <row r="134" spans="1:12" ht="16.5" thickTop="1" thickBot="1" x14ac:dyDescent="0.3">
      <c r="B134" s="110" t="s">
        <v>35</v>
      </c>
      <c r="C134" s="111">
        <f t="shared" ref="C134:L134" si="36">IFERROR(SUM(C106,C121,C132),0)</f>
        <v>-156</v>
      </c>
      <c r="D134" s="111">
        <f t="shared" si="36"/>
        <v>253</v>
      </c>
      <c r="E134" s="111">
        <f t="shared" si="36"/>
        <v>193</v>
      </c>
      <c r="F134" s="111">
        <f t="shared" si="36"/>
        <v>1405</v>
      </c>
      <c r="G134" s="111">
        <f t="shared" si="36"/>
        <v>-138</v>
      </c>
      <c r="H134" s="111">
        <f t="shared" si="36"/>
        <v>963</v>
      </c>
      <c r="I134" s="111">
        <f t="shared" si="36"/>
        <v>-1147</v>
      </c>
      <c r="J134" s="111">
        <f t="shared" si="36"/>
        <v>-186</v>
      </c>
      <c r="K134" s="111">
        <f t="shared" si="36"/>
        <v>-646</v>
      </c>
      <c r="L134" s="111">
        <f t="shared" si="36"/>
        <v>-2957</v>
      </c>
    </row>
    <row r="135" spans="1:12" ht="15.75" thickTop="1" x14ac:dyDescent="0.25">
      <c r="B135" s="2"/>
      <c r="C135" s="49"/>
      <c r="D135" s="49"/>
      <c r="E135" s="49"/>
      <c r="F135" s="49"/>
      <c r="G135" s="49"/>
      <c r="H135" s="49"/>
      <c r="I135" s="49"/>
      <c r="J135" s="49"/>
      <c r="K135" s="49"/>
      <c r="L135" s="49"/>
    </row>
    <row r="136" spans="1:12" x14ac:dyDescent="0.25">
      <c r="B136" s="104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</row>
    <row r="137" spans="1:12" s="38" customFormat="1" x14ac:dyDescent="0.25">
      <c r="B137" s="43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</row>
    <row r="138" spans="1:12" x14ac:dyDescent="0.25">
      <c r="B138" s="2"/>
      <c r="C138" s="49"/>
      <c r="D138" s="49"/>
      <c r="E138" s="49"/>
      <c r="F138" s="49"/>
      <c r="G138" s="49"/>
      <c r="H138" s="49"/>
      <c r="I138" s="49"/>
      <c r="J138" s="49"/>
      <c r="K138" s="49"/>
      <c r="L138" s="49"/>
    </row>
    <row r="139" spans="1:12" x14ac:dyDescent="0.25">
      <c r="A139" s="50" t="s">
        <v>158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</row>
    <row r="140" spans="1:12" x14ac:dyDescent="0.25">
      <c r="B140" s="6" t="s">
        <v>32</v>
      </c>
      <c r="C140" s="34">
        <f>IFERROR('Data Sheet'!B82,0)</f>
        <v>9843.2000000000007</v>
      </c>
      <c r="D140" s="34">
        <f>IFERROR('Data Sheet'!C82,0)</f>
        <v>9799.0400000000009</v>
      </c>
      <c r="E140" s="34">
        <f>IFERROR('Data Sheet'!D82,0)</f>
        <v>10627.31</v>
      </c>
      <c r="F140" s="34">
        <f>IFERROR('Data Sheet'!E82,0)</f>
        <v>13169.4</v>
      </c>
      <c r="G140" s="34">
        <f>IFERROR('Data Sheet'!F82,0)</f>
        <v>12583.41</v>
      </c>
      <c r="H140" s="34">
        <f>IFERROR('Data Sheet'!G82,0)</f>
        <v>14689.66</v>
      </c>
      <c r="I140" s="34">
        <f>IFERROR('Data Sheet'!H82,0)</f>
        <v>12526.97</v>
      </c>
      <c r="J140" s="34">
        <f>IFERROR('Data Sheet'!I82,0)</f>
        <v>15775.51</v>
      </c>
      <c r="K140" s="34">
        <f>IFERROR('Data Sheet'!J82,0)</f>
        <v>18877.55</v>
      </c>
      <c r="L140" s="34">
        <f>IFERROR('Data Sheet'!K82,0)</f>
        <v>17178.86</v>
      </c>
    </row>
    <row r="141" spans="1:12" x14ac:dyDescent="0.25">
      <c r="B141" s="6"/>
    </row>
    <row r="142" spans="1:12" x14ac:dyDescent="0.25">
      <c r="B142" s="6" t="s">
        <v>33</v>
      </c>
      <c r="C142" s="34">
        <f>IFERROR('Data Sheet'!B83,0)</f>
        <v>-5275.43</v>
      </c>
      <c r="D142" s="34">
        <f>IFERROR('Data Sheet'!C83,0)</f>
        <v>-3920.73</v>
      </c>
      <c r="E142" s="34">
        <f>IFERROR('Data Sheet'!D83,0)</f>
        <v>-3250.93</v>
      </c>
      <c r="F142" s="34">
        <f>IFERROR('Data Sheet'!E83,0)</f>
        <v>-7113.89</v>
      </c>
      <c r="G142" s="34">
        <f>IFERROR('Data Sheet'!F83,0)</f>
        <v>-5545.68</v>
      </c>
      <c r="H142" s="34">
        <f>IFERROR('Data Sheet'!G83,0)</f>
        <v>-6174.02</v>
      </c>
      <c r="I142" s="34">
        <f>IFERROR('Data Sheet'!H83,0)</f>
        <v>5739.98</v>
      </c>
      <c r="J142" s="34">
        <f>IFERROR('Data Sheet'!I83,0)</f>
        <v>-2238.4899999999998</v>
      </c>
      <c r="K142" s="34">
        <f>IFERROR('Data Sheet'!J83,0)</f>
        <v>-5732.29</v>
      </c>
      <c r="L142" s="34">
        <f>IFERROR('Data Sheet'!K83,0)</f>
        <v>1562.77</v>
      </c>
    </row>
    <row r="143" spans="1:12" x14ac:dyDescent="0.25">
      <c r="B143" s="6"/>
    </row>
    <row r="144" spans="1:12" x14ac:dyDescent="0.25">
      <c r="B144" s="6" t="s">
        <v>34</v>
      </c>
      <c r="C144" s="34">
        <f>IFERROR('Data Sheet'!B84,0)</f>
        <v>-4661.03</v>
      </c>
      <c r="D144" s="34">
        <f>IFERROR('Data Sheet'!C84,0)</f>
        <v>-5612.52</v>
      </c>
      <c r="E144" s="34">
        <f>IFERROR('Data Sheet'!D84,0)</f>
        <v>-7301.03</v>
      </c>
      <c r="F144" s="34">
        <f>IFERROR('Data Sheet'!E84,0)</f>
        <v>-6221.13</v>
      </c>
      <c r="G144" s="34">
        <f>IFERROR('Data Sheet'!F84,0)</f>
        <v>-6868.64</v>
      </c>
      <c r="H144" s="34">
        <f>IFERROR('Data Sheet'!G84,0)</f>
        <v>-8181.48</v>
      </c>
      <c r="I144" s="34">
        <f>IFERROR('Data Sheet'!H84,0)</f>
        <v>-18633.830000000002</v>
      </c>
      <c r="J144" s="34">
        <f>IFERROR('Data Sheet'!I84,0)</f>
        <v>-13580.5</v>
      </c>
      <c r="K144" s="34">
        <f>IFERROR('Data Sheet'!J84,0)</f>
        <v>-13006.03</v>
      </c>
      <c r="L144" s="34">
        <f>IFERROR('Data Sheet'!K84,0)</f>
        <v>-18550.96</v>
      </c>
    </row>
    <row r="146" spans="2:12" x14ac:dyDescent="0.25">
      <c r="B146" s="53" t="s">
        <v>157</v>
      </c>
      <c r="C146" s="55">
        <f>IFERROR(SUM(C140,C142,C144),0)</f>
        <v>-93.259999999999309</v>
      </c>
      <c r="D146" s="55">
        <f t="shared" ref="D146:L146" si="37">IFERROR(SUM(D140,D142,D144),0)</f>
        <v>265.79000000000087</v>
      </c>
      <c r="E146" s="55">
        <f t="shared" si="37"/>
        <v>75.349999999999454</v>
      </c>
      <c r="F146" s="55">
        <f t="shared" si="37"/>
        <v>-165.6200000000008</v>
      </c>
      <c r="G146" s="55">
        <f t="shared" si="37"/>
        <v>169.08999999999924</v>
      </c>
      <c r="H146" s="55">
        <f t="shared" si="37"/>
        <v>334.15999999999985</v>
      </c>
      <c r="I146" s="55">
        <f t="shared" si="37"/>
        <v>-366.88000000000466</v>
      </c>
      <c r="J146" s="55">
        <f t="shared" si="37"/>
        <v>-43.479999999999563</v>
      </c>
      <c r="K146" s="55">
        <f t="shared" si="37"/>
        <v>139.22999999999774</v>
      </c>
      <c r="L146" s="55">
        <f t="shared" si="37"/>
        <v>190.67000000000189</v>
      </c>
    </row>
  </sheetData>
  <mergeCells count="1">
    <mergeCell ref="B10:L10"/>
  </mergeCells>
  <pageMargins left="0.7" right="0.7" top="0.75" bottom="0.75" header="0.3" footer="0.3"/>
  <pageSetup paperSize="9" scale="3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1B4-7BB6-494F-A12C-E9DB3EB0CAA4}">
  <sheetPr>
    <tabColor theme="2" tint="-0.749992370372631"/>
    <pageSetUpPr fitToPage="1"/>
  </sheetPr>
  <dimension ref="B2:M47"/>
  <sheetViews>
    <sheetView showGridLines="0" zoomScale="78" workbookViewId="0">
      <selection sqref="A1:L7"/>
    </sheetView>
  </sheetViews>
  <sheetFormatPr defaultRowHeight="15" x14ac:dyDescent="0.25"/>
  <cols>
    <col min="1" max="1" width="1.85546875" customWidth="1"/>
    <col min="2" max="2" width="23.7109375" bestFit="1" customWidth="1"/>
    <col min="3" max="3" width="13.28515625" bestFit="1" customWidth="1"/>
    <col min="4" max="12" width="11.140625" bestFit="1" customWidth="1"/>
  </cols>
  <sheetData>
    <row r="2" spans="2:13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2:13" ht="33.75" x14ac:dyDescent="0.25">
      <c r="B3" s="114" t="s">
        <v>63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x14ac:dyDescent="0.25">
      <c r="B4" s="20" t="s">
        <v>200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8.75" x14ac:dyDescent="0.3">
      <c r="B5" s="108" t="s">
        <v>201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 x14ac:dyDescent="0.25">
      <c r="B6" s="20" t="s">
        <v>202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2:13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2:13" x14ac:dyDescent="0.25">
      <c r="B8" s="121" t="s">
        <v>205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38"/>
    </row>
    <row r="9" spans="2:13" s="38" customFormat="1" x14ac:dyDescent="0.25"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0" spans="2:13" x14ac:dyDescent="0.25">
      <c r="B10" s="82" t="s">
        <v>197</v>
      </c>
      <c r="C10" s="83">
        <f>'[1]data sheet'!B16</f>
        <v>42094</v>
      </c>
      <c r="D10" s="83">
        <f>'[1]data sheet'!C16</f>
        <v>42460</v>
      </c>
      <c r="E10" s="83">
        <f>'[1]data sheet'!D16</f>
        <v>42825</v>
      </c>
      <c r="F10" s="83">
        <f>'[1]data sheet'!E16</f>
        <v>43190</v>
      </c>
      <c r="G10" s="83">
        <f>'[1]data sheet'!F16</f>
        <v>43555</v>
      </c>
      <c r="H10" s="83">
        <f>'[1]data sheet'!G16</f>
        <v>43921</v>
      </c>
      <c r="I10" s="83">
        <f>'[1]data sheet'!H16</f>
        <v>44286</v>
      </c>
      <c r="J10" s="83">
        <f>'[1]data sheet'!I16</f>
        <v>44651</v>
      </c>
      <c r="K10" s="83">
        <f>'[1]data sheet'!J16</f>
        <v>45016</v>
      </c>
      <c r="L10" s="83">
        <f>'[1]data sheet'!K16</f>
        <v>45382</v>
      </c>
    </row>
    <row r="11" spans="2:13" x14ac:dyDescent="0.25">
      <c r="B11" s="2"/>
      <c r="C11" s="84"/>
      <c r="D11" s="84"/>
      <c r="E11" s="84"/>
      <c r="F11" s="84"/>
      <c r="G11" s="84"/>
      <c r="H11" s="84"/>
      <c r="I11" s="84"/>
      <c r="J11" s="84"/>
      <c r="K11" s="84"/>
      <c r="L11" s="84"/>
    </row>
    <row r="12" spans="2:13" x14ac:dyDescent="0.25">
      <c r="B12" s="85" t="str">
        <f>'[1]data sheet'!A17</f>
        <v>Sales</v>
      </c>
      <c r="C12" s="86">
        <f>'Data Sheet'!B17/'Data Sheet'!B$17</f>
        <v>1</v>
      </c>
      <c r="D12" s="86">
        <f>'Data Sheet'!C17/'Data Sheet'!C$17</f>
        <v>1</v>
      </c>
      <c r="E12" s="86">
        <f>'Data Sheet'!D17/'Data Sheet'!D$17</f>
        <v>1</v>
      </c>
      <c r="F12" s="86">
        <f>'Data Sheet'!E17/'Data Sheet'!E$17</f>
        <v>1</v>
      </c>
      <c r="G12" s="86">
        <f>'Data Sheet'!F17/'Data Sheet'!F$17</f>
        <v>1</v>
      </c>
      <c r="H12" s="86">
        <f>'Data Sheet'!G17/'Data Sheet'!G$17</f>
        <v>1</v>
      </c>
      <c r="I12" s="86">
        <f>'Data Sheet'!H17/'Data Sheet'!H$17</f>
        <v>1</v>
      </c>
      <c r="J12" s="86">
        <f>'Data Sheet'!I17/'Data Sheet'!I$17</f>
        <v>1</v>
      </c>
      <c r="K12" s="86">
        <f>'Data Sheet'!J17/'Data Sheet'!J$17</f>
        <v>1</v>
      </c>
      <c r="L12" s="86">
        <f>'Data Sheet'!K17/'Data Sheet'!K$17</f>
        <v>1</v>
      </c>
    </row>
    <row r="13" spans="2:13" x14ac:dyDescent="0.25">
      <c r="B13" s="87" t="str">
        <f>'[1]data sheet'!A18</f>
        <v>Raw Material Cost</v>
      </c>
      <c r="C13" s="90">
        <f>'Data Sheet'!B18/'Data Sheet'!B$17</f>
        <v>0.38663065165783678</v>
      </c>
      <c r="D13" s="90">
        <f>'Data Sheet'!C18/'Data Sheet'!C$17</f>
        <v>0.35119016332373104</v>
      </c>
      <c r="E13" s="90">
        <f>'Data Sheet'!D18/'Data Sheet'!D$17</f>
        <v>0.36140887026627638</v>
      </c>
      <c r="F13" s="90">
        <f>'Data Sheet'!E18/'Data Sheet'!E$17</f>
        <v>0.34126770411430057</v>
      </c>
      <c r="G13" s="90">
        <f>'Data Sheet'!F18/'Data Sheet'!F$17</f>
        <v>0.36457743323380137</v>
      </c>
      <c r="H13" s="90">
        <f>'Data Sheet'!G18/'Data Sheet'!G$17</f>
        <v>0.36544726723455434</v>
      </c>
      <c r="I13" s="90">
        <f>'Data Sheet'!H18/'Data Sheet'!H$17</f>
        <v>0.42179832695358777</v>
      </c>
      <c r="J13" s="90">
        <f>'Data Sheet'!I18/'Data Sheet'!I$17</f>
        <v>0.44638923800889574</v>
      </c>
      <c r="K13" s="90">
        <f>'Data Sheet'!J18/'Data Sheet'!J$17</f>
        <v>0.41405473255908887</v>
      </c>
      <c r="L13" s="90">
        <f>'Data Sheet'!K18/'Data Sheet'!K$17</f>
        <v>0.39279504395747367</v>
      </c>
    </row>
    <row r="14" spans="2:13" x14ac:dyDescent="0.25">
      <c r="B14" s="87" t="str">
        <f>'[1]data sheet'!A19</f>
        <v>Change in Inventory</v>
      </c>
      <c r="C14" s="90">
        <f>'Data Sheet'!B19/'Data Sheet'!B$17</f>
        <v>6.0725735918273236E-3</v>
      </c>
      <c r="D14" s="90">
        <f>'Data Sheet'!C19/'Data Sheet'!C$17</f>
        <v>4.9851883415280122E-3</v>
      </c>
      <c r="E14" s="90">
        <f>'Data Sheet'!D19/'Data Sheet'!D$17</f>
        <v>-1.3855582263208599E-2</v>
      </c>
      <c r="F14" s="90">
        <f>'Data Sheet'!E19/'Data Sheet'!E$17</f>
        <v>-2.3654432075903346E-2</v>
      </c>
      <c r="G14" s="90">
        <f>'Data Sheet'!F19/'Data Sheet'!F$17</f>
        <v>4.2033877828479265E-3</v>
      </c>
      <c r="H14" s="90">
        <f>'Data Sheet'!G19/'Data Sheet'!G$17</f>
        <v>1.4236945636261661E-2</v>
      </c>
      <c r="I14" s="90">
        <f>'Data Sheet'!H19/'Data Sheet'!H$17</f>
        <v>1.3099947317613884E-2</v>
      </c>
      <c r="J14" s="90">
        <f>'Data Sheet'!I19/'Data Sheet'!I$17</f>
        <v>1.1311818013624969E-2</v>
      </c>
      <c r="K14" s="90">
        <f>'Data Sheet'!J19/'Data Sheet'!J$17</f>
        <v>5.0563297326542671E-3</v>
      </c>
      <c r="L14" s="90">
        <f>'Data Sheet'!K19/'Data Sheet'!K$17</f>
        <v>8.3070608253128231E-3</v>
      </c>
    </row>
    <row r="15" spans="2:13" x14ac:dyDescent="0.25">
      <c r="B15" s="87" t="str">
        <f>'[1]data sheet'!A20</f>
        <v>Power and Fuel</v>
      </c>
      <c r="C15" s="90">
        <f>'Data Sheet'!B20/'Data Sheet'!B$17</f>
        <v>1.5731963835572679E-2</v>
      </c>
      <c r="D15" s="90">
        <f>'Data Sheet'!C20/'Data Sheet'!C$17</f>
        <v>1.4591716187701094E-2</v>
      </c>
      <c r="E15" s="90">
        <f>'Data Sheet'!D20/'Data Sheet'!D$17</f>
        <v>1.366291304632479E-2</v>
      </c>
      <c r="F15" s="90">
        <f>'Data Sheet'!E20/'Data Sheet'!E$17</f>
        <v>1.5040643108899779E-2</v>
      </c>
      <c r="G15" s="90">
        <f>'Data Sheet'!F20/'Data Sheet'!F$17</f>
        <v>1.544758973909165E-2</v>
      </c>
      <c r="H15" s="90">
        <f>'Data Sheet'!G20/'Data Sheet'!G$17</f>
        <v>1.5810616813498098E-2</v>
      </c>
      <c r="I15" s="90">
        <f>'Data Sheet'!H20/'Data Sheet'!H$17</f>
        <v>1.4202115619058639E-2</v>
      </c>
      <c r="J15" s="90">
        <f>'Data Sheet'!I20/'Data Sheet'!I$17</f>
        <v>1.4671889670529284E-2</v>
      </c>
      <c r="K15" s="90">
        <f>'Data Sheet'!J20/'Data Sheet'!J$17</f>
        <v>1.7376718209484814E-2</v>
      </c>
      <c r="L15" s="90">
        <f>'Data Sheet'!K20/'Data Sheet'!K$17</f>
        <v>1.5807954763214407E-2</v>
      </c>
    </row>
    <row r="16" spans="2:13" x14ac:dyDescent="0.25">
      <c r="B16" s="87" t="str">
        <f>'[1]data sheet'!A21</f>
        <v>Other Mfr. Exp</v>
      </c>
      <c r="C16" s="90">
        <f>'Data Sheet'!B21/'Data Sheet'!B$17</f>
        <v>3.949929348239116E-2</v>
      </c>
      <c r="D16" s="90">
        <f>'Data Sheet'!C21/'Data Sheet'!C$17</f>
        <v>4.035481640432638E-2</v>
      </c>
      <c r="E16" s="90">
        <f>'Data Sheet'!D21/'Data Sheet'!D$17</f>
        <v>3.9373263872651262E-2</v>
      </c>
      <c r="F16" s="90">
        <f>'Data Sheet'!E21/'Data Sheet'!E$17</f>
        <v>3.9071609111752781E-2</v>
      </c>
      <c r="G16" s="90">
        <f>'Data Sheet'!F21/'Data Sheet'!F$17</f>
        <v>3.8705549365550963E-2</v>
      </c>
      <c r="H16" s="90">
        <f>'Data Sheet'!G21/'Data Sheet'!G$17</f>
        <v>3.8638972861663935E-2</v>
      </c>
      <c r="I16" s="90">
        <f>'Data Sheet'!H21/'Data Sheet'!H$17</f>
        <v>3.2222130865483298E-2</v>
      </c>
      <c r="J16" s="90">
        <f>'Data Sheet'!I21/'Data Sheet'!I$17</f>
        <v>3.1126792288308232E-2</v>
      </c>
      <c r="K16" s="90">
        <f>'Data Sheet'!J21/'Data Sheet'!J$17</f>
        <v>3.2823347978673707E-2</v>
      </c>
      <c r="L16" s="90">
        <f>'Data Sheet'!K21/'Data Sheet'!K$17</f>
        <v>3.5470637491318152E-2</v>
      </c>
    </row>
    <row r="17" spans="2:12" x14ac:dyDescent="0.25">
      <c r="B17" s="87" t="str">
        <f>'[1]data sheet'!A22</f>
        <v>Employee Cost</v>
      </c>
      <c r="C17" s="90">
        <f>'Data Sheet'!B22/'Data Sheet'!B$17</f>
        <v>7.1418947552821369E-2</v>
      </c>
      <c r="D17" s="90">
        <f>'Data Sheet'!C22/'Data Sheet'!C$17</f>
        <v>8.779754083093276E-2</v>
      </c>
      <c r="E17" s="90">
        <f>'Data Sheet'!D22/'Data Sheet'!D$17</f>
        <v>8.4917788232213173E-2</v>
      </c>
      <c r="F17" s="90">
        <f>'Data Sheet'!E22/'Data Sheet'!E$17</f>
        <v>8.6559073708127279E-2</v>
      </c>
      <c r="G17" s="90">
        <f>'Data Sheet'!F22/'Data Sheet'!F$17</f>
        <v>8.6427726513138917E-2</v>
      </c>
      <c r="H17" s="90">
        <f>'Data Sheet'!G22/'Data Sheet'!G$17</f>
        <v>8.6980968945709156E-2</v>
      </c>
      <c r="I17" s="90">
        <f>'Data Sheet'!H22/'Data Sheet'!H$17</f>
        <v>9.0612283015056611E-2</v>
      </c>
      <c r="J17" s="90">
        <f>'Data Sheet'!I22/'Data Sheet'!I$17</f>
        <v>8.0642874032847811E-2</v>
      </c>
      <c r="K17" s="90">
        <f>'Data Sheet'!J22/'Data Sheet'!J$17</f>
        <v>8.0884073005510662E-2</v>
      </c>
      <c r="L17" s="90">
        <f>'Data Sheet'!K22/'Data Sheet'!K$17</f>
        <v>8.6562398841083951E-2</v>
      </c>
    </row>
    <row r="18" spans="2:12" x14ac:dyDescent="0.25">
      <c r="B18" s="87" t="str">
        <f>'[1]data sheet'!A23</f>
        <v>Selling and admin</v>
      </c>
      <c r="C18" s="90">
        <f>'Data Sheet'!B23/'Data Sheet'!B$17</f>
        <v>9.9857666005876269E-2</v>
      </c>
      <c r="D18" s="90">
        <f>'Data Sheet'!C23/'Data Sheet'!C$17</f>
        <v>0.10874079214943828</v>
      </c>
      <c r="E18" s="90">
        <f>'Data Sheet'!D23/'Data Sheet'!D$17</f>
        <v>9.7731460264312231E-2</v>
      </c>
      <c r="F18" s="90">
        <f>'Data Sheet'!E23/'Data Sheet'!E$17</f>
        <v>9.1023394356686257E-2</v>
      </c>
      <c r="G18" s="90">
        <f>'Data Sheet'!F23/'Data Sheet'!F$17</f>
        <v>9.4051086087218794E-2</v>
      </c>
      <c r="H18" s="90">
        <f>'Data Sheet'!G23/'Data Sheet'!G$17</f>
        <v>9.088558487234677E-2</v>
      </c>
      <c r="I18" s="90">
        <f>'Data Sheet'!H23/'Data Sheet'!H$17</f>
        <v>8.6012775732401917E-2</v>
      </c>
      <c r="J18" s="90">
        <f>'Data Sheet'!I23/'Data Sheet'!I$17</f>
        <v>8.0112405832412942E-2</v>
      </c>
      <c r="K18" s="90">
        <f>'Data Sheet'!J23/'Data Sheet'!J$17</f>
        <v>7.9020821350771431E-2</v>
      </c>
      <c r="L18" s="90">
        <f>'Data Sheet'!K23/'Data Sheet'!K$17</f>
        <v>8.7187238150983642E-2</v>
      </c>
    </row>
    <row r="19" spans="2:12" x14ac:dyDescent="0.25">
      <c r="B19" s="87" t="str">
        <f>'[1]data sheet'!A24</f>
        <v>Other Expenses</v>
      </c>
      <c r="C19" s="90">
        <f>'Data Sheet'!B24/'Data Sheet'!B$17</f>
        <v>2.578654022770863E-2</v>
      </c>
      <c r="D19" s="90">
        <f>'Data Sheet'!C24/'Data Sheet'!C$17</f>
        <v>3.1534161221266538E-2</v>
      </c>
      <c r="E19" s="90">
        <f>'Data Sheet'!D24/'Data Sheet'!D$17</f>
        <v>2.7339153938963141E-2</v>
      </c>
      <c r="F19" s="90">
        <f>'Data Sheet'!E24/'Data Sheet'!E$17</f>
        <v>2.3153154024010712E-2</v>
      </c>
      <c r="G19" s="90">
        <f>'Data Sheet'!F24/'Data Sheet'!F$17</f>
        <v>2.1511357773484997E-2</v>
      </c>
      <c r="H19" s="90">
        <f>'Data Sheet'!G24/'Data Sheet'!G$17</f>
        <v>2.4806378916207884E-2</v>
      </c>
      <c r="I19" s="90">
        <f>'Data Sheet'!H24/'Data Sheet'!H$17</f>
        <v>2.1811725941964111E-2</v>
      </c>
      <c r="J19" s="90">
        <f>'Data Sheet'!I24/'Data Sheet'!I$17</f>
        <v>1.8302554525106464E-2</v>
      </c>
      <c r="K19" s="90">
        <f>'Data Sheet'!J24/'Data Sheet'!J$17</f>
        <v>1.8451465001706874E-2</v>
      </c>
      <c r="L19" s="90">
        <f>'Data Sheet'!K24/'Data Sheet'!K$17</f>
        <v>2.0313627564726888E-2</v>
      </c>
    </row>
    <row r="20" spans="2:12" x14ac:dyDescent="0.25">
      <c r="B20" s="87" t="str">
        <f>'[1]data sheet'!A25</f>
        <v>Other Income</v>
      </c>
      <c r="C20" s="90">
        <f>'Data Sheet'!B25/'Data Sheet'!B$17</f>
        <v>3.167027976036365E-2</v>
      </c>
      <c r="D20" s="90">
        <f>'Data Sheet'!C25/'Data Sheet'!C$17</f>
        <v>3.7842065110060448E-2</v>
      </c>
      <c r="E20" s="90">
        <f>'Data Sheet'!D25/'Data Sheet'!D$17</f>
        <v>4.1120614670919112E-2</v>
      </c>
      <c r="F20" s="90">
        <f>'Data Sheet'!E25/'Data Sheet'!E$17</f>
        <v>5.1550394555080051E-2</v>
      </c>
      <c r="G20" s="90">
        <f>'Data Sheet'!F25/'Data Sheet'!F$17</f>
        <v>4.3038023913323203E-2</v>
      </c>
      <c r="H20" s="90">
        <f>'Data Sheet'!G25/'Data Sheet'!G$17</f>
        <v>4.8945790146129507E-2</v>
      </c>
      <c r="I20" s="90">
        <f>'Data Sheet'!H25/'Data Sheet'!H$17</f>
        <v>5.2315944085615476E-2</v>
      </c>
      <c r="J20" s="90">
        <f>'Data Sheet'!I25/'Data Sheet'!I$17</f>
        <v>3.1490386438746173E-2</v>
      </c>
      <c r="K20" s="90">
        <f>'Data Sheet'!J25/'Data Sheet'!J$17</f>
        <v>2.957795672050224E-2</v>
      </c>
      <c r="L20" s="90">
        <f>'Data Sheet'!K25/'Data Sheet'!K$17</f>
        <v>3.9564266303465885E-2</v>
      </c>
    </row>
    <row r="21" spans="2:12" x14ac:dyDescent="0.25">
      <c r="B21" s="87" t="str">
        <f>'[1]data sheet'!A26</f>
        <v>Depreciation</v>
      </c>
      <c r="C21" s="90">
        <f>'Data Sheet'!B26/'Data Sheet'!B$17</f>
        <v>2.6482109067770303E-2</v>
      </c>
      <c r="D21" s="90">
        <f>'Data Sheet'!C26/'Data Sheet'!C$17</f>
        <v>2.7490234001240049E-2</v>
      </c>
      <c r="E21" s="90">
        <f>'Data Sheet'!D26/'Data Sheet'!D$17</f>
        <v>2.6954750792656124E-2</v>
      </c>
      <c r="F21" s="90">
        <f>'Data Sheet'!E26/'Data Sheet'!E$17</f>
        <v>2.845362855802696E-2</v>
      </c>
      <c r="G21" s="90">
        <f>'Data Sheet'!F26/'Data Sheet'!F$17</f>
        <v>2.8891645314253867E-2</v>
      </c>
      <c r="H21" s="90">
        <f>'Data Sheet'!G26/'Data Sheet'!G$17</f>
        <v>3.3306066085280348E-2</v>
      </c>
      <c r="I21" s="90">
        <f>'Data Sheet'!H26/'Data Sheet'!H$17</f>
        <v>3.3407941336792708E-2</v>
      </c>
      <c r="J21" s="90">
        <f>'Data Sheet'!I26/'Data Sheet'!I$17</f>
        <v>2.8566627762367396E-2</v>
      </c>
      <c r="K21" s="90">
        <f>'Data Sheet'!J26/'Data Sheet'!J$17</f>
        <v>2.550810410125463E-2</v>
      </c>
      <c r="L21" s="90">
        <f>'Data Sheet'!K26/'Data Sheet'!K$17</f>
        <v>2.5631252802816348E-2</v>
      </c>
    </row>
    <row r="22" spans="2:12" x14ac:dyDescent="0.25">
      <c r="B22" s="87" t="str">
        <f>'[1]data sheet'!A27</f>
        <v>Interest</v>
      </c>
      <c r="C22" s="90">
        <f>'Data Sheet'!B27/'Data Sheet'!B$17</f>
        <v>2.3432941367411051E-3</v>
      </c>
      <c r="D22" s="90">
        <f>'Data Sheet'!C27/'Data Sheet'!C$17</f>
        <v>1.9935139989946953E-3</v>
      </c>
      <c r="E22" s="90">
        <f>'Data Sheet'!D27/'Data Sheet'!D$17</f>
        <v>1.146428604831695E-3</v>
      </c>
      <c r="F22" s="90">
        <f>'Data Sheet'!E27/'Data Sheet'!E$17</f>
        <v>2.647015094039118E-3</v>
      </c>
      <c r="G22" s="90">
        <f>'Data Sheet'!F27/'Data Sheet'!F$17</f>
        <v>1.4770504832685763E-3</v>
      </c>
      <c r="H22" s="90">
        <f>'Data Sheet'!G27/'Data Sheet'!G$17</f>
        <v>1.647778697934911E-3</v>
      </c>
      <c r="I22" s="90">
        <f>'Data Sheet'!H27/'Data Sheet'!H$17</f>
        <v>1.1768778123918311E-3</v>
      </c>
      <c r="J22" s="90">
        <f>'Data Sheet'!I27/'Data Sheet'!I$17</f>
        <v>9.8920694262006107E-4</v>
      </c>
      <c r="K22" s="90">
        <f>'Data Sheet'!J27/'Data Sheet'!J$17</f>
        <v>1.0966027031108574E-3</v>
      </c>
      <c r="L22" s="90">
        <f>'Data Sheet'!K27/'Data Sheet'!K$17</f>
        <v>1.1297343078267756E-3</v>
      </c>
    </row>
    <row r="23" spans="2:12" x14ac:dyDescent="0.25">
      <c r="B23" s="87" t="str">
        <f>'[1]data sheet'!A28</f>
        <v>Profit before tax</v>
      </c>
      <c r="C23" s="90">
        <f>'Data Sheet'!B28/'Data Sheet'!B$17</f>
        <v>0.36999238738547263</v>
      </c>
      <c r="D23" s="90">
        <f>'Data Sheet'!C28/'Data Sheet'!C$17</f>
        <v>0.37913431533395764</v>
      </c>
      <c r="E23" s="90">
        <f>'Data Sheet'!D28/'Data Sheet'!D$17</f>
        <v>0.37473040338948177</v>
      </c>
      <c r="F23" s="90">
        <f>'Data Sheet'!E28/'Data Sheet'!E$17</f>
        <v>0.40067974040333321</v>
      </c>
      <c r="G23" s="90">
        <f>'Data Sheet'!F28/'Data Sheet'!F$17</f>
        <v>0.39615197318636197</v>
      </c>
      <c r="H23" s="90">
        <f>'Data Sheet'!G28/'Data Sheet'!G$17</f>
        <v>0.40565910135519573</v>
      </c>
      <c r="I23" s="90">
        <f>'Data Sheet'!H28/'Data Sheet'!H$17</f>
        <v>0.36417171412649252</v>
      </c>
      <c r="J23" s="90">
        <f>'Data Sheet'!I28/'Data Sheet'!I$17</f>
        <v>0.34200061538928322</v>
      </c>
      <c r="K23" s="90">
        <f>'Data Sheet'!J28/'Data Sheet'!J$17</f>
        <v>0.36541842154355464</v>
      </c>
      <c r="L23" s="90">
        <f>'Data Sheet'!K28/'Data Sheet'!K$17</f>
        <v>0.38297343924933486</v>
      </c>
    </row>
    <row r="24" spans="2:12" x14ac:dyDescent="0.25">
      <c r="B24" s="87" t="str">
        <f>'[1]data sheet'!A29</f>
        <v>Tax</v>
      </c>
      <c r="C24" s="90">
        <f>'Data Sheet'!B29/'Data Sheet'!B$17</f>
        <v>0.11841209362356588</v>
      </c>
      <c r="D24" s="90">
        <f>'Data Sheet'!C29/'Data Sheet'!C$17</f>
        <v>0.13671658318895902</v>
      </c>
      <c r="E24" s="90">
        <f>'Data Sheet'!D29/'Data Sheet'!D$17</f>
        <v>0.12974985736866226</v>
      </c>
      <c r="F24" s="90">
        <f>'Data Sheet'!E29/'Data Sheet'!E$17</f>
        <v>0.13616972013586523</v>
      </c>
      <c r="G24" s="90">
        <f>'Data Sheet'!F29/'Data Sheet'!F$17</f>
        <v>0.13061594660110823</v>
      </c>
      <c r="H24" s="90">
        <f>'Data Sheet'!G29/'Data Sheet'!G$17</f>
        <v>8.9937170591058102E-2</v>
      </c>
      <c r="I24" s="90">
        <f>'Data Sheet'!H29/'Data Sheet'!H$17</f>
        <v>9.2479208728831891E-2</v>
      </c>
      <c r="J24" s="90">
        <f>'Data Sheet'!I29/'Data Sheet'!I$17</f>
        <v>8.636127836075598E-2</v>
      </c>
      <c r="K24" s="90">
        <f>'Data Sheet'!J29/'Data Sheet'!J$17</f>
        <v>9.0785223655766301E-2</v>
      </c>
      <c r="L24" s="90">
        <f>'Data Sheet'!K29/'Data Sheet'!K$17</f>
        <v>9.0149015990975676E-2</v>
      </c>
    </row>
    <row r="25" spans="2:12" x14ac:dyDescent="0.25">
      <c r="B25" s="87" t="str">
        <f>'[1]data sheet'!A30</f>
        <v>Net profit</v>
      </c>
      <c r="C25" s="90">
        <f>'Data Sheet'!B30/'Data Sheet'!B$17</f>
        <v>0.24894073882291717</v>
      </c>
      <c r="D25" s="90">
        <f>'Data Sheet'!C30/'Data Sheet'!C$17</f>
        <v>0.23842687684507849</v>
      </c>
      <c r="E25" s="90">
        <f>'Data Sheet'!D30/'Data Sheet'!D$17</f>
        <v>0.2405896052151629</v>
      </c>
      <c r="F25" s="90">
        <f>'Data Sheet'!E30/'Data Sheet'!E$17</f>
        <v>0.25941254263049918</v>
      </c>
      <c r="G25" s="90">
        <f>'Data Sheet'!F30/'Data Sheet'!F$17</f>
        <v>0.26049729848707825</v>
      </c>
      <c r="H25" s="90">
        <f>'Data Sheet'!G30/'Data Sheet'!G$17</f>
        <v>0.30991987883622846</v>
      </c>
      <c r="I25" s="90">
        <f>'Data Sheet'!H30/'Data Sheet'!H$17</f>
        <v>0.26719186640802561</v>
      </c>
      <c r="J25" s="90">
        <f>'Data Sheet'!I30/'Data Sheet'!I$17</f>
        <v>0.25134430898478244</v>
      </c>
      <c r="K25" s="90">
        <f>'Data Sheet'!J30/'Data Sheet'!J$17</f>
        <v>0.27061368436652333</v>
      </c>
      <c r="L25" s="90">
        <f>'Data Sheet'!K30/'Data Sheet'!K$17</f>
        <v>0.28869579892930647</v>
      </c>
    </row>
    <row r="26" spans="2:12" x14ac:dyDescent="0.25">
      <c r="B26" s="87" t="str">
        <f>'[1]data sheet'!A31</f>
        <v>Dividend Amount</v>
      </c>
      <c r="C26" s="90">
        <f>'Data Sheet'!B31/'Data Sheet'!B$17</f>
        <v>0.12905867638402096</v>
      </c>
      <c r="D26" s="90">
        <f>'Data Sheet'!C31/'Data Sheet'!C$17</f>
        <v>0.17452802988357347</v>
      </c>
      <c r="E26" s="90">
        <f>'Data Sheet'!D31/'Data Sheet'!D$17</f>
        <v>0.13491568383542682</v>
      </c>
      <c r="F26" s="90">
        <f>'Data Sheet'!E31/'Data Sheet'!E$17</f>
        <v>0.14465738404665338</v>
      </c>
      <c r="G26" s="90">
        <f>'Data Sheet'!F31/'Data Sheet'!F$17</f>
        <v>0.14581632691057719</v>
      </c>
      <c r="H26" s="90">
        <f>'Data Sheet'!G31/'Data Sheet'!G$17</f>
        <v>0.25262524879676518</v>
      </c>
      <c r="I26" s="90">
        <f>'Data Sheet'!H31/'Data Sheet'!H$17</f>
        <v>0.26862860338892897</v>
      </c>
      <c r="J26" s="90">
        <f>'Data Sheet'!I31/'Data Sheet'!I$17</f>
        <v>0.23368633021208504</v>
      </c>
      <c r="K26" s="90">
        <f>'Data Sheet'!J31/'Data Sheet'!J$17</f>
        <v>0.27162526052598296</v>
      </c>
      <c r="L26" s="90">
        <f>'Data Sheet'!K31/'Data Sheet'!K$17</f>
        <v>0.24223755690652046</v>
      </c>
    </row>
    <row r="27" spans="2:12" x14ac:dyDescent="0.25">
      <c r="B27" s="87"/>
    </row>
    <row r="28" spans="2:12" x14ac:dyDescent="0.25">
      <c r="B28" s="119" t="str">
        <f>"Common Size - Balance sheet "&amp;""&amp;"-"&amp;'Data Sheet'!B1</f>
        <v>Common Size - Balance sheet -ITC LTD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</row>
    <row r="29" spans="2:12" x14ac:dyDescent="0.25">
      <c r="B29" s="87"/>
    </row>
    <row r="30" spans="2:12" x14ac:dyDescent="0.25">
      <c r="B30" s="82" t="s">
        <v>197</v>
      </c>
      <c r="C30" s="83">
        <f>'[1]data sheet'!B56</f>
        <v>42094</v>
      </c>
      <c r="D30" s="83">
        <f>'[1]data sheet'!C56</f>
        <v>42460</v>
      </c>
      <c r="E30" s="83">
        <f>'[1]data sheet'!D56</f>
        <v>42825</v>
      </c>
      <c r="F30" s="83">
        <f>'[1]data sheet'!E56</f>
        <v>43190</v>
      </c>
      <c r="G30" s="83">
        <f>'[1]data sheet'!F56</f>
        <v>43555</v>
      </c>
      <c r="H30" s="83">
        <f>'[1]data sheet'!G56</f>
        <v>43921</v>
      </c>
      <c r="I30" s="83">
        <f>'[1]data sheet'!H56</f>
        <v>44286</v>
      </c>
      <c r="J30" s="83">
        <f>'[1]data sheet'!I56</f>
        <v>44651</v>
      </c>
      <c r="K30" s="83">
        <f>'[1]data sheet'!J56</f>
        <v>45016</v>
      </c>
      <c r="L30" s="83">
        <f>'[1]data sheet'!K56</f>
        <v>45382</v>
      </c>
    </row>
    <row r="32" spans="2:12" x14ac:dyDescent="0.25">
      <c r="B32" s="2" t="s">
        <v>198</v>
      </c>
      <c r="C32" s="89">
        <f>'Data Sheet'!B61/'Data Sheet'!B$61</f>
        <v>1</v>
      </c>
      <c r="D32" s="89">
        <f>'Data Sheet'!C61/'Data Sheet'!C$61</f>
        <v>1</v>
      </c>
      <c r="E32" s="89">
        <f>'Data Sheet'!D61/'Data Sheet'!D$61</f>
        <v>1</v>
      </c>
      <c r="F32" s="89">
        <f>'Data Sheet'!E61/'Data Sheet'!E$61</f>
        <v>1</v>
      </c>
      <c r="G32" s="89">
        <f>'Data Sheet'!F61/'Data Sheet'!F$61</f>
        <v>1</v>
      </c>
      <c r="H32" s="89">
        <f>'Data Sheet'!G61/'Data Sheet'!G$61</f>
        <v>1</v>
      </c>
      <c r="I32" s="89">
        <f>'Data Sheet'!H61/'Data Sheet'!H$61</f>
        <v>1</v>
      </c>
      <c r="J32" s="89">
        <f>'Data Sheet'!I61/'Data Sheet'!I$61</f>
        <v>1</v>
      </c>
      <c r="K32" s="89">
        <f>'Data Sheet'!J61/'Data Sheet'!J$61</f>
        <v>1</v>
      </c>
      <c r="L32" s="89">
        <f>'Data Sheet'!K61/'Data Sheet'!K$61</f>
        <v>1</v>
      </c>
    </row>
    <row r="33" spans="2:12" x14ac:dyDescent="0.25">
      <c r="B33" s="87" t="str">
        <f>'[1]data sheet'!A57</f>
        <v>Equity Share Capital</v>
      </c>
      <c r="C33" s="90">
        <f>'Data Sheet'!B57/'Data Sheet'!B$61</f>
        <v>1.7443118090921396E-2</v>
      </c>
      <c r="D33" s="90">
        <f>'Data Sheet'!C57/'Data Sheet'!C$61</f>
        <v>1.5579847492824001E-2</v>
      </c>
      <c r="E33" s="90">
        <f>'Data Sheet'!D57/'Data Sheet'!D$61</f>
        <v>2.1731243443452324E-2</v>
      </c>
      <c r="F33" s="90">
        <f>'Data Sheet'!E57/'Data Sheet'!E$61</f>
        <v>1.8997716096043518E-2</v>
      </c>
      <c r="G33" s="90">
        <f>'Data Sheet'!F57/'Data Sheet'!F$61</f>
        <v>1.7087766995488092E-2</v>
      </c>
      <c r="H33" s="90">
        <f>'Data Sheet'!G57/'Data Sheet'!G$61</f>
        <v>1.5899729339063456E-2</v>
      </c>
      <c r="I33" s="90">
        <f>'Data Sheet'!H57/'Data Sheet'!H$61</f>
        <v>1.6687463632424616E-2</v>
      </c>
      <c r="J33" s="90">
        <f>'Data Sheet'!I57/'Data Sheet'!I$61</f>
        <v>1.5963646830497218E-2</v>
      </c>
      <c r="K33" s="90">
        <f>'Data Sheet'!J57/'Data Sheet'!J$61</f>
        <v>1.447962366959428E-2</v>
      </c>
      <c r="L33" s="90">
        <f>'Data Sheet'!K57/'Data Sheet'!K$61</f>
        <v>1.3606713693151371E-2</v>
      </c>
    </row>
    <row r="34" spans="2:12" x14ac:dyDescent="0.25">
      <c r="B34" s="87" t="str">
        <f>'[1]data sheet'!A58</f>
        <v>Reserves</v>
      </c>
      <c r="C34" s="90">
        <f>'Data Sheet'!B58/'Data Sheet'!B$61</f>
        <v>0.67317618169481253</v>
      </c>
      <c r="D34" s="90">
        <f>'Data Sheet'!C58/'Data Sheet'!C$61</f>
        <v>0.81072049631239007</v>
      </c>
      <c r="E34" s="90">
        <f>'Data Sheet'!D58/'Data Sheet'!D$61</f>
        <v>0.80857868358118823</v>
      </c>
      <c r="F34" s="90">
        <f>'Data Sheet'!E58/'Data Sheet'!E$61</f>
        <v>0.79839628597864787</v>
      </c>
      <c r="G34" s="90">
        <f>'Data Sheet'!F58/'Data Sheet'!F$61</f>
        <v>0.80730115708267081</v>
      </c>
      <c r="H34" s="90">
        <f>'Data Sheet'!G58/'Data Sheet'!G$61</f>
        <v>0.82839760317937672</v>
      </c>
      <c r="I34" s="90">
        <f>'Data Sheet'!H58/'Data Sheet'!H$61</f>
        <v>0.80146218666944324</v>
      </c>
      <c r="J34" s="90">
        <f>'Data Sheet'!I58/'Data Sheet'!I$61</f>
        <v>0.79308803744027212</v>
      </c>
      <c r="K34" s="90">
        <f>'Data Sheet'!J58/'Data Sheet'!J$61</f>
        <v>0.79123500424555426</v>
      </c>
      <c r="L34" s="90">
        <f>'Data Sheet'!K58/'Data Sheet'!K$61</f>
        <v>0.79842354505205604</v>
      </c>
    </row>
    <row r="35" spans="2:12" x14ac:dyDescent="0.25">
      <c r="B35" s="87" t="str">
        <f>'[1]data sheet'!A59</f>
        <v>Borrowings</v>
      </c>
      <c r="C35" s="90">
        <f>'Data Sheet'!B59/'Data Sheet'!B$61</f>
        <v>5.8495541673503479E-3</v>
      </c>
      <c r="D35" s="90">
        <f>'Data Sheet'!C59/'Data Sheet'!C$61</f>
        <v>1.6220295543155319E-3</v>
      </c>
      <c r="E35" s="90">
        <f>'Data Sheet'!D59/'Data Sheet'!D$61</f>
        <v>8.1791366896178633E-4</v>
      </c>
      <c r="F35" s="90">
        <f>'Data Sheet'!E59/'Data Sheet'!E$61</f>
        <v>5.5914551606391452E-4</v>
      </c>
      <c r="G35" s="90">
        <f>'Data Sheet'!F59/'Data Sheet'!F$61</f>
        <v>1.8734569071456771E-4</v>
      </c>
      <c r="H35" s="90">
        <f>'Data Sheet'!G59/'Data Sheet'!G$61</f>
        <v>3.5887635290046986E-3</v>
      </c>
      <c r="I35" s="90">
        <f>'Data Sheet'!H59/'Data Sheet'!H$61</f>
        <v>3.6717354864564847E-3</v>
      </c>
      <c r="J35" s="90">
        <f>'Data Sheet'!I59/'Data Sheet'!I$61</f>
        <v>3.2312546683106198E-3</v>
      </c>
      <c r="K35" s="90">
        <f>'Data Sheet'!J59/'Data Sheet'!J$61</f>
        <v>3.5656131540413856E-3</v>
      </c>
      <c r="L35" s="90">
        <f>'Data Sheet'!K59/'Data Sheet'!K$61</f>
        <v>3.3069958716772691E-3</v>
      </c>
    </row>
    <row r="36" spans="2:12" x14ac:dyDescent="0.25">
      <c r="B36" s="87" t="str">
        <f>'[1]data sheet'!A60</f>
        <v>Other Liabilities</v>
      </c>
      <c r="C36" s="90">
        <f>'Data Sheet'!B60/'Data Sheet'!B$61</f>
        <v>0.30353114604691567</v>
      </c>
      <c r="D36" s="90">
        <f>'Data Sheet'!C60/'Data Sheet'!C$61</f>
        <v>0.17207762664047055</v>
      </c>
      <c r="E36" s="90">
        <f>'Data Sheet'!D60/'Data Sheet'!D$61</f>
        <v>0.16887215930639776</v>
      </c>
      <c r="F36" s="90">
        <f>'Data Sheet'!E60/'Data Sheet'!E$61</f>
        <v>0.18204685240924473</v>
      </c>
      <c r="G36" s="90">
        <f>'Data Sheet'!F60/'Data Sheet'!F$61</f>
        <v>0.17542373023112662</v>
      </c>
      <c r="H36" s="90">
        <f>'Data Sheet'!G60/'Data Sheet'!G$61</f>
        <v>0.15211390395255511</v>
      </c>
      <c r="I36" s="90">
        <f>'Data Sheet'!H60/'Data Sheet'!H$61</f>
        <v>0.17817861421167572</v>
      </c>
      <c r="J36" s="90">
        <f>'Data Sheet'!I60/'Data Sheet'!I$61</f>
        <v>0.18771706106091998</v>
      </c>
      <c r="K36" s="90">
        <f>'Data Sheet'!J60/'Data Sheet'!J$61</f>
        <v>0.19071975893081003</v>
      </c>
      <c r="L36" s="90">
        <f>'Data Sheet'!K60/'Data Sheet'!K$61</f>
        <v>0.18466274538311531</v>
      </c>
    </row>
    <row r="37" spans="2:12" x14ac:dyDescent="0.25">
      <c r="B37" s="87"/>
    </row>
    <row r="38" spans="2:12" x14ac:dyDescent="0.25">
      <c r="B38" s="2" t="s">
        <v>119</v>
      </c>
      <c r="C38" s="89">
        <f>'Data Sheet'!B75/'Data Sheet'!B$75</f>
        <v>1</v>
      </c>
      <c r="D38" s="89">
        <f>'Data Sheet'!C75/'Data Sheet'!C$75</f>
        <v>1</v>
      </c>
      <c r="E38" s="89">
        <f>'Data Sheet'!D75/'Data Sheet'!D$75</f>
        <v>1</v>
      </c>
      <c r="F38" s="89">
        <f>'Data Sheet'!E75/'Data Sheet'!E$75</f>
        <v>1</v>
      </c>
      <c r="G38" s="89">
        <f>'Data Sheet'!F75/'Data Sheet'!F$75</f>
        <v>1</v>
      </c>
      <c r="H38" s="89">
        <f>'Data Sheet'!G75/'Data Sheet'!G$75</f>
        <v>1</v>
      </c>
      <c r="I38" s="89">
        <f>'Data Sheet'!H75/'Data Sheet'!H$75</f>
        <v>1</v>
      </c>
      <c r="J38" s="89">
        <f>'Data Sheet'!I75/'Data Sheet'!I$75</f>
        <v>1</v>
      </c>
      <c r="K38" s="89">
        <f>'Data Sheet'!J75/'Data Sheet'!J$75</f>
        <v>1</v>
      </c>
      <c r="L38" s="89">
        <f>'Data Sheet'!K75/'Data Sheet'!K$75</f>
        <v>1</v>
      </c>
    </row>
    <row r="39" spans="2:12" x14ac:dyDescent="0.25">
      <c r="B39" s="87" t="str">
        <f>'[1]data sheet'!A62</f>
        <v>Net Block</v>
      </c>
      <c r="C39" s="5">
        <f>'Data Sheet'!B62/'Data Sheet'!B$75</f>
        <v>0.33302591256744507</v>
      </c>
      <c r="D39" s="5">
        <f>'Data Sheet'!C62/'Data Sheet'!C$75</f>
        <v>0.29247314784088851</v>
      </c>
      <c r="E39" s="5">
        <f>'Data Sheet'!D62/'Data Sheet'!D$75</f>
        <v>0.2843284019984858</v>
      </c>
      <c r="F39" s="5">
        <f>'Data Sheet'!E62/'Data Sheet'!E$75</f>
        <v>0.25721876786245768</v>
      </c>
      <c r="G39" s="5">
        <f>'Data Sheet'!F62/'Data Sheet'!F$75</f>
        <v>0.27006480711199926</v>
      </c>
      <c r="H39" s="5">
        <f>'Data Sheet'!G62/'Data Sheet'!G$75</f>
        <v>0.28085796606552127</v>
      </c>
      <c r="I39" s="5">
        <f>'Data Sheet'!H62/'Data Sheet'!H$75</f>
        <v>0.3158655089779443</v>
      </c>
      <c r="J39" s="5">
        <f>'Data Sheet'!I62/'Data Sheet'!I$75</f>
        <v>0.31389688224859258</v>
      </c>
      <c r="K39" s="5">
        <f>'Data Sheet'!J62/'Data Sheet'!J$75</f>
        <v>0.30118817265937609</v>
      </c>
      <c r="L39" s="5">
        <f>'Data Sheet'!K62/'Data Sheet'!K$75</f>
        <v>0.30320453708978468</v>
      </c>
    </row>
    <row r="40" spans="2:12" x14ac:dyDescent="0.25">
      <c r="B40" s="87" t="str">
        <f>'[1]data sheet'!A63</f>
        <v>Capital Work in Progress</v>
      </c>
      <c r="C40" s="5">
        <f>'Data Sheet'!B63/'Data Sheet'!B$75</f>
        <v>5.8761034831396608E-2</v>
      </c>
      <c r="D40" s="5">
        <f>'Data Sheet'!C63/'Data Sheet'!C$75</f>
        <v>4.955766878458525E-2</v>
      </c>
      <c r="E40" s="5">
        <f>'Data Sheet'!D63/'Data Sheet'!D$75</f>
        <v>6.6726334530268522E-2</v>
      </c>
      <c r="F40" s="5">
        <f>'Data Sheet'!E63/'Data Sheet'!E$75</f>
        <v>8.5744933755577443E-2</v>
      </c>
      <c r="G40" s="5">
        <f>'Data Sheet'!F63/'Data Sheet'!F$75</f>
        <v>5.7659260564401203E-2</v>
      </c>
      <c r="H40" s="5">
        <f>'Data Sheet'!G63/'Data Sheet'!G$75</f>
        <v>4.2121697176653962E-2</v>
      </c>
      <c r="I40" s="5">
        <f>'Data Sheet'!H63/'Data Sheet'!H$75</f>
        <v>5.4382438575741349E-2</v>
      </c>
      <c r="J40" s="5">
        <f>'Data Sheet'!I63/'Data Sheet'!I$75</f>
        <v>4.1783760354484591E-2</v>
      </c>
      <c r="K40" s="5">
        <f>'Data Sheet'!J63/'Data Sheet'!J$75</f>
        <v>3.4990870427174532E-2</v>
      </c>
      <c r="L40" s="5">
        <f>'Data Sheet'!K63/'Data Sheet'!K$75</f>
        <v>3.1178814388085868E-2</v>
      </c>
    </row>
    <row r="41" spans="2:12" x14ac:dyDescent="0.25">
      <c r="B41" s="87" t="str">
        <f>'[1]data sheet'!A64</f>
        <v>Investments</v>
      </c>
      <c r="C41" s="5">
        <f>'Data Sheet'!B64/'Data Sheet'!B$75</f>
        <v>0.15108671572341881</v>
      </c>
      <c r="D41" s="5">
        <f>'Data Sheet'!C64/'Data Sheet'!C$75</f>
        <v>0.22744017870591546</v>
      </c>
      <c r="E41" s="5">
        <f>'Data Sheet'!D64/'Data Sheet'!D$75</f>
        <v>0.31452430055142983</v>
      </c>
      <c r="F41" s="5">
        <f>'Data Sheet'!E64/'Data Sheet'!E$75</f>
        <v>0.34328390271117087</v>
      </c>
      <c r="G41" s="5">
        <f>'Data Sheet'!F64/'Data Sheet'!F$75</f>
        <v>0.34909151279414952</v>
      </c>
      <c r="H41" s="5">
        <f>'Data Sheet'!G64/'Data Sheet'!G$75</f>
        <v>0.37075503730076348</v>
      </c>
      <c r="I41" s="5">
        <f>'Data Sheet'!H64/'Data Sheet'!H$75</f>
        <v>0.33718294117359954</v>
      </c>
      <c r="J41" s="5">
        <f>'Data Sheet'!I64/'Data Sheet'!I$75</f>
        <v>0.3217913306929554</v>
      </c>
      <c r="K41" s="5">
        <f>'Data Sheet'!J64/'Data Sheet'!J$75</f>
        <v>0.34270873819889702</v>
      </c>
      <c r="L41" s="5">
        <f>'Data Sheet'!K64/'Data Sheet'!K$75</f>
        <v>0.33910271130502573</v>
      </c>
    </row>
    <row r="42" spans="2:12" x14ac:dyDescent="0.25">
      <c r="B42" s="87" t="str">
        <f>'[1]data sheet'!A65</f>
        <v>Other Assets</v>
      </c>
      <c r="C42" s="5">
        <f>'Data Sheet'!B74/'Data Sheet'!B$75</f>
        <v>5.5292432008725592E-2</v>
      </c>
      <c r="D42" s="5">
        <f>'Data Sheet'!C74/'Data Sheet'!C$75</f>
        <v>0.10057473823525198</v>
      </c>
      <c r="E42" s="5">
        <f>'Data Sheet'!D74/'Data Sheet'!D$75</f>
        <v>9.1877179850843441E-2</v>
      </c>
      <c r="F42" s="5">
        <f>'Data Sheet'!E74/'Data Sheet'!E$75</f>
        <v>0.11019073835850315</v>
      </c>
      <c r="G42" s="5">
        <f>'Data Sheet'!F74/'Data Sheet'!F$75</f>
        <v>9.9500495127896882E-2</v>
      </c>
      <c r="H42" s="5">
        <f>'Data Sheet'!G74/'Data Sheet'!G$75</f>
        <v>6.4136617482044855E-2</v>
      </c>
      <c r="I42" s="5">
        <f>'Data Sheet'!H74/'Data Sheet'!H$75</f>
        <v>5.4530891492983499E-2</v>
      </c>
      <c r="J42" s="5">
        <f>'Data Sheet'!I74/'Data Sheet'!I$75</f>
        <v>8.9608376183124464E-2</v>
      </c>
      <c r="K42" s="5">
        <f>'Data Sheet'!J74/'Data Sheet'!J$75</f>
        <v>9.2668775928872266E-2</v>
      </c>
      <c r="L42" s="5">
        <f>'Data Sheet'!K74/'Data Sheet'!K$75</f>
        <v>4.9726131741220571E-2</v>
      </c>
    </row>
    <row r="43" spans="2:12" x14ac:dyDescent="0.25">
      <c r="B43" s="87" t="str">
        <f>'[1]data sheet'!A67</f>
        <v>Receivables</v>
      </c>
      <c r="C43" s="88">
        <f>'Data Sheet'!B67/'Data Sheet'!B$75</f>
        <v>4.3133280611905148E-2</v>
      </c>
      <c r="D43" s="88">
        <f>'Data Sheet'!C67/'Data Sheet'!C$75</f>
        <v>3.7117720469594787E-2</v>
      </c>
      <c r="E43" s="88">
        <f>'Data Sheet'!D67/'Data Sheet'!D$75</f>
        <v>4.4264120996838546E-2</v>
      </c>
      <c r="F43" s="88">
        <f>'Data Sheet'!E67/'Data Sheet'!E$75</f>
        <v>4.1753631021243798E-2</v>
      </c>
      <c r="G43" s="88">
        <f>'Data Sheet'!F67/'Data Sheet'!F$75</f>
        <v>5.6249428484128033E-2</v>
      </c>
      <c r="H43" s="88">
        <f>'Data Sheet'!G67/'Data Sheet'!G$75</f>
        <v>3.3145196495959491E-2</v>
      </c>
      <c r="I43" s="88">
        <f>'Data Sheet'!H67/'Data Sheet'!H$75</f>
        <v>3.3916407585822046E-2</v>
      </c>
      <c r="J43" s="88">
        <f>'Data Sheet'!I67/'Data Sheet'!I$75</f>
        <v>3.1891540522425897E-2</v>
      </c>
      <c r="K43" s="88">
        <f>'Data Sheet'!J67/'Data Sheet'!J$75</f>
        <v>3.4441767865581376E-2</v>
      </c>
      <c r="L43" s="88">
        <f>'Data Sheet'!K67/'Data Sheet'!K$75</f>
        <v>4.3876248624446425E-2</v>
      </c>
    </row>
    <row r="44" spans="2:12" x14ac:dyDescent="0.25">
      <c r="B44" s="87" t="str">
        <f>'[1]data sheet'!A68</f>
        <v>Inventory</v>
      </c>
      <c r="C44" s="88">
        <f>'Data Sheet'!B68/'Data Sheet'!B$75</f>
        <v>0.18686518300965657</v>
      </c>
      <c r="D44" s="88">
        <f>'Data Sheet'!C68/'Data Sheet'!C$75</f>
        <v>0.17544752953166365</v>
      </c>
      <c r="E44" s="88">
        <f>'Data Sheet'!D68/'Data Sheet'!D$75</f>
        <v>0.14519398794096139</v>
      </c>
      <c r="F44" s="88">
        <f>'Data Sheet'!E68/'Data Sheet'!E$75</f>
        <v>0.11667165829608811</v>
      </c>
      <c r="G44" s="88">
        <f>'Data Sheet'!F68/'Data Sheet'!F$75</f>
        <v>0.10955764113932945</v>
      </c>
      <c r="H44" s="88">
        <f>'Data Sheet'!G68/'Data Sheet'!G$75</f>
        <v>0.11485246230310792</v>
      </c>
      <c r="I44" s="88">
        <f>'Data Sheet'!H68/'Data Sheet'!H$75</f>
        <v>0.14095787516289146</v>
      </c>
      <c r="J44" s="88">
        <f>'Data Sheet'!I68/'Data Sheet'!I$75</f>
        <v>0.14073458709399783</v>
      </c>
      <c r="K44" s="88">
        <f>'Data Sheet'!J68/'Data Sheet'!J$75</f>
        <v>0.13714352024024898</v>
      </c>
      <c r="L44" s="88">
        <f>'Data Sheet'!K68/'Data Sheet'!K$75</f>
        <v>0.15424814860871955</v>
      </c>
    </row>
    <row r="45" spans="2:12" x14ac:dyDescent="0.25">
      <c r="B45" s="87" t="str">
        <f>'[1]data sheet'!A69</f>
        <v>Cash &amp; Bank</v>
      </c>
      <c r="C45" s="88">
        <f>'Data Sheet'!B69/'Data Sheet'!B$75</f>
        <v>0.17183544124745226</v>
      </c>
      <c r="D45" s="88">
        <f>'Data Sheet'!C69/'Data Sheet'!C$75</f>
        <v>0.1173890164321003</v>
      </c>
      <c r="E45" s="88">
        <f>'Data Sheet'!D69/'Data Sheet'!D$75</f>
        <v>5.3085674131172461E-2</v>
      </c>
      <c r="F45" s="88">
        <f>'Data Sheet'!E69/'Data Sheet'!E$75</f>
        <v>4.5136367994958973E-2</v>
      </c>
      <c r="G45" s="88">
        <f>'Data Sheet'!F69/'Data Sheet'!F$75</f>
        <v>5.7876854778095725E-2</v>
      </c>
      <c r="H45" s="88">
        <f>'Data Sheet'!G69/'Data Sheet'!G$75</f>
        <v>9.4131023175949013E-2</v>
      </c>
      <c r="I45" s="88">
        <f>'Data Sheet'!H69/'Data Sheet'!H$75</f>
        <v>6.3163937031017581E-2</v>
      </c>
      <c r="J45" s="88">
        <f>'Data Sheet'!I69/'Data Sheet'!I$75</f>
        <v>6.0293522904419167E-2</v>
      </c>
      <c r="K45" s="88">
        <f>'Data Sheet'!J69/'Data Sheet'!J$75</f>
        <v>5.6858154679849789E-2</v>
      </c>
      <c r="L45" s="88">
        <f>'Data Sheet'!K69/'Data Sheet'!K$75</f>
        <v>7.8663408242716892E-2</v>
      </c>
    </row>
    <row r="47" spans="2:12" x14ac:dyDescent="0.25"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</row>
  </sheetData>
  <mergeCells count="2">
    <mergeCell ref="B28:L28"/>
    <mergeCell ref="B8:L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F48F-AB4D-4AB9-8A4A-844AF1722E16}">
  <sheetPr>
    <tabColor theme="2" tint="-0.749992370372631"/>
    <pageSetUpPr fitToPage="1"/>
  </sheetPr>
  <dimension ref="B2:P55"/>
  <sheetViews>
    <sheetView showGridLines="0" workbookViewId="0">
      <pane ySplit="9" topLeftCell="A35" activePane="bottomLeft" state="frozen"/>
      <selection pane="bottomLeft" sqref="A1:P7"/>
    </sheetView>
  </sheetViews>
  <sheetFormatPr defaultRowHeight="15" x14ac:dyDescent="0.25"/>
  <cols>
    <col min="1" max="1" width="2.28515625" customWidth="1"/>
    <col min="2" max="2" width="13.28515625" customWidth="1"/>
    <col min="3" max="3" width="15.140625" customWidth="1"/>
    <col min="4" max="4" width="16.7109375" customWidth="1"/>
    <col min="5" max="5" width="16.140625" customWidth="1"/>
    <col min="6" max="6" width="16.7109375" customWidth="1"/>
    <col min="7" max="7" width="13.7109375" customWidth="1"/>
    <col min="8" max="8" width="14.7109375" customWidth="1"/>
    <col min="9" max="9" width="16.28515625" customWidth="1"/>
    <col min="10" max="10" width="16.7109375" customWidth="1"/>
    <col min="11" max="11" width="17.5703125" customWidth="1"/>
    <col min="12" max="12" width="16" customWidth="1"/>
    <col min="13" max="13" width="18" customWidth="1"/>
  </cols>
  <sheetData>
    <row r="2" spans="2:16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2:16" ht="33.75" x14ac:dyDescent="0.25">
      <c r="B3" s="114" t="s">
        <v>63</v>
      </c>
      <c r="D3" s="38"/>
      <c r="E3" s="38"/>
      <c r="F3" s="38"/>
      <c r="G3" s="38"/>
      <c r="H3" s="38"/>
      <c r="I3" s="38"/>
      <c r="J3" s="38"/>
      <c r="K3" s="38"/>
      <c r="L3" s="38"/>
    </row>
    <row r="4" spans="2:16" x14ac:dyDescent="0.25">
      <c r="B4" s="20" t="s">
        <v>200</v>
      </c>
      <c r="D4" s="38"/>
      <c r="E4" s="38"/>
      <c r="F4" s="38"/>
      <c r="G4" s="38"/>
      <c r="H4" s="38"/>
      <c r="I4" s="38"/>
      <c r="J4" s="38"/>
      <c r="K4" s="38"/>
      <c r="L4" s="38"/>
    </row>
    <row r="5" spans="2:16" ht="18.75" x14ac:dyDescent="0.3">
      <c r="B5" s="108" t="s">
        <v>201</v>
      </c>
      <c r="D5" s="38"/>
      <c r="E5" s="38"/>
      <c r="F5" s="38"/>
      <c r="G5" s="38"/>
      <c r="H5" s="38"/>
      <c r="I5" s="38"/>
      <c r="J5" s="38"/>
      <c r="K5" s="38"/>
      <c r="L5" s="38"/>
    </row>
    <row r="6" spans="2:16" x14ac:dyDescent="0.25">
      <c r="B6" s="20" t="s">
        <v>202</v>
      </c>
      <c r="D6" s="38"/>
      <c r="E6" s="38"/>
      <c r="F6" s="38"/>
      <c r="G6" s="38"/>
      <c r="H6" s="38"/>
      <c r="I6" s="38"/>
      <c r="J6" s="38"/>
      <c r="K6" s="38"/>
      <c r="L6" s="38"/>
    </row>
    <row r="8" spans="2:16" x14ac:dyDescent="0.25">
      <c r="B8" s="121" t="str">
        <f>"Ratio Analysis Of-"&amp;'Data Sheet'!B1</f>
        <v>Ratio Analysis Of-ITC LTD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</row>
    <row r="9" spans="2:16" x14ac:dyDescent="0.25">
      <c r="B9" s="122" t="s">
        <v>93</v>
      </c>
      <c r="C9" s="123">
        <f>'Data Sheet'!B16</f>
        <v>42094</v>
      </c>
      <c r="D9" s="123">
        <f>'Data Sheet'!C16</f>
        <v>42460</v>
      </c>
      <c r="E9" s="123">
        <f>'Data Sheet'!D16</f>
        <v>42825</v>
      </c>
      <c r="F9" s="123">
        <f>'Data Sheet'!E16</f>
        <v>43190</v>
      </c>
      <c r="G9" s="123">
        <f>'Data Sheet'!F16</f>
        <v>43555</v>
      </c>
      <c r="H9" s="123">
        <f>'Data Sheet'!G16</f>
        <v>43921</v>
      </c>
      <c r="I9" s="123">
        <f>'Data Sheet'!H16</f>
        <v>44286</v>
      </c>
      <c r="J9" s="123">
        <f>'Data Sheet'!I16</f>
        <v>44651</v>
      </c>
      <c r="K9" s="123">
        <f>'Data Sheet'!J16</f>
        <v>45016</v>
      </c>
      <c r="L9" s="123">
        <f>'Data Sheet'!K16</f>
        <v>45382</v>
      </c>
      <c r="M9" s="124" t="s">
        <v>190</v>
      </c>
      <c r="N9" s="125"/>
      <c r="O9" s="123" t="s">
        <v>188</v>
      </c>
      <c r="P9" s="123" t="s">
        <v>189</v>
      </c>
    </row>
    <row r="11" spans="2:16" x14ac:dyDescent="0.25">
      <c r="B11" s="59" t="s">
        <v>159</v>
      </c>
      <c r="C11" s="60"/>
      <c r="D11" s="60">
        <f>IFERROR('Historical FS'!E15,0)</f>
        <v>9.1230120355888067E-2</v>
      </c>
      <c r="E11" s="60">
        <f>IFERROR('Historical FS'!F15,0)</f>
        <v>1.5931218960147486E-2</v>
      </c>
      <c r="F11" s="60">
        <f>IFERROR('Historical FS'!G15,0)</f>
        <v>0.11256062863673999</v>
      </c>
      <c r="G11" s="60">
        <f>IFERROR('Historical FS'!H15,0)</f>
        <v>2.1682439110972673E-2</v>
      </c>
      <c r="H11" s="60">
        <f>IFERROR('Historical FS'!I15,0)</f>
        <v>-2.6372963308678443E-3</v>
      </c>
      <c r="I11" s="60">
        <f>IFERROR('Historical FS'!J15,0)</f>
        <v>0.23117497962237188</v>
      </c>
      <c r="J11" s="60">
        <f>IFERROR('Historical FS'!K15,0)</f>
        <v>0.1694215175842706</v>
      </c>
      <c r="K11" s="60">
        <f>IFERROR('Historical FS'!L15,0)</f>
        <v>-7.4465203486284715E-4</v>
      </c>
      <c r="L11" s="60">
        <f>IFERROR('Historical FS'!#REF!,0)</f>
        <v>0</v>
      </c>
      <c r="M11" s="63"/>
      <c r="N11" s="63"/>
      <c r="O11" s="63">
        <f>IFERROR(AVERAGE(D11:L11),0)</f>
        <v>7.0957661767184446E-2</v>
      </c>
      <c r="P11" s="63">
        <f>IFERROR(MEDIAN(C11:L11),0)</f>
        <v>2.1682439110972673E-2</v>
      </c>
    </row>
    <row r="12" spans="2:16" x14ac:dyDescent="0.25">
      <c r="B12" t="s">
        <v>160</v>
      </c>
      <c r="C12" s="5"/>
      <c r="D12" s="5">
        <f>IFERROR('Historical FS'!E26/'Historical FS'!D26-1,0)</f>
        <v>6.4550847848362514E-2</v>
      </c>
      <c r="E12" s="5">
        <f>IFERROR('Historical FS'!F26/'Historical FS'!E26-1,0)</f>
        <v>6.7945267820377131E-2</v>
      </c>
      <c r="F12" s="5">
        <f>IFERROR('Historical FS'!G26/'Historical FS'!F26-1,0)</f>
        <v>0.12207796452790087</v>
      </c>
      <c r="G12" s="5">
        <f>IFERROR('Historical FS'!H26/'Historical FS'!G26-1,0)</f>
        <v>4.34877833395102E-2</v>
      </c>
      <c r="H12" s="5">
        <f>IFERROR('Historical FS'!I26/'Historical FS'!H26-1,0)</f>
        <v>-0.11780470379258412</v>
      </c>
      <c r="I12" s="5">
        <f>IFERROR('Historical FS'!J26/'Historical FS'!I26-1,0)</f>
        <v>0.20852129356487437</v>
      </c>
      <c r="J12" s="5">
        <f>IFERROR('Historical FS'!K26/'Historical FS'!J26-1,0)</f>
        <v>0.24637894792987503</v>
      </c>
      <c r="K12" s="5">
        <f>IFERROR('Historical FS'!L26/'Historical FS'!K26-1,0)</f>
        <v>2.0553013391555019E-2</v>
      </c>
      <c r="L12" s="5">
        <f>IFERROR('Historical FS'!#REF!/'Historical FS'!L26-1,0)</f>
        <v>0</v>
      </c>
      <c r="O12">
        <f t="shared" ref="O12:O15" si="0">IFERROR(AVERAGE(D12:L12),0)</f>
        <v>7.285671273665234E-2</v>
      </c>
      <c r="P12">
        <f t="shared" ref="P12:P47" si="1">IFERROR(MEDIAN(C12:L12),0)</f>
        <v>6.4550847848362514E-2</v>
      </c>
    </row>
    <row r="13" spans="2:16" x14ac:dyDescent="0.25">
      <c r="B13" t="s">
        <v>161</v>
      </c>
      <c r="C13" s="5"/>
      <c r="D13" s="5">
        <f>IFERROR('Historical FS'!E35/'Historical FS'!D35-1,0)</f>
        <v>6.6666616826007274E-2</v>
      </c>
      <c r="E13" s="5">
        <f>IFERROR('Historical FS'!F35/'Historical FS'!E35-1,0)</f>
        <v>6.3192429888790924E-2</v>
      </c>
      <c r="F13" s="5">
        <f>IFERROR('Historical FS'!G35/'Historical FS'!F35-1,0)</f>
        <v>0.125258251863962</v>
      </c>
      <c r="G13" s="5">
        <f>IFERROR('Historical FS'!H35/'Historical FS'!G35-1,0)</f>
        <v>3.2096654945873881E-2</v>
      </c>
      <c r="H13" s="5">
        <f>IFERROR('Historical FS'!I35/'Historical FS'!H35-1,0)</f>
        <v>-0.12805801132412842</v>
      </c>
      <c r="I13" s="5">
        <f>IFERROR('Historical FS'!J35/'Historical FS'!I35-1,0)</f>
        <v>0.22586291974205142</v>
      </c>
      <c r="J13" s="5">
        <f>IFERROR('Historical FS'!K35/'Historical FS'!J35-1,0)</f>
        <v>0.26481844854825254</v>
      </c>
      <c r="K13" s="5">
        <f>IFERROR('Historical FS'!L35/'Historical FS'!K35-1,0)</f>
        <v>2.1775183604646919E-2</v>
      </c>
      <c r="L13" s="5">
        <f>IFERROR('Historical FS'!#REF!/'Historical FS'!L35-1,0)</f>
        <v>0</v>
      </c>
      <c r="O13">
        <f t="shared" si="0"/>
        <v>7.4623610455050726E-2</v>
      </c>
      <c r="P13">
        <f t="shared" si="1"/>
        <v>6.3192429888790924E-2</v>
      </c>
    </row>
    <row r="14" spans="2:16" x14ac:dyDescent="0.25">
      <c r="B14" t="s">
        <v>185</v>
      </c>
      <c r="C14" s="5"/>
      <c r="D14" s="5">
        <f>IFERROR('Historical FS'!E41/'Historical FS'!D41-1,0)</f>
        <v>8.7412303950609838E-2</v>
      </c>
      <c r="E14" s="5">
        <f>IFERROR('Historical FS'!F41/'Historical FS'!E41-1,0)</f>
        <v>6.127933383800177E-2</v>
      </c>
      <c r="F14" s="5">
        <f>IFERROR('Historical FS'!G41/'Historical FS'!F41-1,0)</f>
        <v>0.16239177682167782</v>
      </c>
      <c r="G14" s="5">
        <f>IFERROR('Historical FS'!H41/'Historical FS'!G41-1,0)</f>
        <v>0.22500199898470163</v>
      </c>
      <c r="H14" s="5">
        <f>IFERROR('Historical FS'!I41/'Historical FS'!H41-1,0)</f>
        <v>-0.17984419519318484</v>
      </c>
      <c r="I14" s="5">
        <f>IFERROR('Historical FS'!J41/'Historical FS'!I41-1,0)</f>
        <v>0.25795836175137099</v>
      </c>
      <c r="J14" s="5">
        <f>IFERROR('Historical FS'!K41/'Historical FS'!J41-1,0)</f>
        <v>0.27849303449244922</v>
      </c>
      <c r="K14" s="5">
        <f>IFERROR('Historical FS'!L41/'Historical FS'!K41-1,0)</f>
        <v>3.2712318488666181E-2</v>
      </c>
      <c r="L14" s="5">
        <f>IFERROR('Historical FS'!#REF!/'Historical FS'!L41-1,0)</f>
        <v>0</v>
      </c>
      <c r="O14">
        <f t="shared" si="0"/>
        <v>0.10282277034825474</v>
      </c>
      <c r="P14">
        <f t="shared" si="1"/>
        <v>8.7412303950609838E-2</v>
      </c>
    </row>
    <row r="15" spans="2:16" x14ac:dyDescent="0.25">
      <c r="B15" s="61" t="s">
        <v>186</v>
      </c>
      <c r="C15" s="62"/>
      <c r="D15" s="62">
        <f>IFERROR('Historical FS'!E49/'Historical FS'!D49-1,0)</f>
        <v>-0.16176397951050281</v>
      </c>
      <c r="E15" s="62">
        <f>IFERROR('Historical FS'!F49/'Historical FS'!E49-1,0)</f>
        <v>8.4208810537972134E-2</v>
      </c>
      <c r="F15" s="62">
        <f>IFERROR('Historical FS'!G49/'Historical FS'!F49-1,0)</f>
        <v>0.11650644574362401</v>
      </c>
      <c r="G15" s="62">
        <f>IFERROR('Historical FS'!H49/'Historical FS'!G49-1,0)</f>
        <v>0.76521571469920979</v>
      </c>
      <c r="H15" s="62">
        <f>IFERROR('Historical FS'!I49/'Historical FS'!H49-1,0)</f>
        <v>5.9113555156941944E-2</v>
      </c>
      <c r="I15" s="62">
        <f>IFERROR('Historical FS'!J49/'Historical FS'!I49-1,0)</f>
        <v>6.9767819288815591E-2</v>
      </c>
      <c r="J15" s="62">
        <f>IFERROR('Historical FS'!K49/'Historical FS'!J49-1,0)</f>
        <v>0.34782561142550716</v>
      </c>
      <c r="K15" s="62">
        <f>IFERROR('Historical FS'!L49/'Historical FS'!K49-1,0)</f>
        <v>-0.1129033549968389</v>
      </c>
      <c r="L15" s="62">
        <f>IFERROR('Historical FS'!#REF!/'Historical FS'!L49-1,0)</f>
        <v>0</v>
      </c>
      <c r="M15" s="65"/>
      <c r="N15" s="65"/>
      <c r="O15" s="65">
        <f t="shared" si="0"/>
        <v>0.12977451359385878</v>
      </c>
      <c r="P15" s="65">
        <f t="shared" si="1"/>
        <v>6.9767819288815591E-2</v>
      </c>
    </row>
    <row r="17" spans="2:16" x14ac:dyDescent="0.25">
      <c r="B17" s="63" t="s">
        <v>115</v>
      </c>
      <c r="C17" s="64">
        <f>IFERROR('Historical FS'!C21,0)</f>
        <v>0.4927917170632054</v>
      </c>
      <c r="D17" s="64">
        <f>IFERROR('Historical FS'!D21,0)</f>
        <v>0.51105095159483671</v>
      </c>
      <c r="E17" s="64">
        <f>IFERROR('Historical FS'!E21,0)</f>
        <v>0.48678158231932583</v>
      </c>
      <c r="F17" s="64">
        <f>IFERROR('Historical FS'!F21,0)</f>
        <v>0.49440653788101624</v>
      </c>
      <c r="G17" s="64">
        <f>IFERROR('Historical FS'!G21,0)</f>
        <v>0.49904508893126504</v>
      </c>
      <c r="H17" s="64">
        <f>IFERROR('Historical FS'!H21,0)</f>
        <v>0.50735911978083614</v>
      </c>
      <c r="I17" s="64">
        <f>IFERROR('Historical FS'!I21,0)</f>
        <v>0.45426509086442762</v>
      </c>
      <c r="J17" s="64">
        <f>IFERROR('Historical FS'!J21,0)</f>
        <v>0.43848102401304379</v>
      </c>
      <c r="K17" s="64">
        <f>IFERROR('Historical FS'!K21,0)</f>
        <v>0.45991745797989614</v>
      </c>
      <c r="L17" s="64">
        <f>IFERROR('Historical FS'!L21,0)</f>
        <v>0.4776710257722227</v>
      </c>
      <c r="M17" s="63"/>
      <c r="N17" s="63"/>
      <c r="O17" s="63">
        <f>IFERROR(AVERAGE(C17:L17),0)</f>
        <v>0.48217695962000756</v>
      </c>
      <c r="P17" s="63">
        <f t="shared" si="1"/>
        <v>0.48978664969126562</v>
      </c>
    </row>
    <row r="18" spans="2:16" x14ac:dyDescent="0.25">
      <c r="B18" t="s">
        <v>163</v>
      </c>
      <c r="C18" s="5">
        <f>IFERROR('Historical FS'!C27,0)</f>
        <v>0.36714751082962049</v>
      </c>
      <c r="D18" s="5">
        <f>IFERROR('Historical FS'!D27,0)</f>
        <v>0.37077599822413193</v>
      </c>
      <c r="E18" s="5">
        <f>IFERROR('Historical FS'!E27,0)</f>
        <v>0.36171096811605047</v>
      </c>
      <c r="F18" s="5">
        <f>IFERROR('Historical FS'!F27,0)</f>
        <v>0.38022998950031928</v>
      </c>
      <c r="G18" s="5">
        <f>IFERROR('Historical FS'!G27,0)</f>
        <v>0.38348264507056118</v>
      </c>
      <c r="H18" s="5">
        <f>IFERROR('Historical FS'!H27,0)</f>
        <v>0.39166715599228152</v>
      </c>
      <c r="I18" s="5">
        <f>IFERROR('Historical FS'!I27,0)</f>
        <v>0.3464405891900616</v>
      </c>
      <c r="J18" s="5">
        <f>IFERROR('Historical FS'!J27,0)</f>
        <v>0.34006606365552439</v>
      </c>
      <c r="K18" s="5">
        <f>IFERROR('Historical FS'!K27,0)</f>
        <v>0.36244517162741785</v>
      </c>
      <c r="L18" s="5">
        <f>IFERROR('Historical FS'!L27,0)</f>
        <v>0.37017016005651215</v>
      </c>
      <c r="O18">
        <f t="shared" ref="O18:O47" si="2">IFERROR(AVERAGE(C18:L18),0)</f>
        <v>0.3674136252262481</v>
      </c>
      <c r="P18">
        <f t="shared" si="1"/>
        <v>0.36865883544306632</v>
      </c>
    </row>
    <row r="19" spans="2:16" x14ac:dyDescent="0.25">
      <c r="B19" t="s">
        <v>164</v>
      </c>
      <c r="C19" s="5">
        <f>IFERROR(('Historical FS'!C26-'Historical FS'!C32)/'Historical FS'!C14,0)</f>
        <v>0.34066540176185017</v>
      </c>
      <c r="D19" s="5">
        <f>IFERROR(('Historical FS'!D26-'Historical FS'!D32)/'Historical FS'!D14,0)</f>
        <v>0.34328576422289186</v>
      </c>
      <c r="E19" s="5">
        <f>IFERROR(('Historical FS'!E26-'Historical FS'!E32)/'Historical FS'!E14,0)</f>
        <v>0.33475621732339439</v>
      </c>
      <c r="F19" s="5">
        <f>IFERROR(('Historical FS'!F26-'Historical FS'!F32)/'Historical FS'!F14,0)</f>
        <v>0.35177636094229231</v>
      </c>
      <c r="G19" s="5">
        <f>IFERROR(('Historical FS'!G26-'Historical FS'!G32)/'Historical FS'!G14,0)</f>
        <v>0.35459099975630731</v>
      </c>
      <c r="H19" s="5">
        <f>IFERROR(('Historical FS'!H26-'Historical FS'!H32)/'Historical FS'!H14,0)</f>
        <v>0.35836108990700116</v>
      </c>
      <c r="I19" s="5">
        <f>IFERROR(('Historical FS'!I26-'Historical FS'!I32)/'Historical FS'!I14,0)</f>
        <v>0.3130326478532689</v>
      </c>
      <c r="J19" s="5">
        <f>IFERROR(('Historical FS'!J26-'Historical FS'!J32)/'Historical FS'!J14,0)</f>
        <v>0.31149943589315698</v>
      </c>
      <c r="K19" s="5">
        <f>IFERROR(('Historical FS'!K26-'Historical FS'!K32)/'Historical FS'!K14,0)</f>
        <v>0.33693706752616326</v>
      </c>
      <c r="L19" s="5">
        <f>IFERROR(('Historical FS'!L26-'Historical FS'!L32)/'Historical FS'!L14,0)</f>
        <v>0.34453890725369585</v>
      </c>
      <c r="O19">
        <f t="shared" si="2"/>
        <v>0.33894438924400222</v>
      </c>
      <c r="P19">
        <f t="shared" si="1"/>
        <v>0.34197558299237102</v>
      </c>
    </row>
    <row r="20" spans="2:16" x14ac:dyDescent="0.25">
      <c r="B20" t="s">
        <v>165</v>
      </c>
      <c r="C20" s="5">
        <f>IFERROR('Historical FS'!C36,0)</f>
        <v>0.33832210762510911</v>
      </c>
      <c r="D20" s="5">
        <f>IFERROR('Historical FS'!D36,0)</f>
        <v>0.34129225022389714</v>
      </c>
      <c r="E20" s="5">
        <f>IFERROR('Historical FS'!E36,0)</f>
        <v>0.33360978871856267</v>
      </c>
      <c r="F20" s="5">
        <f>IFERROR('Historical FS'!F36,0)</f>
        <v>0.34912934584825317</v>
      </c>
      <c r="G20" s="5">
        <f>IFERROR('Historical FS'!G36,0)</f>
        <v>0.3531139492730388</v>
      </c>
      <c r="H20" s="5">
        <f>IFERROR('Historical FS'!H36,0)</f>
        <v>0.35671331120906624</v>
      </c>
      <c r="I20" s="5">
        <f>IFERROR('Historical FS'!I36,0)</f>
        <v>0.31185577004087706</v>
      </c>
      <c r="J20" s="5">
        <f>IFERROR('Historical FS'!J36,0)</f>
        <v>0.31051022895053687</v>
      </c>
      <c r="K20" s="5">
        <f>IFERROR('Historical FS'!K36,0)</f>
        <v>0.33584046482305235</v>
      </c>
      <c r="L20" s="5">
        <f>IFERROR('Historical FS'!L36,0)</f>
        <v>0.34340917294586903</v>
      </c>
      <c r="O20">
        <f t="shared" si="2"/>
        <v>0.33737963896582623</v>
      </c>
      <c r="P20">
        <f t="shared" si="1"/>
        <v>0.33980717892450313</v>
      </c>
    </row>
    <row r="21" spans="2:16" x14ac:dyDescent="0.25">
      <c r="B21" s="61" t="s">
        <v>162</v>
      </c>
      <c r="C21" s="62">
        <f>IFERROR('Historical FS'!C42,0)</f>
        <v>0.21991001400154322</v>
      </c>
      <c r="D21" s="62">
        <f>IFERROR('Historical FS'!D42,0)</f>
        <v>0.20457566703493815</v>
      </c>
      <c r="E21" s="62">
        <f>IFERROR('Historical FS'!E42,0)</f>
        <v>0.20385993134990041</v>
      </c>
      <c r="F21" s="62">
        <f>IFERROR('Historical FS'!F42,0)</f>
        <v>0.21295962571238797</v>
      </c>
      <c r="G21" s="62">
        <f>IFERROR('Historical FS'!G42,0)</f>
        <v>0.22249800267193054</v>
      </c>
      <c r="H21" s="62">
        <f>IFERROR('Historical FS'!H42,0)</f>
        <v>0.26677614061800814</v>
      </c>
      <c r="I21" s="62">
        <f>IFERROR('Historical FS'!I42,0)</f>
        <v>0.21937656131204519</v>
      </c>
      <c r="J21" s="62">
        <f>IFERROR('Historical FS'!J42,0)</f>
        <v>0.2241489505897809</v>
      </c>
      <c r="K21" s="62">
        <f>IFERROR('Historical FS'!K42,0)</f>
        <v>0.24505524116728605</v>
      </c>
      <c r="L21" s="62">
        <f>IFERROR('Historical FS'!L42,0)</f>
        <v>0.25326015695489335</v>
      </c>
      <c r="M21" s="61"/>
      <c r="N21" s="61"/>
      <c r="O21" s="61">
        <f t="shared" si="2"/>
        <v>0.2272420291412714</v>
      </c>
      <c r="P21" s="61">
        <f t="shared" si="1"/>
        <v>0.22120400833673687</v>
      </c>
    </row>
    <row r="23" spans="2:16" x14ac:dyDescent="0.25">
      <c r="B23" s="63" t="s">
        <v>166</v>
      </c>
      <c r="C23" s="64">
        <f>IFERROR('Historical FS'!C24,0)</f>
        <v>0.12564420623358488</v>
      </c>
      <c r="D23" s="64">
        <f>IFERROR('Historical FS'!D24,0)</f>
        <v>0.14027495337070481</v>
      </c>
      <c r="E23" s="64">
        <f>IFERROR('Historical FS'!E24,0)</f>
        <v>0.12507061420327537</v>
      </c>
      <c r="F23" s="64">
        <f>IFERROR('Historical FS'!F24,0)</f>
        <v>0.11417654838069698</v>
      </c>
      <c r="G23" s="64">
        <f>IFERROR('Historical FS'!G24,0)</f>
        <v>0.11556244386070379</v>
      </c>
      <c r="H23" s="64">
        <f>IFERROR('Historical FS'!H24,0)</f>
        <v>0.11569196378855465</v>
      </c>
      <c r="I23" s="64">
        <f>IFERROR('Historical FS'!I24,0)</f>
        <v>0.10782450167436604</v>
      </c>
      <c r="J23" s="64">
        <f>IFERROR('Historical FS'!J24,0)</f>
        <v>9.8414960357519399E-2</v>
      </c>
      <c r="K23" s="64">
        <f>IFERROR('Historical FS'!K24,0)</f>
        <v>9.7472286352478302E-2</v>
      </c>
      <c r="L23" s="64">
        <f>IFERROR('Historical FS'!L24,0)</f>
        <v>0.10750086571571053</v>
      </c>
      <c r="M23" s="59"/>
      <c r="N23" s="59"/>
      <c r="O23" s="59">
        <f t="shared" si="2"/>
        <v>0.11476333439375949</v>
      </c>
      <c r="P23" s="59">
        <f t="shared" si="1"/>
        <v>0.11486949612070038</v>
      </c>
    </row>
    <row r="24" spans="2:16" x14ac:dyDescent="0.25">
      <c r="B24" t="s">
        <v>167</v>
      </c>
      <c r="C24" s="5">
        <f>IFERROR('Historical FS'!C33,0)</f>
        <v>2.6482109067770303E-2</v>
      </c>
      <c r="D24" s="5">
        <f>IFERROR('Historical FS'!D33,0)</f>
        <v>2.7490234001240049E-2</v>
      </c>
      <c r="E24" s="5">
        <f>IFERROR('Historical FS'!E33,0)</f>
        <v>2.6954750792656124E-2</v>
      </c>
      <c r="F24" s="5">
        <f>IFERROR('Historical FS'!F33,0)</f>
        <v>2.845362855802696E-2</v>
      </c>
      <c r="G24" s="5">
        <f>IFERROR('Historical FS'!G33,0)</f>
        <v>2.8891645314253867E-2</v>
      </c>
      <c r="H24" s="5">
        <f>IFERROR('Historical FS'!H33,0)</f>
        <v>3.3306066085280348E-2</v>
      </c>
      <c r="I24" s="5">
        <f>IFERROR('Historical FS'!I33,0)</f>
        <v>3.3407941336792708E-2</v>
      </c>
      <c r="J24" s="5">
        <f>IFERROR('Historical FS'!J33,0)</f>
        <v>2.8566627762367396E-2</v>
      </c>
      <c r="K24" s="5">
        <f>IFERROR('Historical FS'!K33,0)</f>
        <v>2.550810410125463E-2</v>
      </c>
      <c r="L24" s="5">
        <f>IFERROR('Historical FS'!L33,0)</f>
        <v>2.5631252802816348E-2</v>
      </c>
      <c r="O24">
        <f t="shared" si="2"/>
        <v>2.8469235982245877E-2</v>
      </c>
      <c r="P24">
        <f t="shared" si="1"/>
        <v>2.7971931279633502E-2</v>
      </c>
    </row>
    <row r="25" spans="2:16" x14ac:dyDescent="0.25">
      <c r="B25" s="61" t="s">
        <v>168</v>
      </c>
      <c r="C25" s="62">
        <f>C19</f>
        <v>0.34066540176185017</v>
      </c>
      <c r="D25" s="62">
        <f t="shared" ref="D25:L25" si="3">D19</f>
        <v>0.34328576422289186</v>
      </c>
      <c r="E25" s="62">
        <f t="shared" si="3"/>
        <v>0.33475621732339439</v>
      </c>
      <c r="F25" s="62">
        <f t="shared" si="3"/>
        <v>0.35177636094229231</v>
      </c>
      <c r="G25" s="62">
        <f t="shared" si="3"/>
        <v>0.35459099975630731</v>
      </c>
      <c r="H25" s="62">
        <f t="shared" si="3"/>
        <v>0.35836108990700116</v>
      </c>
      <c r="I25" s="62">
        <f t="shared" si="3"/>
        <v>0.3130326478532689</v>
      </c>
      <c r="J25" s="62">
        <f t="shared" si="3"/>
        <v>0.31149943589315698</v>
      </c>
      <c r="K25" s="62">
        <f t="shared" si="3"/>
        <v>0.33693706752616326</v>
      </c>
      <c r="L25" s="62">
        <f t="shared" si="3"/>
        <v>0.34453890725369585</v>
      </c>
      <c r="M25" s="61"/>
      <c r="N25" s="61"/>
      <c r="O25" s="61">
        <f t="shared" si="2"/>
        <v>0.33894438924400222</v>
      </c>
      <c r="P25" s="61">
        <f t="shared" si="1"/>
        <v>0.34197558299237102</v>
      </c>
    </row>
    <row r="27" spans="2:16" x14ac:dyDescent="0.25">
      <c r="B27" s="63" t="s">
        <v>169</v>
      </c>
      <c r="C27" s="64">
        <f>IFERROR(('Historical FS'!C26-'Historical FS'!C32)/(SUM('Historical FS'!C55:C57)),0)</f>
        <v>0.41318398252234323</v>
      </c>
      <c r="D27" s="64">
        <f>IFERROR(('Historical FS'!D26-'Historical FS'!D32)/(SUM('Historical FS'!D55:D57)),0)</f>
        <v>0.31461767450126626</v>
      </c>
      <c r="E27" s="64">
        <f>IFERROR(('Historical FS'!E26-'Historical FS'!E32)/(SUM('Historical FS'!E55:E57)),0)</f>
        <v>0.30816048249357225</v>
      </c>
      <c r="F27" s="64">
        <f>IFERROR(('Historical FS'!F26-'Historical FS'!F32)/(SUM('Historical FS'!F55:F57)),0)</f>
        <v>0.29087468644158282</v>
      </c>
      <c r="G27" s="64">
        <f>IFERROR(('Historical FS'!G26-'Historical FS'!G32)/(SUM('Historical FS'!G55:G57)),0)</f>
        <v>0.28976383969316855</v>
      </c>
      <c r="H27" s="64">
        <f>IFERROR(('Historical FS'!H26-'Historical FS'!H32)/(SUM('Historical FS'!H55:H57)),0)</f>
        <v>0.26999905874398611</v>
      </c>
      <c r="I27" s="64">
        <f>IFERROR(('Historical FS'!I26-'Historical FS'!I32)/(SUM('Historical FS'!I55:I57)),0)</f>
        <v>0.25436581143904541</v>
      </c>
      <c r="J27" s="64">
        <f>IFERROR(('Historical FS'!J26-'Historical FS'!J32)/(SUM('Historical FS'!J55:J57)),0)</f>
        <v>0.30126364703553982</v>
      </c>
      <c r="K27" s="64">
        <f>IFERROR(('Historical FS'!K26-'Historical FS'!K32)/(SUM('Historical FS'!K55:K57)),0)</f>
        <v>0.34400810235339674</v>
      </c>
      <c r="L27" s="64">
        <f>IFERROR(('Historical FS'!L26-'Historical FS'!L32)/(SUM('Historical FS'!L55:L57)),0)</f>
        <v>0.32637387594216483</v>
      </c>
      <c r="M27" s="63"/>
      <c r="N27" s="63"/>
      <c r="O27" s="63">
        <f t="shared" si="2"/>
        <v>0.31126111611660662</v>
      </c>
      <c r="P27" s="63">
        <f t="shared" si="1"/>
        <v>0.30471206476455603</v>
      </c>
    </row>
    <row r="28" spans="2:16" x14ac:dyDescent="0.25">
      <c r="B28" t="s">
        <v>170</v>
      </c>
      <c r="C28" s="5">
        <f>IFERROR('Historical FS'!C52,0)</f>
        <v>0.41312960680764954</v>
      </c>
      <c r="D28" s="5">
        <f>IFERROR('Historical FS'!D52,0)</f>
        <v>0.14687786473761333</v>
      </c>
      <c r="E28" s="5">
        <f>IFERROR('Historical FS'!E52,0)</f>
        <v>0.33819420549170731</v>
      </c>
      <c r="F28" s="5">
        <f>IFERROR('Historical FS'!F52,0)</f>
        <v>0.32072859556008038</v>
      </c>
      <c r="G28" s="5">
        <f>IFERROR('Historical FS'!G52,0)</f>
        <v>0.34463983874236903</v>
      </c>
      <c r="H28" s="5">
        <f>IFERROR('Historical FS'!H52,0)</f>
        <v>5.3044068290594826E-2</v>
      </c>
      <c r="I28" s="5">
        <f>IFERROR('Historical FS'!I52,0)</f>
        <v>0</v>
      </c>
      <c r="J28" s="5">
        <f>IFERROR('Historical FS'!J52,0)</f>
        <v>0</v>
      </c>
      <c r="K28" s="5">
        <f>IFERROR('Historical FS'!K52,0)</f>
        <v>0</v>
      </c>
      <c r="L28" s="5">
        <f>IFERROR('Historical FS'!L52,0)</f>
        <v>4.3522835099308876E-2</v>
      </c>
      <c r="O28">
        <f t="shared" si="2"/>
        <v>0.16601370147293232</v>
      </c>
      <c r="P28">
        <f t="shared" si="1"/>
        <v>9.9960966514104077E-2</v>
      </c>
    </row>
    <row r="29" spans="2:16" x14ac:dyDescent="0.25">
      <c r="B29" t="s">
        <v>171</v>
      </c>
      <c r="C29" s="5">
        <f>IFERROR('Historical FS'!C41/SUM('Historical FS'!C55:C56),0)</f>
        <v>0.26898213955417122</v>
      </c>
      <c r="D29" s="5">
        <f>IFERROR('Historical FS'!D41/SUM('Historical FS'!D55:D56),0)</f>
        <v>0.1878594229738291</v>
      </c>
      <c r="E29" s="5">
        <f>IFERROR('Historical FS'!E41/SUM('Historical FS'!E55:E56),0)</f>
        <v>0.18784851548911047</v>
      </c>
      <c r="F29" s="5">
        <f>IFERROR('Historical FS'!F41/SUM('Historical FS'!F55:F56),0)</f>
        <v>0.17621120961277748</v>
      </c>
      <c r="G29" s="5">
        <f>IFERROR('Historical FS'!G41/SUM('Historical FS'!G55:G56),0)</f>
        <v>0.18186171424262107</v>
      </c>
      <c r="H29" s="5">
        <f>IFERROR('Historical FS'!H41/SUM('Historical FS'!H55:H56),0)</f>
        <v>0.2018508038360578</v>
      </c>
      <c r="I29" s="5">
        <f>IFERROR('Historical FS'!I41/SUM('Historical FS'!I55:I56),0)</f>
        <v>0.17906224201431251</v>
      </c>
      <c r="J29" s="5">
        <f>IFERROR('Historical FS'!J41/SUM('Historical FS'!J55:J56),0)</f>
        <v>0.21764928252195909</v>
      </c>
      <c r="K29" s="5">
        <f>IFERROR('Historical FS'!K41/SUM('Historical FS'!K55:K56),0)</f>
        <v>0.25130525140097792</v>
      </c>
      <c r="L29" s="5">
        <f>IFERROR('Historical FS'!L41/SUM('Historical FS'!L55:L56),0)</f>
        <v>0.24088461486840168</v>
      </c>
      <c r="O29">
        <f t="shared" si="2"/>
        <v>0.20935151965142182</v>
      </c>
      <c r="P29">
        <f t="shared" si="1"/>
        <v>0.19485511340494344</v>
      </c>
    </row>
    <row r="30" spans="2:16" x14ac:dyDescent="0.25">
      <c r="B30" t="s">
        <v>172</v>
      </c>
      <c r="C30" s="5">
        <f>IFERROR(C29*C28,0)</f>
        <v>0.11112448555229507</v>
      </c>
      <c r="D30" s="5">
        <f t="shared" ref="D30:L30" si="4">IFERROR(D29*D28,0)</f>
        <v>2.759239091723616E-2</v>
      </c>
      <c r="E30" s="5">
        <f t="shared" si="4"/>
        <v>6.3529279448636386E-2</v>
      </c>
      <c r="F30" s="5">
        <f t="shared" si="4"/>
        <v>5.6515973781049056E-2</v>
      </c>
      <c r="G30" s="5">
        <f t="shared" si="4"/>
        <v>6.2676791869987716E-2</v>
      </c>
      <c r="H30" s="5">
        <f t="shared" si="4"/>
        <v>1.070698782319131E-2</v>
      </c>
      <c r="I30" s="5">
        <f t="shared" si="4"/>
        <v>0</v>
      </c>
      <c r="J30" s="5">
        <f t="shared" si="4"/>
        <v>0</v>
      </c>
      <c r="K30" s="5">
        <f t="shared" si="4"/>
        <v>0</v>
      </c>
      <c r="L30" s="5">
        <f t="shared" si="4"/>
        <v>1.0483981370877974E-2</v>
      </c>
      <c r="O30">
        <f t="shared" si="2"/>
        <v>3.4262989076327369E-2</v>
      </c>
      <c r="P30">
        <f t="shared" si="1"/>
        <v>1.9149689370213732E-2</v>
      </c>
    </row>
    <row r="31" spans="2:16" x14ac:dyDescent="0.25">
      <c r="B31" s="65" t="s">
        <v>173</v>
      </c>
      <c r="C31" s="66">
        <f>IFERROR(('Historical FS'!C26-'Historical FS'!C32)/'Historical FS'!C29,0)</f>
        <v>145.37884784520674</v>
      </c>
      <c r="D31" s="66">
        <f>IFERROR(('Historical FS'!D26-'Historical FS'!D32)/'Historical FS'!D29,0)</f>
        <v>172.20133111480865</v>
      </c>
      <c r="E31" s="66">
        <f>IFERROR(('Historical FS'!E26-'Historical FS'!E32)/'Historical FS'!E29,0)</f>
        <v>291.99918417295532</v>
      </c>
      <c r="F31" s="66">
        <f>IFERROR(('Historical FS'!F26-'Historical FS'!F32)/'Historical FS'!F29,0)</f>
        <v>132.8954873489262</v>
      </c>
      <c r="G31" s="66">
        <f>IFERROR(('Historical FS'!G26-'Historical FS'!G32)/'Historical FS'!G29,0)</f>
        <v>240.06694677871144</v>
      </c>
      <c r="H31" s="66">
        <f>IFERROR(('Historical FS'!H26-'Historical FS'!H32)/'Historical FS'!H29,0)</f>
        <v>217.48132219218485</v>
      </c>
      <c r="I31" s="66">
        <f>IFERROR(('Historical FS'!I26-'Historical FS'!I32)/'Historical FS'!I29,0)</f>
        <v>265.98568224943932</v>
      </c>
      <c r="J31" s="66">
        <f>IFERROR(('Historical FS'!J26-'Historical FS'!J32)/'Historical FS'!J29,0)</f>
        <v>314.89814969161517</v>
      </c>
      <c r="K31" s="66">
        <f>IFERROR(('Historical FS'!K26-'Historical FS'!K32)/'Historical FS'!K29,0)</f>
        <v>307.25536839398222</v>
      </c>
      <c r="L31" s="66">
        <f>IFERROR(('Historical FS'!L26-'Historical FS'!L32)/'Historical FS'!L29,0)</f>
        <v>304.97339495378475</v>
      </c>
      <c r="M31" s="65"/>
      <c r="N31" s="65"/>
      <c r="O31" s="66">
        <f t="shared" si="2"/>
        <v>239.31357147416148</v>
      </c>
      <c r="P31" s="66">
        <f t="shared" si="1"/>
        <v>253.02631451407538</v>
      </c>
    </row>
    <row r="33" spans="2:16" x14ac:dyDescent="0.25">
      <c r="B33" s="63" t="s">
        <v>174</v>
      </c>
      <c r="C33" s="67">
        <f>IFERROR('Historical FS'!C14/'Historical FS'!C67,0)</f>
        <v>19.584146876750065</v>
      </c>
      <c r="D33" s="67">
        <f>IFERROR('Historical FS'!D14/'Historical FS'!D67,0)</f>
        <v>20.442577118476095</v>
      </c>
      <c r="E33" s="67">
        <f>IFERROR('Historical FS'!E14/'Historical FS'!E67,0)</f>
        <v>17.28479685081377</v>
      </c>
      <c r="F33" s="67">
        <f>IFERROR('Historical FS'!F14/'Historical FS'!F67,0)</f>
        <v>16.198449832046499</v>
      </c>
      <c r="G33" s="67">
        <f>IFERROR('Historical FS'!G14/'Historical FS'!G67,0)</f>
        <v>11.97923811978351</v>
      </c>
      <c r="H33" s="67">
        <f>IFERROR('Historical FS'!H14/'Historical FS'!H67,0)</f>
        <v>19.273399207018201</v>
      </c>
      <c r="I33" s="67">
        <f>IFERROR('Historical FS'!I14/'Historical FS'!I67,0)</f>
        <v>19.689591078066915</v>
      </c>
      <c r="J33" s="67">
        <f>IFERROR('Historical FS'!J14/'Historical FS'!J67,0)</f>
        <v>24.633226369876922</v>
      </c>
      <c r="K33" s="67">
        <f>IFERROR('Historical FS'!K14/'Historical FS'!K67,0)</f>
        <v>23.990173095593285</v>
      </c>
      <c r="L33" s="67">
        <f>IFERROR('Historical FS'!L14/'Historical FS'!L67,0)</f>
        <v>17.602928099120177</v>
      </c>
      <c r="M33" s="63"/>
      <c r="N33" s="63"/>
      <c r="O33" s="67">
        <f t="shared" si="2"/>
        <v>19.067852664754543</v>
      </c>
      <c r="P33" s="67">
        <f t="shared" si="1"/>
        <v>19.428773041884135</v>
      </c>
    </row>
    <row r="34" spans="2:16" x14ac:dyDescent="0.25">
      <c r="B34" t="s">
        <v>175</v>
      </c>
      <c r="C34" s="58">
        <f>IFERROR('Historical FS'!C14/'Historical FS'!C58,0)</f>
        <v>2.7830043597867209</v>
      </c>
      <c r="D34" s="58">
        <f>IFERROR('Historical FS'!D14/'Historical FS'!D58,0)</f>
        <v>4.4095323603404122</v>
      </c>
      <c r="E34" s="58">
        <f>IFERROR('Historical FS'!E14/'Historical FS'!E58,0)</f>
        <v>4.5306244815761563</v>
      </c>
      <c r="F34" s="58">
        <f>IFERROR('Historical FS'!F14/'Historical FS'!F58,0)</f>
        <v>3.7152199472417347</v>
      </c>
      <c r="G34" s="58">
        <f>IFERROR('Historical FS'!G14/'Historical FS'!G58,0)</f>
        <v>3.8411296865328062</v>
      </c>
      <c r="H34" s="58">
        <f>IFERROR('Historical FS'!H14/'Historical FS'!H58,0)</f>
        <v>4.1996200693194918</v>
      </c>
      <c r="I34" s="58">
        <f>IFERROR('Historical FS'!I14/'Historical FS'!I58,0)</f>
        <v>3.7479256371841467</v>
      </c>
      <c r="J34" s="58">
        <f>IFERROR('Historical FS'!J14/'Historical FS'!J58,0)</f>
        <v>4.1849767545533405</v>
      </c>
      <c r="K34" s="58">
        <f>IFERROR('Historical FS'!K14/'Historical FS'!K58,0)</f>
        <v>4.3323459375454343</v>
      </c>
      <c r="L34" s="58">
        <f>IFERROR('Historical FS'!L14/'Historical FS'!L58,0)</f>
        <v>4.1824919703910748</v>
      </c>
      <c r="O34" s="58">
        <f t="shared" si="2"/>
        <v>3.9926871204471319</v>
      </c>
      <c r="P34" s="58">
        <f t="shared" si="1"/>
        <v>4.1837343624722081</v>
      </c>
    </row>
    <row r="35" spans="2:16" x14ac:dyDescent="0.25">
      <c r="B35" t="s">
        <v>176</v>
      </c>
      <c r="C35" s="58">
        <f>IFERROR('Historical FS'!C14/'Historical FS'!C68,0)</f>
        <v>4.5205237764167849</v>
      </c>
      <c r="D35" s="58">
        <f>IFERROR('Historical FS'!D14/'Historical FS'!D68,0)</f>
        <v>4.3248364065724276</v>
      </c>
      <c r="E35" s="58">
        <f>IFERROR('Historical FS'!E14/'Historical FS'!E68,0)</f>
        <v>5.2694767191138601</v>
      </c>
      <c r="F35" s="58">
        <f>IFERROR('Historical FS'!F14/'Historical FS'!F68,0)</f>
        <v>5.7969870942176813</v>
      </c>
      <c r="G35" s="58">
        <f>IFERROR('Historical FS'!G14/'Historical FS'!G68,0)</f>
        <v>6.1504180895622653</v>
      </c>
      <c r="H35" s="58">
        <f>IFERROR('Historical FS'!H14/'Historical FS'!H68,0)</f>
        <v>5.5620975906965953</v>
      </c>
      <c r="I35" s="58">
        <f>IFERROR('Historical FS'!I14/'Historical FS'!I68,0)</f>
        <v>4.7375869949101483</v>
      </c>
      <c r="J35" s="58">
        <f>IFERROR('Historical FS'!J14/'Historical FS'!J68,0)</f>
        <v>5.5820786715941884</v>
      </c>
      <c r="K35" s="58">
        <f>IFERROR('Historical FS'!K14/'Historical FS'!K68,0)</f>
        <v>6.0248123379514</v>
      </c>
      <c r="L35" s="58">
        <f>IFERROR('Historical FS'!L14/'Historical FS'!L68,0)</f>
        <v>5.0071942954366886</v>
      </c>
      <c r="O35" s="58">
        <f t="shared" si="2"/>
        <v>5.2976011976472046</v>
      </c>
      <c r="P35" s="58">
        <f t="shared" si="1"/>
        <v>5.4157871549052281</v>
      </c>
    </row>
    <row r="36" spans="2:16" x14ac:dyDescent="0.25">
      <c r="B36" t="s">
        <v>177</v>
      </c>
      <c r="C36" s="58">
        <f>IFERROR('Historical FS'!C14/'Historical FS'!C61,0)</f>
        <v>2.5365248495747319</v>
      </c>
      <c r="D36" s="58">
        <f>IFERROR('Historical FS'!D14/'Historical FS'!D61,0)</f>
        <v>2.594364196382648</v>
      </c>
      <c r="E36" s="58">
        <f>IFERROR('Historical FS'!E14/'Historical FS'!E61,0)</f>
        <v>2.6908895974953251</v>
      </c>
      <c r="F36" s="58">
        <f>IFERROR('Historical FS'!F14/'Historical FS'!F61,0)</f>
        <v>2.6294508096122238</v>
      </c>
      <c r="G36" s="58">
        <f>IFERROR('Historical FS'!G14/'Historical FS'!G61,0)</f>
        <v>2.4950503737188501</v>
      </c>
      <c r="H36" s="58">
        <f>IFERROR('Historical FS'!H14/'Historical FS'!H61,0)</f>
        <v>2.2745326145125531</v>
      </c>
      <c r="I36" s="58">
        <f>IFERROR('Historical FS'!I14/'Historical FS'!I61,0)</f>
        <v>2.1141915695787881</v>
      </c>
      <c r="J36" s="58">
        <f>IFERROR('Historical FS'!J14/'Historical FS'!J61,0)</f>
        <v>2.5027057654904197</v>
      </c>
      <c r="K36" s="58">
        <f>IFERROR('Historical FS'!K14/'Historical FS'!K61,0)</f>
        <v>2.7433480057266046</v>
      </c>
      <c r="L36" s="58">
        <f>IFERROR('Historical FS'!L14/'Historical FS'!L61,0)</f>
        <v>2.5472918618184903</v>
      </c>
      <c r="O36" s="58">
        <f t="shared" si="2"/>
        <v>2.5128349643910637</v>
      </c>
      <c r="P36" s="58">
        <f t="shared" si="1"/>
        <v>2.5419083556966111</v>
      </c>
    </row>
    <row r="37" spans="2:16" x14ac:dyDescent="0.25">
      <c r="B37" s="65" t="s">
        <v>178</v>
      </c>
      <c r="C37" s="66">
        <f>IFERROR('Historical FS'!C14/SUM('Historical FS'!C55:C56),0)</f>
        <v>1.2231463891056986</v>
      </c>
      <c r="D37" s="66">
        <f>IFERROR('Historical FS'!D14/SUM('Historical FS'!D55:D56),0)</f>
        <v>0.91828820942691003</v>
      </c>
      <c r="E37" s="66">
        <f>IFERROR('Historical FS'!E14/SUM('Historical FS'!E55:E56),0)</f>
        <v>0.92145874005368755</v>
      </c>
      <c r="F37" s="66">
        <f>IFERROR('Historical FS'!F14/SUM('Historical FS'!F55:F56),0)</f>
        <v>0.82743951593321752</v>
      </c>
      <c r="G37" s="66">
        <f>IFERROR('Historical FS'!G14/SUM('Historical FS'!G55:G56),0)</f>
        <v>0.81736335633885671</v>
      </c>
      <c r="H37" s="66">
        <f>IFERROR('Historical FS'!H14/SUM('Historical FS'!H55:H56),0)</f>
        <v>0.75662989714317919</v>
      </c>
      <c r="I37" s="66">
        <f>IFERROR('Historical FS'!I14/SUM('Historical FS'!I55:I56),0)</f>
        <v>0.81623233103563475</v>
      </c>
      <c r="J37" s="66">
        <f>IFERROR('Historical FS'!J14/SUM('Historical FS'!J55:J56),0)</f>
        <v>0.97100290654620558</v>
      </c>
      <c r="K37" s="66">
        <f>IFERROR('Historical FS'!K14/SUM('Historical FS'!K55:K56),0)</f>
        <v>1.0255044952473606</v>
      </c>
      <c r="L37" s="66">
        <f>IFERROR('Historical FS'!L14/SUM('Historical FS'!L55:L56),0)</f>
        <v>0.95113506113519541</v>
      </c>
      <c r="M37" s="65"/>
      <c r="N37" s="65"/>
      <c r="O37" s="66">
        <f t="shared" si="2"/>
        <v>0.92282009019659461</v>
      </c>
      <c r="P37" s="66">
        <f t="shared" si="1"/>
        <v>0.91987347474029879</v>
      </c>
    </row>
    <row r="38" spans="2:16" x14ac:dyDescent="0.25">
      <c r="C38" s="58"/>
      <c r="D38" s="58"/>
      <c r="E38" s="58"/>
      <c r="F38" s="58"/>
      <c r="G38" s="58"/>
      <c r="H38" s="58"/>
      <c r="I38" s="58"/>
      <c r="J38" s="58"/>
      <c r="K38" s="58"/>
      <c r="L38" s="58"/>
    </row>
    <row r="39" spans="2:16" x14ac:dyDescent="0.25">
      <c r="B39" s="68" t="s">
        <v>187</v>
      </c>
      <c r="C39" s="59"/>
      <c r="D39" s="60"/>
      <c r="E39" s="60"/>
      <c r="F39" s="60"/>
      <c r="G39" s="60"/>
      <c r="H39" s="60"/>
      <c r="I39" s="60"/>
      <c r="J39" s="60"/>
      <c r="K39" s="60"/>
      <c r="L39" s="60"/>
      <c r="M39" s="63"/>
      <c r="N39" s="63"/>
      <c r="O39" s="63"/>
      <c r="P39" s="63"/>
    </row>
    <row r="40" spans="2:16" x14ac:dyDescent="0.25">
      <c r="B40" t="s">
        <v>46</v>
      </c>
      <c r="C40" s="69">
        <f>IFERROR(365/C33,0)</f>
        <v>18.637523620358525</v>
      </c>
      <c r="D40" s="69">
        <f t="shared" ref="D40:L40" si="5">IFERROR(365/D33,0)</f>
        <v>17.854891674597688</v>
      </c>
      <c r="E40" s="69">
        <f t="shared" si="5"/>
        <v>21.116823249375695</v>
      </c>
      <c r="F40" s="69">
        <f t="shared" si="5"/>
        <v>22.533020368275956</v>
      </c>
      <c r="G40" s="69">
        <f t="shared" si="5"/>
        <v>30.469383474163408</v>
      </c>
      <c r="H40" s="69">
        <f t="shared" si="5"/>
        <v>18.9380189804344</v>
      </c>
      <c r="I40" s="69">
        <f t="shared" si="5"/>
        <v>18.537713584442557</v>
      </c>
      <c r="J40" s="69">
        <f t="shared" si="5"/>
        <v>14.817385044061677</v>
      </c>
      <c r="K40" s="69">
        <f t="shared" si="5"/>
        <v>15.214563002342249</v>
      </c>
      <c r="L40" s="69">
        <f t="shared" si="5"/>
        <v>20.735186665804953</v>
      </c>
      <c r="O40" s="71">
        <f t="shared" si="2"/>
        <v>19.885450966385712</v>
      </c>
      <c r="P40" s="71">
        <f t="shared" si="1"/>
        <v>18.787771300396464</v>
      </c>
    </row>
    <row r="41" spans="2:16" x14ac:dyDescent="0.25">
      <c r="B41" t="s">
        <v>179</v>
      </c>
      <c r="C41" s="69">
        <f>IFERROR(365/C34,0)</f>
        <v>131.15322608692293</v>
      </c>
      <c r="D41" s="69">
        <f t="shared" ref="D41:L41" si="6">IFERROR(365/D34,0)</f>
        <v>82.775217454538037</v>
      </c>
      <c r="E41" s="69">
        <f t="shared" si="6"/>
        <v>80.562845471805772</v>
      </c>
      <c r="F41" s="69">
        <f t="shared" si="6"/>
        <v>98.244519889322959</v>
      </c>
      <c r="G41" s="69">
        <f t="shared" si="6"/>
        <v>95.024128260940614</v>
      </c>
      <c r="H41" s="69">
        <f t="shared" si="6"/>
        <v>86.912623993423466</v>
      </c>
      <c r="I41" s="69">
        <f t="shared" si="6"/>
        <v>97.387204372130526</v>
      </c>
      <c r="J41" s="69">
        <f t="shared" si="6"/>
        <v>87.216732949083294</v>
      </c>
      <c r="K41" s="69">
        <f t="shared" si="6"/>
        <v>84.249966475852816</v>
      </c>
      <c r="L41" s="69">
        <f t="shared" si="6"/>
        <v>87.268547694515107</v>
      </c>
      <c r="O41" s="71">
        <f t="shared" si="2"/>
        <v>93.079501264853562</v>
      </c>
      <c r="P41" s="71">
        <f t="shared" si="1"/>
        <v>87.2426403217992</v>
      </c>
    </row>
    <row r="42" spans="2:16" x14ac:dyDescent="0.25">
      <c r="B42" t="s">
        <v>180</v>
      </c>
      <c r="C42" s="69">
        <f>IFERROR(365/C35,0)</f>
        <v>80.742855928371867</v>
      </c>
      <c r="D42" s="69">
        <f t="shared" ref="D42:L42" si="7">IFERROR(365/D35,0)</f>
        <v>84.39625587809789</v>
      </c>
      <c r="E42" s="69">
        <f t="shared" si="7"/>
        <v>69.266839850728118</v>
      </c>
      <c r="F42" s="69">
        <f t="shared" si="7"/>
        <v>62.963742038355825</v>
      </c>
      <c r="G42" s="69">
        <f t="shared" si="7"/>
        <v>59.345559063607922</v>
      </c>
      <c r="H42" s="69">
        <f t="shared" si="7"/>
        <v>65.622724888990575</v>
      </c>
      <c r="I42" s="69">
        <f t="shared" si="7"/>
        <v>77.043440129361144</v>
      </c>
      <c r="J42" s="69">
        <f t="shared" si="7"/>
        <v>65.387827989131424</v>
      </c>
      <c r="K42" s="69">
        <f t="shared" si="7"/>
        <v>60.582799849349321</v>
      </c>
      <c r="L42" s="69">
        <f t="shared" si="7"/>
        <v>72.895114202507202</v>
      </c>
      <c r="O42" s="71">
        <f t="shared" si="2"/>
        <v>69.824715981850119</v>
      </c>
      <c r="P42" s="71">
        <f t="shared" si="1"/>
        <v>67.444782369859354</v>
      </c>
    </row>
    <row r="43" spans="2:16" x14ac:dyDescent="0.25">
      <c r="B43" s="61" t="s">
        <v>181</v>
      </c>
      <c r="C43" s="70">
        <f>SUM(C40+C42)-C41</f>
        <v>-31.772846538192539</v>
      </c>
      <c r="D43" s="70">
        <f t="shared" ref="D43:L43" si="8">SUM(D40+D42)-D41</f>
        <v>19.475930098157548</v>
      </c>
      <c r="E43" s="70">
        <f t="shared" si="8"/>
        <v>9.8208176282980446</v>
      </c>
      <c r="F43" s="70">
        <f t="shared" si="8"/>
        <v>-12.747757482691185</v>
      </c>
      <c r="G43" s="70">
        <f t="shared" si="8"/>
        <v>-5.2091857231692842</v>
      </c>
      <c r="H43" s="70">
        <f t="shared" si="8"/>
        <v>-2.3518801239984839</v>
      </c>
      <c r="I43" s="70">
        <f t="shared" si="8"/>
        <v>-1.806050658326825</v>
      </c>
      <c r="J43" s="70">
        <f t="shared" si="8"/>
        <v>-7.0115199158901902</v>
      </c>
      <c r="K43" s="70">
        <f t="shared" si="8"/>
        <v>-8.4526036241612417</v>
      </c>
      <c r="L43" s="70">
        <f t="shared" si="8"/>
        <v>6.3617531737970552</v>
      </c>
      <c r="M43" s="65"/>
      <c r="N43" s="65"/>
      <c r="O43" s="72">
        <f t="shared" si="2"/>
        <v>-3.3693343166177101</v>
      </c>
      <c r="P43" s="72">
        <f t="shared" si="1"/>
        <v>-3.780532923583884</v>
      </c>
    </row>
    <row r="45" spans="2:16" x14ac:dyDescent="0.25">
      <c r="B45" s="59" t="s">
        <v>182</v>
      </c>
      <c r="C45" s="60">
        <f>IFERROR('Historical FS'!C140/'Historical FS'!C14,0)</f>
        <v>0.25357863727759511</v>
      </c>
      <c r="D45" s="60">
        <f>IFERROR('Historical FS'!D140/'Historical FS'!D14,0)</f>
        <v>0.25002589807639808</v>
      </c>
      <c r="E45" s="60">
        <f>IFERROR('Historical FS'!E140/'Historical FS'!E14,0)</f>
        <v>0.2484897445729945</v>
      </c>
      <c r="F45" s="60">
        <f>IFERROR('Historical FS'!F140/'Historical FS'!F14,0)</f>
        <v>0.30310060498599045</v>
      </c>
      <c r="G45" s="60">
        <f>IFERROR('Historical FS'!G140/'Historical FS'!G14,0)</f>
        <v>0.26031277061157748</v>
      </c>
      <c r="H45" s="60">
        <f>IFERROR('Historical FS'!H140/'Historical FS'!H14,0)</f>
        <v>0.29743559631244221</v>
      </c>
      <c r="I45" s="60">
        <f>IFERROR('Historical FS'!I140/'Historical FS'!I14,0)</f>
        <v>0.25431625063822832</v>
      </c>
      <c r="J45" s="60">
        <f>IFERROR('Historical FS'!J140/'Historical FS'!J14,0)</f>
        <v>0.26013075538210034</v>
      </c>
      <c r="K45" s="60">
        <f>IFERROR('Historical FS'!K140/'Historical FS'!K14,0)</f>
        <v>0.26618454877343922</v>
      </c>
      <c r="L45" s="60">
        <f>IFERROR('Historical FS'!L140/'Historical FS'!L14,0)</f>
        <v>0.24241253449104525</v>
      </c>
      <c r="M45" s="59"/>
      <c r="N45" s="59"/>
      <c r="O45" s="59">
        <f t="shared" si="2"/>
        <v>0.2635987341121811</v>
      </c>
      <c r="P45" s="59">
        <f t="shared" si="1"/>
        <v>0.25722350301016433</v>
      </c>
    </row>
    <row r="46" spans="2:16" x14ac:dyDescent="0.25">
      <c r="B46" t="s">
        <v>184</v>
      </c>
      <c r="C46" s="5">
        <f>IFERROR('Historical FS'!C140/'Historical FS'!C72,0)</f>
        <v>0.21420510260440084</v>
      </c>
      <c r="D46" s="5">
        <f>IFERROR('Historical FS'!D140/'Historical FS'!D72,0)</f>
        <v>0.18971511678109418</v>
      </c>
      <c r="E46" s="5">
        <f>IFERROR('Historical FS'!E140/'Historical FS'!E72,0)</f>
        <v>0.1901185939040744</v>
      </c>
      <c r="F46" s="5">
        <f>IFERROR('Historical FS'!F140/'Historical FS'!F72,0)</f>
        <v>0.20500030510167355</v>
      </c>
      <c r="G46" s="5">
        <f>IFERROR('Historical FS'!G140/'Historical FS'!G72,0)</f>
        <v>0.17540533020793139</v>
      </c>
      <c r="H46" s="5">
        <f>IFERROR('Historical FS'!H140/'Historical FS'!H72,0)</f>
        <v>0.19000798724627557</v>
      </c>
      <c r="I46" s="5">
        <f>IFERROR('Historical FS'!I140/'Historical FS'!I72,0)</f>
        <v>0.16983244207353612</v>
      </c>
      <c r="J46" s="5">
        <f>IFERROR('Historical FS'!J140/'Historical FS'!J72,0)</f>
        <v>0.20435651993457693</v>
      </c>
      <c r="K46" s="5">
        <f>IFERROR('Historical FS'!K140/'Historical FS'!K72,0)</f>
        <v>0.21993870277112126</v>
      </c>
      <c r="L46" s="5">
        <f>IFERROR('Historical FS'!L140/'Historical FS'!L72,0)</f>
        <v>0.18722743005016568</v>
      </c>
      <c r="O46">
        <f t="shared" si="2"/>
        <v>0.19458075306748501</v>
      </c>
      <c r="P46">
        <f t="shared" si="1"/>
        <v>0.19006329057517499</v>
      </c>
    </row>
    <row r="47" spans="2:16" x14ac:dyDescent="0.25">
      <c r="B47" s="61" t="s">
        <v>183</v>
      </c>
      <c r="C47" s="62">
        <f>IFERROR('Historical FS'!C140/'Historical FS'!C57,0)</f>
        <v>36.61904761904762</v>
      </c>
      <c r="D47" s="62">
        <f>IFERROR('Historical FS'!D140/'Historical FS'!D57,0)</f>
        <v>116.96156600620674</v>
      </c>
      <c r="E47" s="62">
        <f>IFERROR('Historical FS'!E140/'Historical FS'!E57,0)</f>
        <v>232.44335083114609</v>
      </c>
      <c r="F47" s="62">
        <f>IFERROR('Historical FS'!F140/'Historical FS'!F57,0)</f>
        <v>366.63140311804005</v>
      </c>
      <c r="G47" s="62">
        <f>IFERROR('Historical FS'!G140/'Historical FS'!G57,0)</f>
        <v>936.265625</v>
      </c>
      <c r="H47" s="62">
        <f>IFERROR('Historical FS'!H140/'Historical FS'!H57,0)</f>
        <v>52.945251396648047</v>
      </c>
      <c r="I47" s="62">
        <f>IFERROR('Historical FS'!I140/'Historical FS'!I57,0)</f>
        <v>46.253996972270429</v>
      </c>
      <c r="J47" s="62">
        <f>IFERROR('Historical FS'!J140/'Historical FS'!J57,0)</f>
        <v>63.243705901218732</v>
      </c>
      <c r="K47" s="62">
        <f>IFERROR('Historical FS'!K140/'Historical FS'!K57,0)</f>
        <v>61.683276695856748</v>
      </c>
      <c r="L47" s="62">
        <f>IFERROR('Historical FS'!L140/'Historical FS'!L57,0)</f>
        <v>56.615562073624886</v>
      </c>
      <c r="M47" s="65"/>
      <c r="N47" s="65"/>
      <c r="O47" s="65">
        <f t="shared" si="2"/>
        <v>196.96627856140591</v>
      </c>
      <c r="P47" s="65">
        <f t="shared" si="1"/>
        <v>62.46349129853774</v>
      </c>
    </row>
    <row r="49" spans="2:16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5" spans="2:16" x14ac:dyDescent="0.25">
      <c r="K55" t="s">
        <v>110</v>
      </c>
    </row>
  </sheetData>
  <mergeCells count="1">
    <mergeCell ref="B8:P8"/>
  </mergeCells>
  <pageMargins left="0.7" right="0.7" top="0.75" bottom="0.75" header="0.3" footer="0.3"/>
  <pageSetup paperSize="9" scale="38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EFD37518-99B2-401D-B574-D5232D5BFB53}">
          <x14:colorSeries theme="8" tint="0.39997558519241921"/>
          <x14:colorNegative theme="0" tint="-0.499984740745262"/>
          <x14:colorAxis rgb="FF000000"/>
          <x14:colorMarkers theme="1"/>
          <x14:colorFirst theme="8" tint="-0.249977111117893"/>
          <x14:colorLast theme="8" tint="-0.249977111117893"/>
          <x14:colorHigh theme="8" tint="-0.499984740745262"/>
          <x14:colorLow theme="8" tint="-0.499984740745262"/>
          <x14:sparklines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  <x14:sparkline>
              <xm:f>'Ratio analysis'!C44:L44</xm:f>
              <xm:sqref>M44</xm:sqref>
            </x14:sparkline>
            <x14:sparkline>
              <xm:f>'Ratio analysis'!C45:L45</xm:f>
              <xm:sqref>M45</xm:sqref>
            </x14:sparkline>
            <x14:sparkline>
              <xm:f>'Ratio analysis'!C46:L46</xm:f>
              <xm:sqref>M46</xm:sqref>
            </x14:sparkline>
            <x14:sparkline>
              <xm:f>'Ratio analysis'!C47:L47</xm:f>
              <xm:sqref>M47</xm:sqref>
            </x14:sparkline>
          </x14:sparklines>
        </x14:sparklineGroup>
        <x14:sparklineGroup displayEmptyCellsAs="gap" markers="1" high="1" low="1" xr2:uid="{43FC2FEC-1138-4D9E-B09C-CB13346B0828}">
          <x14:colorSeries rgb="FF0070C0"/>
          <x14:colorNegative rgb="FF000000"/>
          <x14:colorAxis rgb="FF000000"/>
          <x14:colorMarkers theme="1"/>
          <x14:colorFirst rgb="FF000000"/>
          <x14:colorLast rgb="FF000000"/>
          <x14:colorHigh rgb="FF000000"/>
          <x14:colorLow rgb="FF000000"/>
          <x14:sparklines>
            <x14:sparkline>
              <xm:f>'Ratio analysis'!D11:L11</xm:f>
              <xm:sqref>M11</xm:sqref>
            </x14:sparkline>
            <x14:sparkline>
              <xm:f>'Ratio analysis'!D12:L12</xm:f>
              <xm:sqref>M12</xm:sqref>
            </x14:sparkline>
            <x14:sparkline>
              <xm:f>'Ratio analysis'!D13:L13</xm:f>
              <xm:sqref>M13</xm:sqref>
            </x14:sparkline>
            <x14:sparkline>
              <xm:f>'Ratio analysis'!D14:L14</xm:f>
              <xm:sqref>M14</xm:sqref>
            </x14:sparkline>
            <x14:sparkline>
              <xm:f>'Ratio analysis'!D15:L15</xm:f>
              <xm:sqref>M15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839-C427-4E8E-BC46-975C4F136AE2}">
  <dimension ref="B2:Y33"/>
  <sheetViews>
    <sheetView topLeftCell="A8" workbookViewId="0">
      <selection activeCell="C32" sqref="C32"/>
    </sheetView>
  </sheetViews>
  <sheetFormatPr defaultRowHeight="15" x14ac:dyDescent="0.25"/>
  <cols>
    <col min="2" max="2" width="28" bestFit="1" customWidth="1"/>
    <col min="3" max="5" width="10.5703125" bestFit="1" customWidth="1"/>
    <col min="6" max="6" width="11" bestFit="1" customWidth="1"/>
    <col min="7" max="13" width="10.5703125" bestFit="1" customWidth="1"/>
    <col min="15" max="15" width="35.5703125" bestFit="1" customWidth="1"/>
    <col min="16" max="16" width="9.7109375" bestFit="1" customWidth="1"/>
  </cols>
  <sheetData>
    <row r="2" spans="2:25" x14ac:dyDescent="0.25">
      <c r="C2" s="99"/>
      <c r="D2" s="99"/>
      <c r="E2" s="99">
        <v>42064</v>
      </c>
      <c r="F2" s="99">
        <v>42430</v>
      </c>
      <c r="G2" s="99">
        <v>42795</v>
      </c>
      <c r="H2" s="99">
        <v>43160</v>
      </c>
      <c r="I2" s="99">
        <v>43525</v>
      </c>
      <c r="J2" s="99">
        <v>43891</v>
      </c>
      <c r="K2" s="99">
        <v>44256</v>
      </c>
      <c r="L2" s="99">
        <v>44621</v>
      </c>
      <c r="M2" s="91">
        <v>44986</v>
      </c>
      <c r="N2" s="25">
        <v>45352</v>
      </c>
      <c r="O2" s="92"/>
      <c r="P2" s="92"/>
      <c r="Q2" s="92"/>
      <c r="R2" s="92"/>
      <c r="S2" s="92"/>
      <c r="T2" s="92"/>
      <c r="U2" s="92"/>
      <c r="V2" s="92"/>
      <c r="W2" s="92"/>
      <c r="X2" s="92"/>
      <c r="Y2" s="91"/>
    </row>
    <row r="3" spans="2:25" x14ac:dyDescent="0.25">
      <c r="B3" s="100" t="s">
        <v>148</v>
      </c>
      <c r="C3" s="101"/>
      <c r="D3" s="101"/>
      <c r="E3" s="101">
        <v>9843</v>
      </c>
      <c r="F3" s="101">
        <v>9799</v>
      </c>
      <c r="G3" s="101">
        <v>10627</v>
      </c>
      <c r="H3" s="101">
        <v>13169</v>
      </c>
      <c r="I3" s="101">
        <v>12583</v>
      </c>
      <c r="J3" s="101">
        <v>14690</v>
      </c>
      <c r="K3" s="101">
        <v>12527</v>
      </c>
      <c r="L3" s="101">
        <v>15776</v>
      </c>
      <c r="M3" s="101">
        <v>18878</v>
      </c>
      <c r="N3" s="102">
        <v>17179</v>
      </c>
      <c r="O3" s="93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x14ac:dyDescent="0.25">
      <c r="B4" t="s">
        <v>124</v>
      </c>
      <c r="C4" s="44"/>
      <c r="D4" s="44"/>
      <c r="E4" s="44">
        <v>14261</v>
      </c>
      <c r="F4" s="44">
        <v>15154</v>
      </c>
      <c r="G4" s="44">
        <v>16075</v>
      </c>
      <c r="H4" s="44">
        <v>17433</v>
      </c>
      <c r="I4" s="44">
        <v>18862</v>
      </c>
      <c r="J4" s="44">
        <v>19416</v>
      </c>
      <c r="K4" s="44">
        <v>17326</v>
      </c>
      <c r="L4" s="44">
        <v>20857</v>
      </c>
      <c r="M4" s="44">
        <v>26052</v>
      </c>
      <c r="N4" s="48">
        <v>26635</v>
      </c>
      <c r="O4" s="95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x14ac:dyDescent="0.25">
      <c r="B5" t="s">
        <v>78</v>
      </c>
      <c r="C5" s="44"/>
      <c r="D5" s="44"/>
      <c r="E5" s="44">
        <v>558</v>
      </c>
      <c r="F5" s="44">
        <v>-207</v>
      </c>
      <c r="G5" s="44">
        <v>-870</v>
      </c>
      <c r="H5" s="44">
        <v>-964</v>
      </c>
      <c r="I5" s="44">
        <v>-755</v>
      </c>
      <c r="J5" s="44">
        <v>1411</v>
      </c>
      <c r="K5" s="44">
        <v>-66</v>
      </c>
      <c r="L5" s="44">
        <v>-732</v>
      </c>
      <c r="M5" s="44">
        <v>-884</v>
      </c>
      <c r="N5">
        <v>-934</v>
      </c>
      <c r="O5" s="96"/>
      <c r="P5" s="97"/>
      <c r="Q5" s="97"/>
      <c r="R5" s="97"/>
      <c r="S5" s="97"/>
      <c r="T5" s="97"/>
      <c r="U5" s="44"/>
      <c r="V5" s="97"/>
      <c r="W5" s="97"/>
      <c r="X5" s="97"/>
      <c r="Y5" s="97"/>
    </row>
    <row r="6" spans="2:25" x14ac:dyDescent="0.25">
      <c r="B6" t="s">
        <v>45</v>
      </c>
      <c r="C6" s="44"/>
      <c r="D6" s="44"/>
      <c r="E6" s="44">
        <v>-505</v>
      </c>
      <c r="F6" s="44">
        <v>-693</v>
      </c>
      <c r="G6" s="44">
        <v>593</v>
      </c>
      <c r="H6" s="44">
        <v>602</v>
      </c>
      <c r="I6" s="44">
        <v>-359</v>
      </c>
      <c r="J6" s="44">
        <v>-508</v>
      </c>
      <c r="K6" s="44">
        <v>-1460</v>
      </c>
      <c r="L6" s="44">
        <v>-466</v>
      </c>
      <c r="M6" s="44">
        <v>-1098</v>
      </c>
      <c r="N6" s="48">
        <v>-2545</v>
      </c>
      <c r="O6" s="96"/>
      <c r="P6" s="97"/>
      <c r="Q6" s="97"/>
      <c r="R6" s="97"/>
      <c r="S6" s="97"/>
      <c r="T6" s="97"/>
      <c r="U6" s="97"/>
      <c r="V6" s="44"/>
      <c r="W6" s="97"/>
      <c r="X6" s="44"/>
      <c r="Y6" s="44"/>
    </row>
    <row r="7" spans="2:25" x14ac:dyDescent="0.25">
      <c r="B7" t="s">
        <v>125</v>
      </c>
      <c r="C7" s="44"/>
      <c r="D7" s="44"/>
      <c r="E7" s="44">
        <v>-23</v>
      </c>
      <c r="F7" s="44">
        <v>622</v>
      </c>
      <c r="G7" s="44">
        <v>321</v>
      </c>
      <c r="H7" s="44">
        <v>2098</v>
      </c>
      <c r="I7" s="44">
        <v>639</v>
      </c>
      <c r="J7" s="44">
        <v>-607</v>
      </c>
      <c r="K7" s="44">
        <v>1112</v>
      </c>
      <c r="L7" s="44">
        <v>1099</v>
      </c>
      <c r="M7" s="44">
        <v>1058</v>
      </c>
      <c r="N7">
        <v>141</v>
      </c>
      <c r="O7" s="96"/>
      <c r="P7" s="97"/>
      <c r="Q7" s="97"/>
      <c r="R7" s="97"/>
      <c r="S7" s="44"/>
      <c r="T7" s="97"/>
      <c r="U7" s="97"/>
      <c r="V7" s="44"/>
      <c r="W7" s="44"/>
      <c r="X7" s="44"/>
      <c r="Y7" s="97"/>
    </row>
    <row r="8" spans="2:25" x14ac:dyDescent="0.25">
      <c r="B8" t="s">
        <v>127</v>
      </c>
      <c r="C8" s="97"/>
      <c r="D8" s="97"/>
      <c r="E8" s="97">
        <v>0</v>
      </c>
      <c r="F8" s="97">
        <v>0</v>
      </c>
      <c r="G8" s="97">
        <v>0</v>
      </c>
      <c r="H8" s="97">
        <v>0</v>
      </c>
      <c r="I8" s="97">
        <v>0</v>
      </c>
      <c r="J8" s="97">
        <v>0</v>
      </c>
      <c r="K8" s="97">
        <v>0</v>
      </c>
      <c r="L8" s="97">
        <v>0</v>
      </c>
      <c r="M8" s="97">
        <v>0</v>
      </c>
      <c r="N8">
        <v>0</v>
      </c>
      <c r="O8" s="96"/>
      <c r="P8" s="97"/>
      <c r="Q8" s="97"/>
      <c r="R8" s="97"/>
      <c r="S8" s="97"/>
      <c r="T8" s="97"/>
      <c r="U8" s="97"/>
      <c r="V8" s="97"/>
      <c r="W8" s="97"/>
      <c r="X8" s="97"/>
      <c r="Y8" s="97"/>
    </row>
    <row r="9" spans="2:25" x14ac:dyDescent="0.25">
      <c r="B9" t="s">
        <v>128</v>
      </c>
      <c r="C9" s="44"/>
      <c r="D9" s="44"/>
      <c r="E9" s="44">
        <v>31</v>
      </c>
      <c r="F9" s="44">
        <v>-277</v>
      </c>
      <c r="G9" s="44">
        <v>44</v>
      </c>
      <c r="H9" s="44">
        <v>1736</v>
      </c>
      <c r="I9" s="44">
        <v>-476</v>
      </c>
      <c r="J9" s="44">
        <v>296</v>
      </c>
      <c r="K9" s="44">
        <v>-413</v>
      </c>
      <c r="L9" s="44">
        <v>-100</v>
      </c>
      <c r="M9" s="44">
        <v>-924</v>
      </c>
      <c r="N9" s="48">
        <v>-3337</v>
      </c>
      <c r="O9" s="95"/>
      <c r="P9" s="98"/>
      <c r="Q9" s="98"/>
      <c r="R9" s="98"/>
      <c r="S9" s="94"/>
      <c r="T9" s="98"/>
      <c r="U9" s="98"/>
      <c r="V9" s="98"/>
      <c r="W9" s="98"/>
      <c r="X9" s="98"/>
      <c r="Y9" s="94"/>
    </row>
    <row r="10" spans="2:25" x14ac:dyDescent="0.25">
      <c r="B10" t="s">
        <v>129</v>
      </c>
      <c r="C10" s="44"/>
      <c r="D10" s="44"/>
      <c r="E10" s="44">
        <v>-4449</v>
      </c>
      <c r="F10" s="44">
        <v>-5078</v>
      </c>
      <c r="G10" s="44">
        <v>-5492</v>
      </c>
      <c r="H10" s="44">
        <v>-6000</v>
      </c>
      <c r="I10" s="44">
        <v>-5803</v>
      </c>
      <c r="J10" s="44">
        <v>-5023</v>
      </c>
      <c r="K10" s="44">
        <v>-4387</v>
      </c>
      <c r="L10" s="44">
        <v>-4982</v>
      </c>
      <c r="M10" s="44">
        <v>-6250</v>
      </c>
      <c r="N10" s="48">
        <v>-6120</v>
      </c>
      <c r="O10" s="96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 spans="2:25" x14ac:dyDescent="0.25">
      <c r="B11" s="100" t="s">
        <v>149</v>
      </c>
      <c r="C11" s="101"/>
      <c r="D11" s="101"/>
      <c r="E11" s="101">
        <v>-5275</v>
      </c>
      <c r="F11" s="101">
        <v>-3921</v>
      </c>
      <c r="G11" s="101">
        <v>-3251</v>
      </c>
      <c r="H11" s="101">
        <v>-7114</v>
      </c>
      <c r="I11" s="101">
        <v>-5546</v>
      </c>
      <c r="J11" s="101">
        <v>-6174</v>
      </c>
      <c r="K11" s="101">
        <v>5740</v>
      </c>
      <c r="L11" s="101">
        <v>-2238</v>
      </c>
      <c r="M11" s="101">
        <v>-5732</v>
      </c>
      <c r="N11" s="102">
        <v>1563</v>
      </c>
      <c r="O11" s="93"/>
      <c r="P11" s="94"/>
      <c r="Q11" s="94"/>
      <c r="R11" s="94"/>
      <c r="S11" s="94"/>
      <c r="T11" s="94"/>
      <c r="U11" s="94"/>
      <c r="V11" s="94"/>
      <c r="W11" s="94"/>
      <c r="X11" s="94"/>
      <c r="Y11" s="94"/>
    </row>
    <row r="12" spans="2:25" x14ac:dyDescent="0.25">
      <c r="B12" t="s">
        <v>130</v>
      </c>
      <c r="C12" s="44"/>
      <c r="D12" s="44"/>
      <c r="E12" s="44">
        <v>-3300</v>
      </c>
      <c r="F12" s="44">
        <v>-2348</v>
      </c>
      <c r="G12" s="44">
        <v>-3122</v>
      </c>
      <c r="H12" s="44">
        <v>-2878</v>
      </c>
      <c r="I12" s="44">
        <v>-3169</v>
      </c>
      <c r="J12" s="44">
        <v>-2441</v>
      </c>
      <c r="K12" s="44">
        <v>-1837</v>
      </c>
      <c r="L12" s="44">
        <v>-2142</v>
      </c>
      <c r="M12" s="44">
        <v>-2743</v>
      </c>
      <c r="N12" s="48">
        <v>-3563</v>
      </c>
      <c r="O12" s="96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 spans="2:25" x14ac:dyDescent="0.25">
      <c r="B13" t="s">
        <v>131</v>
      </c>
      <c r="C13" s="44"/>
      <c r="D13" s="44"/>
      <c r="E13" s="44">
        <v>9</v>
      </c>
      <c r="F13" s="44">
        <v>8</v>
      </c>
      <c r="G13" s="44">
        <v>50</v>
      </c>
      <c r="H13" s="44">
        <v>80</v>
      </c>
      <c r="I13" s="44">
        <v>28</v>
      </c>
      <c r="J13" s="44">
        <v>27</v>
      </c>
      <c r="K13" s="44">
        <v>3</v>
      </c>
      <c r="L13" s="44">
        <v>133</v>
      </c>
      <c r="M13" s="44">
        <v>49</v>
      </c>
      <c r="N13" s="48">
        <v>107</v>
      </c>
      <c r="O13" s="96"/>
      <c r="P13" s="97"/>
      <c r="Q13" s="97"/>
      <c r="R13" s="97"/>
      <c r="S13" s="97"/>
      <c r="T13" s="97"/>
      <c r="U13" s="97"/>
      <c r="V13" s="97"/>
      <c r="W13" s="97"/>
      <c r="X13" s="97"/>
      <c r="Y13" s="97"/>
    </row>
    <row r="14" spans="2:25" x14ac:dyDescent="0.25">
      <c r="B14" t="s">
        <v>132</v>
      </c>
      <c r="C14" s="44"/>
      <c r="D14" s="44"/>
      <c r="E14" s="44">
        <v>-98742</v>
      </c>
      <c r="F14" s="44">
        <v>-154081</v>
      </c>
      <c r="G14" s="44">
        <v>-85683</v>
      </c>
      <c r="H14" s="44">
        <v>-98330</v>
      </c>
      <c r="I14" s="44">
        <v>-94187</v>
      </c>
      <c r="J14" s="44">
        <v>-79835</v>
      </c>
      <c r="K14" s="44">
        <v>-57553</v>
      </c>
      <c r="L14" s="44">
        <v>-69776</v>
      </c>
      <c r="M14" s="44">
        <v>-80932</v>
      </c>
      <c r="N14" s="48">
        <v>-75107</v>
      </c>
      <c r="O14" s="96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 spans="2:25" x14ac:dyDescent="0.25">
      <c r="B15" t="s">
        <v>133</v>
      </c>
      <c r="C15" s="44"/>
      <c r="D15" s="44"/>
      <c r="E15" s="44">
        <v>99658</v>
      </c>
      <c r="F15" s="44">
        <v>150651</v>
      </c>
      <c r="G15" s="44">
        <v>81034</v>
      </c>
      <c r="H15" s="44">
        <v>95017</v>
      </c>
      <c r="I15" s="44">
        <v>92454</v>
      </c>
      <c r="J15" s="44">
        <v>75835</v>
      </c>
      <c r="K15" s="44">
        <v>62797</v>
      </c>
      <c r="L15" s="44">
        <v>70992</v>
      </c>
      <c r="M15" s="44">
        <v>77230</v>
      </c>
      <c r="N15" s="48">
        <v>77830</v>
      </c>
      <c r="O15" s="96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2:25" x14ac:dyDescent="0.25">
      <c r="B16" t="s">
        <v>134</v>
      </c>
      <c r="C16" s="44"/>
      <c r="D16" s="44"/>
      <c r="E16" s="44">
        <v>559</v>
      </c>
      <c r="F16" s="44">
        <v>741</v>
      </c>
      <c r="G16" s="44">
        <v>756</v>
      </c>
      <c r="H16" s="44">
        <v>736</v>
      </c>
      <c r="I16" s="44">
        <v>1184</v>
      </c>
      <c r="J16" s="44">
        <v>1513</v>
      </c>
      <c r="K16" s="44">
        <v>1275</v>
      </c>
      <c r="L16" s="44">
        <v>1035</v>
      </c>
      <c r="M16" s="44">
        <v>1324</v>
      </c>
      <c r="N16" s="48">
        <v>1138</v>
      </c>
      <c r="O16" s="96"/>
      <c r="P16" s="97"/>
      <c r="Q16" s="97"/>
      <c r="R16" s="97"/>
      <c r="S16" s="97"/>
      <c r="T16" s="44"/>
      <c r="U16" s="44"/>
      <c r="V16" s="44"/>
      <c r="W16" s="44"/>
      <c r="X16" s="44"/>
      <c r="Y16" s="44"/>
    </row>
    <row r="17" spans="2:25" x14ac:dyDescent="0.25">
      <c r="B17" t="s">
        <v>135</v>
      </c>
      <c r="C17" s="97"/>
      <c r="D17" s="97"/>
      <c r="E17" s="44">
        <v>268</v>
      </c>
      <c r="F17" s="44">
        <v>64</v>
      </c>
      <c r="G17" s="44">
        <v>4</v>
      </c>
      <c r="H17" s="44">
        <v>13</v>
      </c>
      <c r="I17" s="44">
        <v>13</v>
      </c>
      <c r="J17" s="44">
        <v>17</v>
      </c>
      <c r="K17" s="44">
        <v>7</v>
      </c>
      <c r="L17" s="44">
        <v>16</v>
      </c>
      <c r="M17" s="44">
        <v>19</v>
      </c>
      <c r="N17" s="48">
        <v>36</v>
      </c>
      <c r="O17" s="96"/>
      <c r="P17" s="97"/>
      <c r="Q17" s="97"/>
      <c r="R17" s="97"/>
      <c r="S17" s="97"/>
      <c r="T17" s="97"/>
      <c r="U17" s="97"/>
      <c r="V17" s="97"/>
      <c r="W17" s="97"/>
      <c r="X17" s="97"/>
      <c r="Y17" s="97"/>
    </row>
    <row r="18" spans="2:25" x14ac:dyDescent="0.25">
      <c r="B18" t="s">
        <v>199</v>
      </c>
      <c r="C18" s="97"/>
      <c r="D18" s="97"/>
      <c r="E18" s="97">
        <v>0</v>
      </c>
      <c r="F18" s="97">
        <v>-8</v>
      </c>
      <c r="G18" s="97">
        <v>0</v>
      </c>
      <c r="H18" s="44">
        <v>0</v>
      </c>
      <c r="I18" s="44">
        <v>0</v>
      </c>
      <c r="J18" s="97">
        <v>0</v>
      </c>
      <c r="K18" s="97">
        <v>0</v>
      </c>
      <c r="L18" s="44">
        <v>0</v>
      </c>
      <c r="M18" s="44">
        <v>0</v>
      </c>
      <c r="N18">
        <v>0</v>
      </c>
      <c r="O18" s="96"/>
      <c r="P18" s="97"/>
      <c r="Q18" s="97"/>
      <c r="R18" s="97"/>
      <c r="S18" s="97"/>
      <c r="T18" s="97"/>
      <c r="U18" s="97"/>
      <c r="V18" s="97"/>
      <c r="W18" s="97"/>
      <c r="X18" s="97"/>
      <c r="Y18" s="97"/>
    </row>
    <row r="19" spans="2:25" x14ac:dyDescent="0.25">
      <c r="B19" t="s">
        <v>136</v>
      </c>
      <c r="C19" s="97"/>
      <c r="D19" s="97"/>
      <c r="E19" s="97">
        <v>0</v>
      </c>
      <c r="F19" s="44">
        <v>0</v>
      </c>
      <c r="G19" s="44">
        <v>0</v>
      </c>
      <c r="H19" s="97">
        <v>0</v>
      </c>
      <c r="I19" s="97">
        <v>0</v>
      </c>
      <c r="J19" s="97">
        <v>0</v>
      </c>
      <c r="K19" s="97">
        <v>-2</v>
      </c>
      <c r="L19" s="97">
        <v>-2</v>
      </c>
      <c r="M19" s="97">
        <v>-2</v>
      </c>
      <c r="N19">
        <v>-65</v>
      </c>
      <c r="O19" s="96"/>
      <c r="P19" s="97"/>
      <c r="Q19" s="97"/>
      <c r="R19" s="97"/>
      <c r="S19" s="97"/>
      <c r="T19" s="97"/>
      <c r="U19" s="97"/>
      <c r="V19" s="97"/>
      <c r="W19" s="97"/>
      <c r="X19" s="97"/>
      <c r="Y19" s="97"/>
    </row>
    <row r="20" spans="2:25" x14ac:dyDescent="0.25">
      <c r="B20" t="s">
        <v>137</v>
      </c>
      <c r="C20" s="97"/>
      <c r="D20" s="97"/>
      <c r="E20" s="97">
        <v>0</v>
      </c>
      <c r="F20" s="97">
        <v>0</v>
      </c>
      <c r="G20" s="97">
        <v>129</v>
      </c>
      <c r="H20" s="97">
        <v>18</v>
      </c>
      <c r="I20" s="97">
        <v>18</v>
      </c>
      <c r="J20" s="97">
        <v>0</v>
      </c>
      <c r="K20" s="97">
        <v>0</v>
      </c>
      <c r="L20" s="97">
        <v>0</v>
      </c>
      <c r="M20" s="97">
        <v>56</v>
      </c>
      <c r="N20">
        <v>0</v>
      </c>
      <c r="O20" s="96"/>
      <c r="P20" s="97"/>
      <c r="Q20" s="97"/>
      <c r="R20" s="97"/>
      <c r="S20" s="97"/>
      <c r="T20" s="97"/>
      <c r="U20" s="97"/>
      <c r="V20" s="97"/>
      <c r="W20" s="97"/>
      <c r="X20" s="97"/>
      <c r="Y20" s="97"/>
    </row>
    <row r="21" spans="2:25" x14ac:dyDescent="0.25">
      <c r="B21" t="s">
        <v>140</v>
      </c>
      <c r="C21" s="44"/>
      <c r="D21" s="97"/>
      <c r="E21" s="44">
        <v>-3728</v>
      </c>
      <c r="F21" s="44">
        <v>1052</v>
      </c>
      <c r="G21" s="44">
        <v>3579</v>
      </c>
      <c r="H21" s="44">
        <v>-1769</v>
      </c>
      <c r="I21" s="44">
        <v>-1887</v>
      </c>
      <c r="J21" s="44">
        <v>-1290</v>
      </c>
      <c r="K21" s="44">
        <v>1051</v>
      </c>
      <c r="L21" s="44">
        <v>-2494</v>
      </c>
      <c r="M21" s="97">
        <v>-733</v>
      </c>
      <c r="N21" s="48">
        <v>1187</v>
      </c>
      <c r="O21" s="96"/>
      <c r="P21" s="44"/>
      <c r="Q21" s="44"/>
      <c r="R21" s="44"/>
      <c r="S21" s="44"/>
      <c r="T21" s="44"/>
      <c r="U21" s="44"/>
      <c r="V21" s="44"/>
      <c r="W21" s="44"/>
      <c r="X21" s="97"/>
      <c r="Y21" s="44"/>
    </row>
    <row r="22" spans="2:25" x14ac:dyDescent="0.25">
      <c r="B22" s="100" t="s">
        <v>150</v>
      </c>
      <c r="C22" s="101"/>
      <c r="D22" s="101"/>
      <c r="E22" s="101">
        <v>-4661</v>
      </c>
      <c r="F22" s="101">
        <v>-5613</v>
      </c>
      <c r="G22" s="101">
        <v>-7301</v>
      </c>
      <c r="H22" s="101">
        <v>-6221</v>
      </c>
      <c r="I22" s="101">
        <v>-6869</v>
      </c>
      <c r="J22" s="101">
        <v>-8181</v>
      </c>
      <c r="K22" s="101">
        <v>-18634</v>
      </c>
      <c r="L22" s="101">
        <v>-13580</v>
      </c>
      <c r="M22" s="101">
        <v>-13006</v>
      </c>
      <c r="N22" s="102">
        <v>-18551</v>
      </c>
      <c r="O22" s="93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2:25" x14ac:dyDescent="0.25">
      <c r="B23" t="s">
        <v>141</v>
      </c>
      <c r="C23" s="44"/>
      <c r="D23" s="97"/>
      <c r="E23" s="44">
        <v>979</v>
      </c>
      <c r="F23" s="44">
        <v>532</v>
      </c>
      <c r="G23" s="44">
        <v>1067</v>
      </c>
      <c r="H23" s="44">
        <v>913</v>
      </c>
      <c r="I23" s="44">
        <v>969</v>
      </c>
      <c r="J23" s="44">
        <v>625</v>
      </c>
      <c r="K23" s="44">
        <v>291</v>
      </c>
      <c r="L23" s="44">
        <v>292</v>
      </c>
      <c r="M23" s="44">
        <v>2477</v>
      </c>
      <c r="N23" s="48">
        <v>1443</v>
      </c>
      <c r="O23" s="96"/>
      <c r="P23" s="97"/>
      <c r="Q23" s="97"/>
      <c r="R23" s="44"/>
      <c r="S23" s="97"/>
      <c r="T23" s="97"/>
      <c r="U23" s="97"/>
      <c r="V23" s="97"/>
      <c r="W23" s="97"/>
      <c r="X23" s="44"/>
      <c r="Y23" s="44"/>
    </row>
    <row r="24" spans="2:25" x14ac:dyDescent="0.25">
      <c r="B24" t="s">
        <v>142</v>
      </c>
      <c r="C24" s="44"/>
      <c r="D24" s="44"/>
      <c r="E24" s="44">
        <v>7</v>
      </c>
      <c r="F24" s="44">
        <v>0</v>
      </c>
      <c r="G24" s="44">
        <v>0</v>
      </c>
      <c r="H24" s="44">
        <v>11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8">
        <v>8</v>
      </c>
      <c r="O24" s="96"/>
      <c r="P24" s="97"/>
      <c r="Q24" s="97"/>
      <c r="R24" s="97"/>
      <c r="S24" s="97"/>
      <c r="T24" s="97"/>
      <c r="U24" s="97"/>
      <c r="V24" s="97"/>
      <c r="W24" s="97"/>
      <c r="X24" s="97"/>
      <c r="Y24" s="97"/>
    </row>
    <row r="25" spans="2:25" x14ac:dyDescent="0.25">
      <c r="B25" t="s">
        <v>143</v>
      </c>
      <c r="C25" s="44"/>
      <c r="D25" s="44"/>
      <c r="E25" s="44">
        <v>-20</v>
      </c>
      <c r="F25" s="44">
        <v>-13</v>
      </c>
      <c r="G25" s="44">
        <v>-13</v>
      </c>
      <c r="H25" s="44">
        <v>-8</v>
      </c>
      <c r="I25" s="44">
        <v>-18</v>
      </c>
      <c r="J25" s="44">
        <v>-3</v>
      </c>
      <c r="K25" s="44">
        <v>-2</v>
      </c>
      <c r="L25" s="44">
        <v>-1</v>
      </c>
      <c r="M25" s="44">
        <v>-1</v>
      </c>
      <c r="N25" s="48">
        <v>-2</v>
      </c>
      <c r="O25" s="96"/>
      <c r="P25" s="97"/>
      <c r="Q25" s="97"/>
      <c r="R25" s="97"/>
      <c r="S25" s="97"/>
      <c r="T25" s="97"/>
      <c r="U25" s="97"/>
      <c r="V25" s="97"/>
      <c r="W25" s="97"/>
      <c r="X25" s="97"/>
      <c r="Y25" s="97"/>
    </row>
    <row r="26" spans="2:25" x14ac:dyDescent="0.25">
      <c r="B26" t="s">
        <v>144</v>
      </c>
      <c r="C26" s="44"/>
      <c r="D26" s="44"/>
      <c r="E26" s="44">
        <v>-16</v>
      </c>
      <c r="F26" s="44">
        <v>-28</v>
      </c>
      <c r="G26" s="44">
        <v>-25</v>
      </c>
      <c r="H26" s="44">
        <v>-49</v>
      </c>
      <c r="I26" s="44">
        <v>-98</v>
      </c>
      <c r="J26" s="44">
        <v>-44</v>
      </c>
      <c r="K26" s="44">
        <v>-41</v>
      </c>
      <c r="L26" s="44">
        <v>-40</v>
      </c>
      <c r="M26" s="44">
        <v>-41</v>
      </c>
      <c r="N26">
        <v>-46</v>
      </c>
      <c r="O26" s="96"/>
      <c r="P26" s="97"/>
      <c r="Q26" s="97"/>
      <c r="R26" s="97"/>
      <c r="S26" s="97"/>
      <c r="T26" s="97"/>
      <c r="U26" s="97"/>
      <c r="V26" s="97"/>
      <c r="W26" s="97"/>
      <c r="X26" s="97"/>
      <c r="Y26" s="97"/>
    </row>
    <row r="27" spans="2:25" x14ac:dyDescent="0.25">
      <c r="B27" t="s">
        <v>145</v>
      </c>
      <c r="C27" s="44"/>
      <c r="D27" s="44"/>
      <c r="E27" s="44">
        <v>-4876</v>
      </c>
      <c r="F27" s="44">
        <v>-5133</v>
      </c>
      <c r="G27" s="44">
        <v>-6994</v>
      </c>
      <c r="H27" s="44">
        <v>-5952</v>
      </c>
      <c r="I27" s="44">
        <v>-6519</v>
      </c>
      <c r="J27" s="44">
        <v>-7302</v>
      </c>
      <c r="K27" s="44">
        <v>-18881</v>
      </c>
      <c r="L27" s="44">
        <v>-13788</v>
      </c>
      <c r="M27" s="44">
        <v>-15418</v>
      </c>
      <c r="N27" s="48">
        <v>-19899</v>
      </c>
      <c r="O27" s="96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 spans="2:25" x14ac:dyDescent="0.25">
      <c r="B28" t="s">
        <v>146</v>
      </c>
      <c r="C28" s="97"/>
      <c r="D28" s="97"/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-49</v>
      </c>
      <c r="K28" s="97">
        <v>-55</v>
      </c>
      <c r="L28" s="97">
        <v>-59</v>
      </c>
      <c r="M28" s="97">
        <v>-59</v>
      </c>
      <c r="N28">
        <v>-67</v>
      </c>
      <c r="O28" s="96"/>
      <c r="P28" s="97"/>
      <c r="Q28" s="97"/>
      <c r="R28" s="97"/>
      <c r="S28" s="97"/>
      <c r="T28" s="97"/>
      <c r="U28" s="97"/>
      <c r="V28" s="97"/>
      <c r="W28" s="97"/>
      <c r="X28" s="97"/>
      <c r="Y28" s="97"/>
    </row>
    <row r="29" spans="2:25" x14ac:dyDescent="0.25">
      <c r="B29" t="s">
        <v>147</v>
      </c>
      <c r="C29" s="44"/>
      <c r="D29" s="44"/>
      <c r="E29" s="44">
        <v>-734</v>
      </c>
      <c r="F29" s="44">
        <v>-971</v>
      </c>
      <c r="G29" s="44">
        <v>-1335</v>
      </c>
      <c r="H29" s="44">
        <v>-1136</v>
      </c>
      <c r="I29" s="44">
        <v>-1203</v>
      </c>
      <c r="J29" s="44">
        <v>-1409</v>
      </c>
      <c r="K29" s="44">
        <v>55</v>
      </c>
      <c r="L29" s="44">
        <v>15</v>
      </c>
      <c r="M29" s="44">
        <v>35</v>
      </c>
      <c r="N29" s="48">
        <v>12</v>
      </c>
      <c r="O29" s="96"/>
      <c r="P29" s="97"/>
      <c r="Q29" s="97"/>
      <c r="R29" s="44"/>
      <c r="S29" s="44"/>
      <c r="T29" s="44"/>
      <c r="U29" s="44"/>
      <c r="V29" s="97"/>
      <c r="W29" s="97"/>
      <c r="X29" s="97"/>
      <c r="Y29" s="97"/>
    </row>
    <row r="30" spans="2:25" x14ac:dyDescent="0.25">
      <c r="B30" t="s">
        <v>35</v>
      </c>
      <c r="C30" s="44"/>
      <c r="D30" s="44"/>
      <c r="E30" s="44">
        <v>-93</v>
      </c>
      <c r="F30" s="44">
        <v>266</v>
      </c>
      <c r="G30" s="44">
        <v>75</v>
      </c>
      <c r="H30" s="44">
        <v>-166</v>
      </c>
      <c r="I30" s="44">
        <v>169</v>
      </c>
      <c r="J30" s="44">
        <v>334</v>
      </c>
      <c r="K30" s="44">
        <v>-367</v>
      </c>
      <c r="L30" s="44">
        <v>-43</v>
      </c>
      <c r="M30" s="44">
        <v>139</v>
      </c>
      <c r="N30">
        <v>191</v>
      </c>
      <c r="O30" s="93"/>
      <c r="P30" s="98"/>
      <c r="Q30" s="98"/>
      <c r="R30" s="98"/>
      <c r="S30" s="98"/>
      <c r="T30" s="98"/>
      <c r="U30" s="98"/>
      <c r="V30" s="98"/>
      <c r="W30" s="98"/>
      <c r="X30" s="98"/>
      <c r="Y30" s="98"/>
    </row>
    <row r="31" spans="2:25" x14ac:dyDescent="0.25">
      <c r="C31" s="46"/>
      <c r="D31" s="46"/>
      <c r="E31" s="46"/>
      <c r="F31" s="46"/>
      <c r="G31" s="46"/>
      <c r="H31" s="45"/>
      <c r="I31" s="45"/>
      <c r="J31" s="45"/>
      <c r="K31" s="45"/>
      <c r="L31" s="45"/>
      <c r="M31" s="45"/>
    </row>
    <row r="32" spans="2:25" x14ac:dyDescent="0.25">
      <c r="C32" s="46"/>
      <c r="D32" s="46"/>
      <c r="E32" s="46"/>
      <c r="F32" s="46"/>
      <c r="G32" s="46"/>
      <c r="H32" s="46"/>
      <c r="I32" s="46"/>
      <c r="J32" s="45"/>
      <c r="K32" s="45"/>
      <c r="L32" s="45"/>
      <c r="M32" s="45"/>
    </row>
    <row r="33" spans="3:13" x14ac:dyDescent="0.25"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F246-7A61-40EF-B31F-6FD54D6F7544}">
  <sheetPr>
    <tabColor rgb="FF0275D8"/>
    <pageSetUpPr fitToPage="1"/>
  </sheetPr>
  <dimension ref="B2:P45"/>
  <sheetViews>
    <sheetView showGridLines="0" tabSelected="1" workbookViewId="0">
      <selection activeCell="B2" sqref="B2:O8"/>
    </sheetView>
  </sheetViews>
  <sheetFormatPr defaultRowHeight="15" x14ac:dyDescent="0.25"/>
  <cols>
    <col min="1" max="1" width="1.85546875" customWidth="1"/>
    <col min="2" max="2" width="11.7109375" bestFit="1" customWidth="1"/>
    <col min="3" max="3" width="10.140625" bestFit="1" customWidth="1"/>
    <col min="4" max="4" width="10.28515625" customWidth="1"/>
    <col min="5" max="5" width="12.5703125" bestFit="1" customWidth="1"/>
    <col min="6" max="6" width="4.7109375" customWidth="1"/>
    <col min="8" max="8" width="10.28515625" customWidth="1"/>
    <col min="9" max="9" width="10" customWidth="1"/>
    <col min="10" max="10" width="14.42578125" bestFit="1" customWidth="1"/>
    <col min="11" max="11" width="4.28515625" customWidth="1"/>
    <col min="12" max="12" width="13" customWidth="1"/>
    <col min="13" max="13" width="11.5703125" customWidth="1"/>
    <col min="14" max="14" width="17.5703125" bestFit="1" customWidth="1"/>
    <col min="15" max="15" width="12.42578125" customWidth="1"/>
  </cols>
  <sheetData>
    <row r="2" spans="2:16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8"/>
    </row>
    <row r="3" spans="2:16" ht="33.75" x14ac:dyDescent="0.25">
      <c r="B3" s="114" t="s">
        <v>63</v>
      </c>
      <c r="D3" s="38"/>
      <c r="E3" s="38"/>
      <c r="F3" s="38"/>
      <c r="G3" s="38"/>
      <c r="H3" s="38"/>
      <c r="I3" s="38"/>
      <c r="J3" s="38"/>
      <c r="K3" s="38"/>
      <c r="L3" s="38"/>
    </row>
    <row r="4" spans="2:16" x14ac:dyDescent="0.25">
      <c r="B4" s="20" t="s">
        <v>200</v>
      </c>
      <c r="D4" s="38"/>
      <c r="E4" s="38"/>
      <c r="F4" s="38"/>
      <c r="G4" s="38"/>
      <c r="H4" s="38"/>
      <c r="I4" s="38"/>
      <c r="J4" s="38"/>
      <c r="K4" s="38"/>
      <c r="L4" s="38"/>
    </row>
    <row r="5" spans="2:16" ht="18.75" x14ac:dyDescent="0.3">
      <c r="B5" s="108" t="s">
        <v>201</v>
      </c>
      <c r="D5" s="38"/>
      <c r="E5" s="38"/>
      <c r="F5" s="38"/>
      <c r="G5" s="38"/>
      <c r="H5" s="38"/>
      <c r="I5" s="38"/>
      <c r="J5" s="38"/>
      <c r="K5" s="38"/>
      <c r="L5" s="38"/>
    </row>
    <row r="6" spans="2:16" x14ac:dyDescent="0.25">
      <c r="B6" s="20" t="s">
        <v>202</v>
      </c>
      <c r="D6" s="38"/>
      <c r="E6" s="38"/>
      <c r="F6" s="38"/>
      <c r="G6" s="38"/>
      <c r="H6" s="38"/>
      <c r="I6" s="38"/>
      <c r="J6" s="38"/>
      <c r="K6" s="38"/>
      <c r="L6" s="38"/>
    </row>
    <row r="7" spans="2:16" x14ac:dyDescent="0.25">
      <c r="B7" s="20"/>
      <c r="D7" s="38"/>
      <c r="E7" s="38"/>
      <c r="F7" s="38"/>
      <c r="G7" s="38"/>
      <c r="H7" s="38"/>
      <c r="I7" s="38"/>
      <c r="J7" s="38"/>
      <c r="K7" s="38"/>
      <c r="L7" s="38"/>
    </row>
    <row r="8" spans="2:16" x14ac:dyDescent="0.2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10" spans="2:16" x14ac:dyDescent="0.25">
      <c r="B10" s="126" t="str">
        <f>'Data Sheet'!B1&amp;" - "&amp;'Data Sheet'!A42</f>
        <v>ITC LTD - Sales</v>
      </c>
      <c r="C10" s="126"/>
      <c r="D10" s="126"/>
      <c r="E10" s="126"/>
      <c r="G10" s="126" t="str">
        <f>'Data Sheet'!B1&amp;" - "&amp;'Historical FS'!B26&amp; " Forecasting"</f>
        <v>ITC LTD - EBITDA Forecasting</v>
      </c>
      <c r="H10" s="126"/>
      <c r="I10" s="126"/>
      <c r="J10" s="126"/>
      <c r="K10" s="2"/>
      <c r="L10" s="126" t="str">
        <f>'Data Sheet'!B1&amp;" - "&amp;'Historical FS'!B46&amp; " Forecasting"</f>
        <v>ITC LTD - Earnings Per Share Forecasting</v>
      </c>
      <c r="M10" s="126"/>
      <c r="N10" s="126"/>
      <c r="O10" s="126"/>
    </row>
    <row r="11" spans="2:16" x14ac:dyDescent="0.25">
      <c r="B11" s="127" t="s">
        <v>191</v>
      </c>
      <c r="C11" s="124" t="s">
        <v>192</v>
      </c>
      <c r="D11" s="124" t="s">
        <v>6</v>
      </c>
      <c r="E11" s="124" t="s">
        <v>22</v>
      </c>
      <c r="G11" s="127" t="s">
        <v>191</v>
      </c>
      <c r="H11" s="124" t="s">
        <v>192</v>
      </c>
      <c r="I11" s="124" t="s">
        <v>98</v>
      </c>
      <c r="J11" s="124" t="s">
        <v>194</v>
      </c>
      <c r="K11" s="2"/>
      <c r="L11" s="127" t="s">
        <v>191</v>
      </c>
      <c r="M11" s="124" t="s">
        <v>192</v>
      </c>
      <c r="N11" s="124" t="s">
        <v>111</v>
      </c>
      <c r="O11" s="124" t="s">
        <v>193</v>
      </c>
    </row>
    <row r="12" spans="2:16" x14ac:dyDescent="0.25">
      <c r="B12" s="20">
        <v>1</v>
      </c>
      <c r="C12" s="74">
        <f>'Data Sheet'!B56</f>
        <v>42094</v>
      </c>
      <c r="D12" s="75">
        <f t="array" ref="D12:D21">TRANSPOSE('Data Sheet'!B17:K17)</f>
        <v>38817.15</v>
      </c>
      <c r="G12" s="20">
        <v>1</v>
      </c>
      <c r="H12" s="74">
        <f t="array" ref="H12">TRANSPOSE('Historical FS'!C11:L11)</f>
        <v>42094</v>
      </c>
      <c r="I12" s="75">
        <f t="array" ref="I12:I21">TRANSPOSE('Historical FS'!C26:L26)</f>
        <v>14251.620000000004</v>
      </c>
      <c r="L12" s="20">
        <v>1</v>
      </c>
      <c r="M12" s="74">
        <f t="array" ref="M12">TRANSPOSE('Historical FS'!C11:L11)</f>
        <v>42094</v>
      </c>
      <c r="N12" s="75">
        <f t="array" ref="N12:N21">TRANSPOSE('Historical FS'!C46:L46)</f>
        <v>7.0997812580572761</v>
      </c>
    </row>
    <row r="13" spans="2:16" x14ac:dyDescent="0.25">
      <c r="B13" s="20">
        <v>2</v>
      </c>
      <c r="C13" s="74">
        <f>C12+365</f>
        <v>42459</v>
      </c>
      <c r="D13" s="75">
        <v>39192.1</v>
      </c>
      <c r="E13" s="5">
        <f>IFERROR(D13/D12-1,0)</f>
        <v>9.6593902437451806E-3</v>
      </c>
      <c r="G13" s="20">
        <v>2</v>
      </c>
      <c r="H13" s="74">
        <f>H12+365</f>
        <v>42459</v>
      </c>
      <c r="I13" s="75">
        <v>14531.49</v>
      </c>
      <c r="J13" s="5">
        <f>IFERROR(I13/I12-1,0)</f>
        <v>1.96377674959054E-2</v>
      </c>
      <c r="L13" s="20">
        <v>2</v>
      </c>
      <c r="M13" s="74">
        <f>M12+365</f>
        <v>42459</v>
      </c>
      <c r="N13" s="75">
        <v>6.6422689465486959</v>
      </c>
      <c r="O13" s="5">
        <f>IFERROR(N13/N12-1,0)</f>
        <v>-6.4440339058244422E-2</v>
      </c>
    </row>
    <row r="14" spans="2:16" x14ac:dyDescent="0.25">
      <c r="B14" s="20">
        <v>3</v>
      </c>
      <c r="C14" s="74">
        <f t="shared" ref="C14:C26" si="0">C13+365</f>
        <v>42824</v>
      </c>
      <c r="D14" s="75">
        <v>42767.6</v>
      </c>
      <c r="E14" s="5">
        <f t="shared" ref="E14:E26" si="1">IFERROR(D14/D13-1,0)</f>
        <v>9.1230120355888067E-2</v>
      </c>
      <c r="G14" s="20">
        <v>3</v>
      </c>
      <c r="H14" s="74">
        <f t="shared" ref="H14:H26" si="2">H13+365</f>
        <v>42824</v>
      </c>
      <c r="I14" s="75">
        <v>15469.51</v>
      </c>
      <c r="J14" s="5">
        <f t="shared" ref="J14:J26" si="3">IFERROR(I14/I13-1,0)</f>
        <v>6.4550847848362514E-2</v>
      </c>
      <c r="L14" s="20">
        <v>3</v>
      </c>
      <c r="M14" s="74">
        <f t="shared" ref="M14:M26" si="4">M13+365</f>
        <v>42824</v>
      </c>
      <c r="N14" s="75">
        <v>7.1773383604722003</v>
      </c>
      <c r="O14" s="5">
        <f t="shared" ref="O14:O26" si="5">IFERROR(N14/N13-1,0)</f>
        <v>8.0555216632943516E-2</v>
      </c>
    </row>
    <row r="15" spans="2:16" x14ac:dyDescent="0.25">
      <c r="B15" s="20">
        <v>4</v>
      </c>
      <c r="C15" s="74">
        <f t="shared" si="0"/>
        <v>43189</v>
      </c>
      <c r="D15" s="75">
        <v>43448.94</v>
      </c>
      <c r="E15" s="5">
        <f t="shared" si="1"/>
        <v>1.5931218960147486E-2</v>
      </c>
      <c r="G15" s="20">
        <v>4</v>
      </c>
      <c r="H15" s="74">
        <f t="shared" si="2"/>
        <v>43189</v>
      </c>
      <c r="I15" s="75">
        <v>16520.590000000004</v>
      </c>
      <c r="J15" s="5">
        <f t="shared" si="3"/>
        <v>6.7945267820377131E-2</v>
      </c>
      <c r="L15" s="20">
        <v>4</v>
      </c>
      <c r="M15" s="74">
        <f t="shared" si="4"/>
        <v>43189</v>
      </c>
      <c r="N15" s="75">
        <v>7.5816474521275303</v>
      </c>
      <c r="O15" s="5">
        <f t="shared" si="5"/>
        <v>5.633134058190481E-2</v>
      </c>
    </row>
    <row r="16" spans="2:16" x14ac:dyDescent="0.25">
      <c r="B16" s="20">
        <v>5</v>
      </c>
      <c r="C16" s="74">
        <f t="shared" si="0"/>
        <v>43554</v>
      </c>
      <c r="D16" s="75">
        <v>48339.58</v>
      </c>
      <c r="E16" s="5">
        <f t="shared" si="1"/>
        <v>0.11256062863673999</v>
      </c>
      <c r="G16" s="20">
        <v>5</v>
      </c>
      <c r="H16" s="74">
        <f t="shared" si="2"/>
        <v>43554</v>
      </c>
      <c r="I16" s="75">
        <v>18537.39</v>
      </c>
      <c r="J16" s="5">
        <f t="shared" si="3"/>
        <v>0.12207796452790087</v>
      </c>
      <c r="L16" s="20">
        <v>5</v>
      </c>
      <c r="M16" s="74">
        <f t="shared" si="4"/>
        <v>43554</v>
      </c>
      <c r="N16" s="75">
        <v>8.7738077757655866</v>
      </c>
      <c r="O16" s="5">
        <f t="shared" si="5"/>
        <v>0.15724291206702268</v>
      </c>
    </row>
    <row r="17" spans="2:15" x14ac:dyDescent="0.25">
      <c r="B17" s="20">
        <v>6</v>
      </c>
      <c r="C17" s="74">
        <f t="shared" si="0"/>
        <v>43919</v>
      </c>
      <c r="D17" s="75">
        <v>49387.7</v>
      </c>
      <c r="E17" s="5">
        <f t="shared" si="1"/>
        <v>2.1682439110972673E-2</v>
      </c>
      <c r="G17" s="20">
        <v>6</v>
      </c>
      <c r="H17" s="74">
        <f t="shared" si="2"/>
        <v>43919</v>
      </c>
      <c r="I17" s="75">
        <v>19343.54</v>
      </c>
      <c r="J17" s="5">
        <f t="shared" si="3"/>
        <v>4.34877833395102E-2</v>
      </c>
      <c r="L17" s="20">
        <v>6</v>
      </c>
      <c r="M17" s="74">
        <f t="shared" si="4"/>
        <v>43919</v>
      </c>
      <c r="N17" s="75">
        <v>10.718553228876848</v>
      </c>
      <c r="O17" s="5">
        <f t="shared" si="5"/>
        <v>0.22165352864042731</v>
      </c>
    </row>
    <row r="18" spans="2:15" x14ac:dyDescent="0.25">
      <c r="B18" s="20">
        <v>7</v>
      </c>
      <c r="C18" s="74">
        <f t="shared" si="0"/>
        <v>44284</v>
      </c>
      <c r="D18" s="75">
        <v>49257.45</v>
      </c>
      <c r="E18" s="5">
        <f t="shared" si="1"/>
        <v>-2.6372963308678443E-3</v>
      </c>
      <c r="G18" s="20">
        <v>7</v>
      </c>
      <c r="H18" s="74">
        <f t="shared" si="2"/>
        <v>44284</v>
      </c>
      <c r="I18" s="75">
        <v>17064.78</v>
      </c>
      <c r="J18" s="5">
        <f t="shared" si="3"/>
        <v>-0.11780470379258412</v>
      </c>
      <c r="L18" s="20">
        <v>7</v>
      </c>
      <c r="M18" s="74">
        <f t="shared" si="4"/>
        <v>44284</v>
      </c>
      <c r="N18" s="75">
        <v>8.7790280124788769</v>
      </c>
      <c r="O18" s="5">
        <f t="shared" si="5"/>
        <v>-0.18095028078721465</v>
      </c>
    </row>
    <row r="19" spans="2:15" x14ac:dyDescent="0.25">
      <c r="B19" s="20">
        <v>8</v>
      </c>
      <c r="C19" s="74">
        <f t="shared" si="0"/>
        <v>44649</v>
      </c>
      <c r="D19" s="75">
        <v>60644.54</v>
      </c>
      <c r="E19" s="5">
        <f t="shared" si="1"/>
        <v>0.23117497962237188</v>
      </c>
      <c r="G19" s="20">
        <v>8</v>
      </c>
      <c r="H19" s="74">
        <f t="shared" si="2"/>
        <v>44649</v>
      </c>
      <c r="I19" s="75">
        <v>20623.149999999994</v>
      </c>
      <c r="J19" s="5">
        <f t="shared" si="3"/>
        <v>0.20852129356487437</v>
      </c>
      <c r="L19" s="20">
        <v>8</v>
      </c>
      <c r="M19" s="74">
        <f t="shared" si="4"/>
        <v>44649</v>
      </c>
      <c r="N19" s="75">
        <v>11.030657372619341</v>
      </c>
      <c r="O19" s="5">
        <f t="shared" si="5"/>
        <v>0.25647820657821163</v>
      </c>
    </row>
    <row r="20" spans="2:15" x14ac:dyDescent="0.25">
      <c r="B20" s="20">
        <v>9</v>
      </c>
      <c r="C20" s="74">
        <f t="shared" si="0"/>
        <v>45014</v>
      </c>
      <c r="D20" s="75">
        <v>70919.03</v>
      </c>
      <c r="E20" s="5">
        <f t="shared" si="1"/>
        <v>0.1694215175842706</v>
      </c>
      <c r="G20" s="20">
        <v>9</v>
      </c>
      <c r="H20" s="74">
        <f t="shared" si="2"/>
        <v>45014</v>
      </c>
      <c r="I20" s="75">
        <v>25704.259999999995</v>
      </c>
      <c r="J20" s="5">
        <f t="shared" si="3"/>
        <v>0.24637894792987503</v>
      </c>
      <c r="L20" s="20">
        <v>9</v>
      </c>
      <c r="M20" s="74">
        <f t="shared" si="4"/>
        <v>45014</v>
      </c>
      <c r="N20" s="75">
        <v>13.983810749919533</v>
      </c>
      <c r="O20" s="5">
        <f t="shared" si="5"/>
        <v>0.26772233762156428</v>
      </c>
    </row>
    <row r="21" spans="2:15" x14ac:dyDescent="0.25">
      <c r="B21" s="20">
        <v>10</v>
      </c>
      <c r="C21" s="74">
        <f t="shared" si="0"/>
        <v>45379</v>
      </c>
      <c r="D21" s="75">
        <v>70866.22</v>
      </c>
      <c r="E21" s="5">
        <f t="shared" si="1"/>
        <v>-7.4465203486284715E-4</v>
      </c>
      <c r="G21" s="20">
        <v>10</v>
      </c>
      <c r="H21" s="74">
        <f t="shared" si="2"/>
        <v>45379</v>
      </c>
      <c r="I21" s="75">
        <v>26232.560000000005</v>
      </c>
      <c r="J21" s="5">
        <f t="shared" si="3"/>
        <v>2.0553013391555019E-2</v>
      </c>
      <c r="L21" s="20">
        <v>10</v>
      </c>
      <c r="M21" s="74">
        <f t="shared" si="4"/>
        <v>45379</v>
      </c>
      <c r="N21" s="75">
        <v>14.375667817408511</v>
      </c>
      <c r="O21" s="5">
        <f t="shared" si="5"/>
        <v>2.8022194700484837E-2</v>
      </c>
    </row>
    <row r="22" spans="2:15" x14ac:dyDescent="0.25">
      <c r="B22" s="76">
        <v>11</v>
      </c>
      <c r="C22" s="77">
        <f t="shared" si="0"/>
        <v>45744</v>
      </c>
      <c r="D22" s="78">
        <f>FORECAST(B22,$D$12:$D$21,$B$12:$B$21)</f>
        <v>71976.98066666667</v>
      </c>
      <c r="E22" s="79">
        <f t="shared" si="1"/>
        <v>1.5674049874067952E-2</v>
      </c>
      <c r="G22" s="76">
        <v>11</v>
      </c>
      <c r="H22" s="80">
        <f t="shared" si="2"/>
        <v>45744</v>
      </c>
      <c r="I22" s="81">
        <f>FORECAST(G22,$I$12:$I$21,$G$12:$G$21)</f>
        <v>25969.381333333338</v>
      </c>
      <c r="J22" s="79">
        <f t="shared" si="3"/>
        <v>-1.0032519383036398E-2</v>
      </c>
      <c r="L22" s="76">
        <v>11</v>
      </c>
      <c r="M22" s="80">
        <f t="shared" si="4"/>
        <v>45744</v>
      </c>
      <c r="N22" s="81">
        <f>FORECAST(L22,$N$12:$N$21,$L$12:$L$21)</f>
        <v>14.338831225849374</v>
      </c>
      <c r="O22" s="79">
        <f t="shared" si="5"/>
        <v>-2.5624264574706235E-3</v>
      </c>
    </row>
    <row r="23" spans="2:15" x14ac:dyDescent="0.25">
      <c r="B23" s="76">
        <v>12</v>
      </c>
      <c r="C23" s="77">
        <f t="shared" si="0"/>
        <v>46109</v>
      </c>
      <c r="D23" s="78">
        <f>FORECAST(B23,$D$12:$D$21,$B$12:$B$21)</f>
        <v>75724.789696969703</v>
      </c>
      <c r="E23" s="79">
        <f t="shared" si="1"/>
        <v>5.2069550508926588E-2</v>
      </c>
      <c r="G23" s="76">
        <v>12</v>
      </c>
      <c r="H23" s="80">
        <f t="shared" si="2"/>
        <v>46109</v>
      </c>
      <c r="I23" s="81">
        <f t="shared" ref="I23:I26" si="6">FORECAST(G23,$I$12:$I$21,$G$12:$G$21)</f>
        <v>27267.834484848489</v>
      </c>
      <c r="J23" s="79">
        <f t="shared" si="3"/>
        <v>4.9999387157078745E-2</v>
      </c>
      <c r="L23" s="76">
        <v>12</v>
      </c>
      <c r="M23" s="80">
        <f t="shared" si="4"/>
        <v>46109</v>
      </c>
      <c r="N23" s="81">
        <f t="shared" ref="N23:N26" si="7">FORECAST(L23,$N$12:$N$21,$L$12:$L$21)</f>
        <v>15.197481249198816</v>
      </c>
      <c r="O23" s="79">
        <f t="shared" si="5"/>
        <v>5.9882846085914432E-2</v>
      </c>
    </row>
    <row r="24" spans="2:15" x14ac:dyDescent="0.25">
      <c r="B24" s="76">
        <v>13</v>
      </c>
      <c r="C24" s="77">
        <f t="shared" si="0"/>
        <v>46474</v>
      </c>
      <c r="D24" s="78">
        <f>FORECAST(B24,$D$12:$D$21,$B$12:$B$21)</f>
        <v>79472.598727272722</v>
      </c>
      <c r="E24" s="79">
        <f t="shared" si="1"/>
        <v>4.9492498365472537E-2</v>
      </c>
      <c r="G24" s="76">
        <v>13</v>
      </c>
      <c r="H24" s="80">
        <f t="shared" si="2"/>
        <v>46474</v>
      </c>
      <c r="I24" s="81">
        <f t="shared" si="6"/>
        <v>28566.287636363639</v>
      </c>
      <c r="J24" s="79">
        <f t="shared" si="3"/>
        <v>4.7618491752128067E-2</v>
      </c>
      <c r="L24" s="76">
        <v>13</v>
      </c>
      <c r="M24" s="80">
        <f t="shared" si="4"/>
        <v>46474</v>
      </c>
      <c r="N24" s="81">
        <f t="shared" si="7"/>
        <v>16.056131272548257</v>
      </c>
      <c r="O24" s="79">
        <f t="shared" si="5"/>
        <v>5.6499495493353979E-2</v>
      </c>
    </row>
    <row r="25" spans="2:15" x14ac:dyDescent="0.25">
      <c r="B25" s="76">
        <v>14</v>
      </c>
      <c r="C25" s="77">
        <f t="shared" si="0"/>
        <v>46839</v>
      </c>
      <c r="D25" s="78">
        <f>FORECAST(B25,$D$12:$D$21,$B$12:$B$21)</f>
        <v>83220.407757575755</v>
      </c>
      <c r="E25" s="79">
        <f t="shared" si="1"/>
        <v>4.7158506080371643E-2</v>
      </c>
      <c r="G25" s="76">
        <v>14</v>
      </c>
      <c r="H25" s="80">
        <f t="shared" si="2"/>
        <v>46839</v>
      </c>
      <c r="I25" s="81">
        <f t="shared" si="6"/>
        <v>29864.740787878789</v>
      </c>
      <c r="J25" s="79">
        <f t="shared" si="3"/>
        <v>4.5454038972227995E-2</v>
      </c>
      <c r="L25" s="76">
        <v>14</v>
      </c>
      <c r="M25" s="80">
        <f t="shared" si="4"/>
        <v>46839</v>
      </c>
      <c r="N25" s="81">
        <f t="shared" si="7"/>
        <v>16.914781295897701</v>
      </c>
      <c r="O25" s="79">
        <f t="shared" si="5"/>
        <v>5.3478014645875982E-2</v>
      </c>
    </row>
    <row r="26" spans="2:15" x14ac:dyDescent="0.25">
      <c r="B26" s="76">
        <v>15</v>
      </c>
      <c r="C26" s="77">
        <f t="shared" si="0"/>
        <v>47204</v>
      </c>
      <c r="D26" s="78">
        <f>FORECAST(B26,$D$12:$D$21,$B$12:$B$21)</f>
        <v>86968.216787878773</v>
      </c>
      <c r="E26" s="79">
        <f t="shared" si="1"/>
        <v>4.5034735244515067E-2</v>
      </c>
      <c r="G26" s="76">
        <v>15</v>
      </c>
      <c r="H26" s="80">
        <f t="shared" si="2"/>
        <v>47204</v>
      </c>
      <c r="I26" s="81">
        <f t="shared" si="6"/>
        <v>31163.193939393943</v>
      </c>
      <c r="J26" s="79">
        <f t="shared" si="3"/>
        <v>4.3477797471530577E-2</v>
      </c>
      <c r="L26" s="76">
        <v>15</v>
      </c>
      <c r="M26" s="80">
        <f t="shared" si="4"/>
        <v>47204</v>
      </c>
      <c r="N26" s="81">
        <f t="shared" si="7"/>
        <v>17.773431319247145</v>
      </c>
      <c r="O26" s="79">
        <f t="shared" si="5"/>
        <v>5.0763294442222051E-2</v>
      </c>
    </row>
    <row r="27" spans="2:15" x14ac:dyDescent="0.25">
      <c r="B27" s="20"/>
      <c r="C27" s="73"/>
    </row>
    <row r="28" spans="2:15" x14ac:dyDescent="0.25">
      <c r="B28" s="20"/>
      <c r="C28" s="73"/>
    </row>
    <row r="29" spans="2:15" x14ac:dyDescent="0.25">
      <c r="B29" s="20"/>
      <c r="C29" s="73"/>
    </row>
    <row r="30" spans="2:15" x14ac:dyDescent="0.25">
      <c r="B30" s="20"/>
      <c r="C30" s="73"/>
    </row>
    <row r="31" spans="2:15" x14ac:dyDescent="0.25">
      <c r="B31" s="20"/>
      <c r="C31" s="73"/>
    </row>
    <row r="32" spans="2:15" x14ac:dyDescent="0.25">
      <c r="B32" s="20"/>
      <c r="C32" s="73"/>
    </row>
    <row r="33" spans="2:15" x14ac:dyDescent="0.25">
      <c r="B33" s="20"/>
      <c r="C33" s="73"/>
    </row>
    <row r="34" spans="2:15" x14ac:dyDescent="0.25">
      <c r="B34" s="20"/>
      <c r="C34" s="73"/>
    </row>
    <row r="45" spans="2:15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</sheetData>
  <mergeCells count="3">
    <mergeCell ref="B10:E10"/>
    <mergeCell ref="G10:J10"/>
    <mergeCell ref="L10:O10"/>
  </mergeCells>
  <pageMargins left="0.7" right="0.7" top="0.75" bottom="0.75" header="0.3" footer="0.3"/>
  <pageSetup paperSize="9" scale="53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K93"/>
  <sheetViews>
    <sheetView zoomScale="96" zoomScaleNormal="96" zoomScalePageLayoutView="120" workbookViewId="0">
      <pane xSplit="1" ySplit="1" topLeftCell="B51" activePane="bottomRight" state="frozen"/>
      <selection activeCell="C4" sqref="C4"/>
      <selection pane="topRight" activeCell="C4" sqref="C4"/>
      <selection pane="bottomLeft" activeCell="C4" sqref="C4"/>
      <selection pane="bottomRight" activeCell="K74" sqref="K74"/>
    </sheetView>
  </sheetViews>
  <sheetFormatPr defaultColWidth="8.85546875" defaultRowHeight="15" x14ac:dyDescent="0.25"/>
  <cols>
    <col min="1" max="1" width="27.7109375" style="4" bestFit="1" customWidth="1"/>
    <col min="2" max="11" width="13.42578125" style="4" bestFit="1" customWidth="1"/>
    <col min="12" max="16384" width="8.85546875" style="4"/>
  </cols>
  <sheetData>
    <row r="1" spans="1:11" s="1" customFormat="1" x14ac:dyDescent="0.25">
      <c r="A1" s="1" t="s">
        <v>0</v>
      </c>
      <c r="B1" s="1" t="s">
        <v>63</v>
      </c>
      <c r="E1" s="116" t="str">
        <f>IF(B2&lt;&gt;B3, "A NEW VERSION OF THE WORKSHEET IS AVAILABLE", "")</f>
        <v/>
      </c>
      <c r="F1" s="116"/>
      <c r="G1" s="116"/>
      <c r="H1" s="116"/>
      <c r="I1" s="116"/>
      <c r="J1" s="116"/>
      <c r="K1" s="116"/>
    </row>
    <row r="2" spans="1:11" x14ac:dyDescent="0.25">
      <c r="A2" s="1" t="s">
        <v>61</v>
      </c>
      <c r="B2" s="4">
        <v>2.1</v>
      </c>
      <c r="E2" s="117" t="s">
        <v>36</v>
      </c>
      <c r="F2" s="117"/>
      <c r="G2" s="117"/>
      <c r="H2" s="117"/>
      <c r="I2" s="117"/>
      <c r="J2" s="117"/>
      <c r="K2" s="117"/>
    </row>
    <row r="3" spans="1:11" x14ac:dyDescent="0.25">
      <c r="A3" s="1" t="s">
        <v>62</v>
      </c>
      <c r="B3" s="4">
        <v>2.1</v>
      </c>
    </row>
    <row r="4" spans="1:11" x14ac:dyDescent="0.25">
      <c r="A4" s="1"/>
    </row>
    <row r="5" spans="1:11" x14ac:dyDescent="0.25">
      <c r="A5" s="1" t="s">
        <v>64</v>
      </c>
    </row>
    <row r="6" spans="1:11" x14ac:dyDescent="0.25">
      <c r="A6" s="4" t="s">
        <v>42</v>
      </c>
      <c r="B6" s="4">
        <f>IF(B9&gt;0, B9/B8, 0)</f>
        <v>1251.6537099903007</v>
      </c>
    </row>
    <row r="7" spans="1:11" x14ac:dyDescent="0.25">
      <c r="A7" s="4" t="s">
        <v>31</v>
      </c>
      <c r="B7">
        <v>1</v>
      </c>
    </row>
    <row r="8" spans="1:11" x14ac:dyDescent="0.25">
      <c r="A8" s="4" t="s">
        <v>43</v>
      </c>
      <c r="B8">
        <v>412.4</v>
      </c>
    </row>
    <row r="9" spans="1:11" x14ac:dyDescent="0.25">
      <c r="A9" s="4" t="s">
        <v>79</v>
      </c>
      <c r="B9">
        <v>516181.99</v>
      </c>
    </row>
    <row r="15" spans="1:11" x14ac:dyDescent="0.25">
      <c r="A15" s="1" t="s">
        <v>37</v>
      </c>
    </row>
    <row r="16" spans="1:11" s="18" customFormat="1" x14ac:dyDescent="0.2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25">
      <c r="A17" s="6" t="s">
        <v>6</v>
      </c>
      <c r="B17">
        <v>38817.15</v>
      </c>
      <c r="C17">
        <v>39192.1</v>
      </c>
      <c r="D17">
        <v>42767.6</v>
      </c>
      <c r="E17">
        <v>43448.94</v>
      </c>
      <c r="F17">
        <v>48339.58</v>
      </c>
      <c r="G17">
        <v>49387.7</v>
      </c>
      <c r="H17">
        <v>49257.45</v>
      </c>
      <c r="I17">
        <v>60644.54</v>
      </c>
      <c r="J17">
        <v>70919.03</v>
      </c>
      <c r="K17">
        <v>70866.22</v>
      </c>
    </row>
    <row r="18" spans="1:11" s="6" customFormat="1" x14ac:dyDescent="0.25">
      <c r="A18" s="4" t="s">
        <v>80</v>
      </c>
      <c r="B18">
        <v>15007.9</v>
      </c>
      <c r="C18">
        <v>13763.88</v>
      </c>
      <c r="D18">
        <v>15456.59</v>
      </c>
      <c r="E18">
        <v>14827.72</v>
      </c>
      <c r="F18">
        <v>17623.52</v>
      </c>
      <c r="G18">
        <v>18048.599999999999</v>
      </c>
      <c r="H18">
        <v>20776.71</v>
      </c>
      <c r="I18">
        <v>27071.07</v>
      </c>
      <c r="J18">
        <v>29364.36</v>
      </c>
      <c r="K18">
        <v>27835.9</v>
      </c>
    </row>
    <row r="19" spans="1:11" s="6" customFormat="1" x14ac:dyDescent="0.25">
      <c r="A19" s="4" t="s">
        <v>81</v>
      </c>
      <c r="B19">
        <v>235.72</v>
      </c>
      <c r="C19">
        <v>195.38</v>
      </c>
      <c r="D19">
        <v>-592.57000000000005</v>
      </c>
      <c r="E19">
        <v>-1027.76</v>
      </c>
      <c r="F19">
        <v>203.19</v>
      </c>
      <c r="G19">
        <v>703.13</v>
      </c>
      <c r="H19">
        <v>645.27</v>
      </c>
      <c r="I19">
        <v>686</v>
      </c>
      <c r="J19">
        <v>358.59</v>
      </c>
      <c r="K19">
        <v>588.69000000000005</v>
      </c>
    </row>
    <row r="20" spans="1:11" s="6" customFormat="1" x14ac:dyDescent="0.25">
      <c r="A20" s="4" t="s">
        <v>82</v>
      </c>
      <c r="B20">
        <v>610.66999999999996</v>
      </c>
      <c r="C20">
        <v>571.88</v>
      </c>
      <c r="D20">
        <v>584.33000000000004</v>
      </c>
      <c r="E20">
        <v>653.5</v>
      </c>
      <c r="F20">
        <v>746.73</v>
      </c>
      <c r="G20">
        <v>780.85</v>
      </c>
      <c r="H20">
        <v>699.56</v>
      </c>
      <c r="I20">
        <v>889.77</v>
      </c>
      <c r="J20">
        <v>1232.3399999999999</v>
      </c>
      <c r="K20">
        <v>1120.25</v>
      </c>
    </row>
    <row r="21" spans="1:11" s="6" customFormat="1" x14ac:dyDescent="0.25">
      <c r="A21" s="4" t="s">
        <v>83</v>
      </c>
      <c r="B21">
        <v>1533.25</v>
      </c>
      <c r="C21">
        <v>1581.59</v>
      </c>
      <c r="D21">
        <v>1683.9</v>
      </c>
      <c r="E21">
        <v>1697.62</v>
      </c>
      <c r="F21">
        <v>1871.01</v>
      </c>
      <c r="G21">
        <v>1908.29</v>
      </c>
      <c r="H21">
        <v>1587.18</v>
      </c>
      <c r="I21">
        <v>1887.67</v>
      </c>
      <c r="J21">
        <v>2327.8000000000002</v>
      </c>
      <c r="K21">
        <v>2513.67</v>
      </c>
    </row>
    <row r="22" spans="1:11" s="6" customFormat="1" x14ac:dyDescent="0.25">
      <c r="A22" s="4" t="s">
        <v>84</v>
      </c>
      <c r="B22">
        <v>2772.28</v>
      </c>
      <c r="C22">
        <v>3440.97</v>
      </c>
      <c r="D22">
        <v>3631.73</v>
      </c>
      <c r="E22">
        <v>3760.9</v>
      </c>
      <c r="F22">
        <v>4177.88</v>
      </c>
      <c r="G22">
        <v>4295.79</v>
      </c>
      <c r="H22">
        <v>4463.33</v>
      </c>
      <c r="I22">
        <v>4890.55</v>
      </c>
      <c r="J22">
        <v>5736.22</v>
      </c>
      <c r="K22">
        <v>6134.35</v>
      </c>
    </row>
    <row r="23" spans="1:11" s="6" customFormat="1" x14ac:dyDescent="0.25">
      <c r="A23" s="4" t="s">
        <v>85</v>
      </c>
      <c r="B23">
        <v>3876.19</v>
      </c>
      <c r="C23">
        <v>4261.78</v>
      </c>
      <c r="D23">
        <v>4179.74</v>
      </c>
      <c r="E23">
        <v>3954.87</v>
      </c>
      <c r="F23">
        <v>4546.3900000000003</v>
      </c>
      <c r="G23">
        <v>4488.63</v>
      </c>
      <c r="H23">
        <v>4236.7700000000004</v>
      </c>
      <c r="I23">
        <v>4858.38</v>
      </c>
      <c r="J23">
        <v>5604.08</v>
      </c>
      <c r="K23">
        <v>6178.63</v>
      </c>
    </row>
    <row r="24" spans="1:11" s="6" customFormat="1" x14ac:dyDescent="0.25">
      <c r="A24" s="4" t="s">
        <v>86</v>
      </c>
      <c r="B24">
        <v>1000.96</v>
      </c>
      <c r="C24">
        <v>1235.8900000000001</v>
      </c>
      <c r="D24">
        <v>1169.23</v>
      </c>
      <c r="E24">
        <v>1005.98</v>
      </c>
      <c r="F24">
        <v>1039.8499999999999</v>
      </c>
      <c r="G24">
        <v>1225.1300000000001</v>
      </c>
      <c r="H24">
        <v>1074.3900000000001</v>
      </c>
      <c r="I24">
        <v>1109.95</v>
      </c>
      <c r="J24">
        <v>1308.56</v>
      </c>
      <c r="K24">
        <v>1439.55</v>
      </c>
    </row>
    <row r="25" spans="1:11" s="6" customFormat="1" x14ac:dyDescent="0.25">
      <c r="A25" s="6" t="s">
        <v>9</v>
      </c>
      <c r="B25">
        <v>1229.3499999999999</v>
      </c>
      <c r="C25">
        <v>1483.11</v>
      </c>
      <c r="D25">
        <v>1758.63</v>
      </c>
      <c r="E25">
        <v>2239.81</v>
      </c>
      <c r="F25">
        <v>2080.44</v>
      </c>
      <c r="G25">
        <v>2417.3200000000002</v>
      </c>
      <c r="H25">
        <v>2576.9499999999998</v>
      </c>
      <c r="I25">
        <v>1909.72</v>
      </c>
      <c r="J25">
        <v>2097.64</v>
      </c>
      <c r="K25">
        <v>2803.77</v>
      </c>
    </row>
    <row r="26" spans="1:11" s="6" customFormat="1" x14ac:dyDescent="0.25">
      <c r="A26" s="6" t="s">
        <v>10</v>
      </c>
      <c r="B26">
        <v>1027.96</v>
      </c>
      <c r="C26">
        <v>1077.4000000000001</v>
      </c>
      <c r="D26">
        <v>1152.79</v>
      </c>
      <c r="E26">
        <v>1236.28</v>
      </c>
      <c r="F26">
        <v>1396.61</v>
      </c>
      <c r="G26">
        <v>1644.91</v>
      </c>
      <c r="H26">
        <v>1645.59</v>
      </c>
      <c r="I26">
        <v>1732.41</v>
      </c>
      <c r="J26">
        <v>1809.01</v>
      </c>
      <c r="K26">
        <v>1816.39</v>
      </c>
    </row>
    <row r="27" spans="1:11" s="6" customFormat="1" x14ac:dyDescent="0.25">
      <c r="A27" s="6" t="s">
        <v>11</v>
      </c>
      <c r="B27">
        <v>90.96</v>
      </c>
      <c r="C27">
        <v>78.13</v>
      </c>
      <c r="D27">
        <v>49.03</v>
      </c>
      <c r="E27">
        <v>115.01</v>
      </c>
      <c r="F27">
        <v>71.400000000000006</v>
      </c>
      <c r="G27">
        <v>81.38</v>
      </c>
      <c r="H27">
        <v>57.97</v>
      </c>
      <c r="I27">
        <v>59.99</v>
      </c>
      <c r="J27">
        <v>77.77</v>
      </c>
      <c r="K27">
        <v>80.06</v>
      </c>
    </row>
    <row r="28" spans="1:11" s="6" customFormat="1" x14ac:dyDescent="0.25">
      <c r="A28" s="6" t="s">
        <v>12</v>
      </c>
      <c r="B28">
        <v>14362.05</v>
      </c>
      <c r="C28">
        <v>14859.07</v>
      </c>
      <c r="D28">
        <v>16026.32</v>
      </c>
      <c r="E28">
        <v>17409.11</v>
      </c>
      <c r="F28">
        <v>19149.82</v>
      </c>
      <c r="G28">
        <v>20034.57</v>
      </c>
      <c r="H28">
        <v>17938.169999999998</v>
      </c>
      <c r="I28">
        <v>20740.47</v>
      </c>
      <c r="J28">
        <v>25915.119999999999</v>
      </c>
      <c r="K28">
        <v>27139.88</v>
      </c>
    </row>
    <row r="29" spans="1:11" s="6" customFormat="1" x14ac:dyDescent="0.25">
      <c r="A29" s="6" t="s">
        <v>13</v>
      </c>
      <c r="B29">
        <v>4596.42</v>
      </c>
      <c r="C29">
        <v>5358.21</v>
      </c>
      <c r="D29">
        <v>5549.09</v>
      </c>
      <c r="E29">
        <v>5916.43</v>
      </c>
      <c r="F29">
        <v>6313.92</v>
      </c>
      <c r="G29">
        <v>4441.79</v>
      </c>
      <c r="H29">
        <v>4555.29</v>
      </c>
      <c r="I29">
        <v>5237.34</v>
      </c>
      <c r="J29">
        <v>6438.4</v>
      </c>
      <c r="K29">
        <v>6388.52</v>
      </c>
    </row>
    <row r="30" spans="1:11" s="6" customFormat="1" x14ac:dyDescent="0.25">
      <c r="A30" s="6" t="s">
        <v>14</v>
      </c>
      <c r="B30">
        <v>9663.17</v>
      </c>
      <c r="C30">
        <v>9344.4500000000007</v>
      </c>
      <c r="D30">
        <v>10289.44</v>
      </c>
      <c r="E30">
        <v>11271.2</v>
      </c>
      <c r="F30">
        <v>12592.33</v>
      </c>
      <c r="G30">
        <v>15306.23</v>
      </c>
      <c r="H30">
        <v>13161.19</v>
      </c>
      <c r="I30">
        <v>15242.66</v>
      </c>
      <c r="J30">
        <v>19191.66</v>
      </c>
      <c r="K30">
        <v>20458.78</v>
      </c>
    </row>
    <row r="31" spans="1:11" s="6" customFormat="1" x14ac:dyDescent="0.25">
      <c r="A31" s="6" t="s">
        <v>70</v>
      </c>
      <c r="B31">
        <v>5009.6899999999996</v>
      </c>
      <c r="C31">
        <v>6840.12</v>
      </c>
      <c r="D31">
        <v>5770.02</v>
      </c>
      <c r="E31">
        <v>6285.21</v>
      </c>
      <c r="F31">
        <v>7048.7</v>
      </c>
      <c r="G31">
        <v>12476.58</v>
      </c>
      <c r="H31">
        <v>13231.96</v>
      </c>
      <c r="I31">
        <v>14171.8</v>
      </c>
      <c r="J31">
        <v>19263.400000000001</v>
      </c>
      <c r="K31">
        <v>17166.46</v>
      </c>
    </row>
    <row r="32" spans="1:11" s="6" customFormat="1" x14ac:dyDescent="0.25"/>
    <row r="33" spans="1:11" x14ac:dyDescent="0.25">
      <c r="A33" s="6"/>
    </row>
    <row r="34" spans="1:11" x14ac:dyDescent="0.25">
      <c r="A34" s="6"/>
    </row>
    <row r="35" spans="1:11" x14ac:dyDescent="0.25">
      <c r="A35" s="6"/>
    </row>
    <row r="36" spans="1:11" x14ac:dyDescent="0.25">
      <c r="A36" s="6"/>
    </row>
    <row r="37" spans="1:11" x14ac:dyDescent="0.25">
      <c r="A37" s="6"/>
    </row>
    <row r="38" spans="1:11" x14ac:dyDescent="0.25">
      <c r="A38" s="6"/>
    </row>
    <row r="39" spans="1:11" x14ac:dyDescent="0.25">
      <c r="A39" s="6"/>
    </row>
    <row r="40" spans="1:11" x14ac:dyDescent="0.25">
      <c r="A40" s="1" t="s">
        <v>39</v>
      </c>
    </row>
    <row r="41" spans="1:11" s="18" customFormat="1" x14ac:dyDescent="0.25">
      <c r="A41" s="17" t="s">
        <v>38</v>
      </c>
      <c r="B41" s="12">
        <v>44834</v>
      </c>
      <c r="C41" s="12">
        <v>44926</v>
      </c>
      <c r="D41" s="12">
        <v>45016</v>
      </c>
      <c r="E41" s="12">
        <v>45107</v>
      </c>
      <c r="F41" s="12">
        <v>45199</v>
      </c>
      <c r="G41" s="12">
        <v>45291</v>
      </c>
      <c r="H41" s="12">
        <v>45382</v>
      </c>
      <c r="I41" s="12">
        <v>45473</v>
      </c>
      <c r="J41" s="12">
        <v>45565</v>
      </c>
      <c r="K41" s="12">
        <v>45657</v>
      </c>
    </row>
    <row r="42" spans="1:11" s="6" customFormat="1" x14ac:dyDescent="0.25">
      <c r="A42" s="6" t="s">
        <v>6</v>
      </c>
      <c r="B42">
        <v>17107.990000000002</v>
      </c>
      <c r="C42">
        <v>17704.52</v>
      </c>
      <c r="D42">
        <v>17634.89</v>
      </c>
      <c r="E42">
        <v>17164.46</v>
      </c>
      <c r="F42">
        <v>17774.47</v>
      </c>
      <c r="G42">
        <v>17195.240000000002</v>
      </c>
      <c r="H42">
        <v>17922.7</v>
      </c>
      <c r="I42">
        <v>18457.330000000002</v>
      </c>
      <c r="J42">
        <v>19990.36</v>
      </c>
      <c r="K42">
        <v>18790.169999999998</v>
      </c>
    </row>
    <row r="43" spans="1:11" s="6" customFormat="1" x14ac:dyDescent="0.25">
      <c r="A43" s="6" t="s">
        <v>7</v>
      </c>
      <c r="B43">
        <v>10848.89</v>
      </c>
      <c r="C43">
        <v>10999.82</v>
      </c>
      <c r="D43">
        <v>11010.89</v>
      </c>
      <c r="E43">
        <v>10494.39</v>
      </c>
      <c r="F43">
        <v>11320.23</v>
      </c>
      <c r="G43">
        <v>10985.01</v>
      </c>
      <c r="H43">
        <v>11296.48</v>
      </c>
      <c r="I43">
        <v>11708.92</v>
      </c>
      <c r="J43">
        <v>13438.28</v>
      </c>
      <c r="K43">
        <v>12428.27</v>
      </c>
    </row>
    <row r="44" spans="1:11" s="6" customFormat="1" x14ac:dyDescent="0.25">
      <c r="A44" s="6" t="s">
        <v>9</v>
      </c>
      <c r="B44">
        <v>454.68</v>
      </c>
      <c r="C44">
        <v>595.42999999999995</v>
      </c>
      <c r="D44">
        <v>682.52</v>
      </c>
      <c r="E44">
        <v>722.3</v>
      </c>
      <c r="F44">
        <v>673.5</v>
      </c>
      <c r="G44">
        <v>820.26</v>
      </c>
      <c r="H44">
        <v>681.78</v>
      </c>
      <c r="I44">
        <v>699.46</v>
      </c>
      <c r="J44">
        <v>690.31</v>
      </c>
      <c r="K44">
        <v>803.4</v>
      </c>
    </row>
    <row r="45" spans="1:11" s="6" customFormat="1" x14ac:dyDescent="0.25">
      <c r="A45" s="6" t="s">
        <v>10</v>
      </c>
      <c r="B45">
        <v>462.38</v>
      </c>
      <c r="C45">
        <v>447.11</v>
      </c>
      <c r="D45">
        <v>461.4</v>
      </c>
      <c r="E45">
        <v>442.46</v>
      </c>
      <c r="F45">
        <v>453.04</v>
      </c>
      <c r="G45">
        <v>384.04</v>
      </c>
      <c r="H45">
        <v>461.44</v>
      </c>
      <c r="I45">
        <v>498.57</v>
      </c>
      <c r="J45">
        <v>416.18</v>
      </c>
      <c r="K45">
        <v>415.98</v>
      </c>
    </row>
    <row r="46" spans="1:11" s="6" customFormat="1" x14ac:dyDescent="0.25">
      <c r="A46" s="6" t="s">
        <v>11</v>
      </c>
      <c r="B46">
        <v>12.59</v>
      </c>
      <c r="C46">
        <v>9.2100000000000009</v>
      </c>
      <c r="D46">
        <v>12.15</v>
      </c>
      <c r="E46">
        <v>9.9</v>
      </c>
      <c r="F46">
        <v>9.8699999999999992</v>
      </c>
      <c r="G46">
        <v>11.94</v>
      </c>
      <c r="H46">
        <v>12.59</v>
      </c>
      <c r="I46">
        <v>11.25</v>
      </c>
      <c r="J46">
        <v>14.73</v>
      </c>
      <c r="K46">
        <v>9.82</v>
      </c>
    </row>
    <row r="47" spans="1:11" s="6" customFormat="1" x14ac:dyDescent="0.25">
      <c r="A47" s="6" t="s">
        <v>12</v>
      </c>
      <c r="B47">
        <v>6238.81</v>
      </c>
      <c r="C47">
        <v>6843.81</v>
      </c>
      <c r="D47">
        <v>6832.97</v>
      </c>
      <c r="E47">
        <v>6940.01</v>
      </c>
      <c r="F47">
        <v>6664.83</v>
      </c>
      <c r="G47">
        <v>6634.51</v>
      </c>
      <c r="H47">
        <v>6833.97</v>
      </c>
      <c r="I47">
        <v>6938.05</v>
      </c>
      <c r="J47">
        <v>6811.48</v>
      </c>
      <c r="K47">
        <v>6739.5</v>
      </c>
    </row>
    <row r="48" spans="1:11" s="6" customFormat="1" x14ac:dyDescent="0.25">
      <c r="A48" s="6" t="s">
        <v>13</v>
      </c>
      <c r="B48">
        <v>1568.49</v>
      </c>
      <c r="C48">
        <v>1773.72</v>
      </c>
      <c r="D48">
        <v>1607.95</v>
      </c>
      <c r="E48">
        <v>1759.89</v>
      </c>
      <c r="F48">
        <v>1700.31</v>
      </c>
      <c r="G48">
        <v>1227.99</v>
      </c>
      <c r="H48">
        <v>1646.75</v>
      </c>
      <c r="I48">
        <v>1761.06</v>
      </c>
      <c r="J48">
        <v>1757.05</v>
      </c>
      <c r="K48">
        <v>1726.32</v>
      </c>
    </row>
    <row r="49" spans="1:11" s="6" customFormat="1" x14ac:dyDescent="0.25">
      <c r="A49" s="6" t="s">
        <v>14</v>
      </c>
      <c r="B49">
        <v>4619.7700000000004</v>
      </c>
      <c r="C49">
        <v>5006.6499999999996</v>
      </c>
      <c r="D49">
        <v>5175.4799999999996</v>
      </c>
      <c r="E49">
        <v>5104.93</v>
      </c>
      <c r="F49">
        <v>4898.07</v>
      </c>
      <c r="G49">
        <v>5335.23</v>
      </c>
      <c r="H49">
        <v>5120.55</v>
      </c>
      <c r="I49">
        <v>5091.59</v>
      </c>
      <c r="J49">
        <v>4992.87</v>
      </c>
      <c r="K49">
        <v>4934.8</v>
      </c>
    </row>
    <row r="50" spans="1:11" x14ac:dyDescent="0.25">
      <c r="A50" s="6" t="s">
        <v>8</v>
      </c>
      <c r="B50">
        <v>6259.1</v>
      </c>
      <c r="C50">
        <v>6704.7</v>
      </c>
      <c r="D50">
        <v>6624</v>
      </c>
      <c r="E50">
        <v>6670.07</v>
      </c>
      <c r="F50">
        <v>6454.24</v>
      </c>
      <c r="G50">
        <v>6210.23</v>
      </c>
      <c r="H50">
        <v>6626.22</v>
      </c>
      <c r="I50">
        <v>6748.41</v>
      </c>
      <c r="J50">
        <v>6552.08</v>
      </c>
      <c r="K50">
        <v>6361.9</v>
      </c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40</v>
      </c>
    </row>
    <row r="56" spans="1:11" s="18" customFormat="1" x14ac:dyDescent="0.2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25">
      <c r="A57" s="6" t="s">
        <v>24</v>
      </c>
      <c r="B57">
        <v>801.55</v>
      </c>
      <c r="C57">
        <v>804.72</v>
      </c>
      <c r="D57">
        <v>1214.74</v>
      </c>
      <c r="E57">
        <v>1220.43</v>
      </c>
      <c r="F57">
        <v>1225.8599999999999</v>
      </c>
      <c r="G57">
        <v>1229.22</v>
      </c>
      <c r="H57">
        <v>1230.8800000000001</v>
      </c>
      <c r="I57">
        <v>1232.33</v>
      </c>
      <c r="J57">
        <v>1242.8</v>
      </c>
      <c r="K57">
        <v>1248.47</v>
      </c>
    </row>
    <row r="58" spans="1:11" x14ac:dyDescent="0.25">
      <c r="A58" s="6" t="s">
        <v>25</v>
      </c>
      <c r="B58">
        <v>30933.94</v>
      </c>
      <c r="C58">
        <v>41874.800000000003</v>
      </c>
      <c r="D58">
        <v>45198.19</v>
      </c>
      <c r="E58">
        <v>51289.68</v>
      </c>
      <c r="F58">
        <v>57915.01</v>
      </c>
      <c r="G58">
        <v>64044.04</v>
      </c>
      <c r="H58">
        <v>59116.46</v>
      </c>
      <c r="I58">
        <v>61223.24</v>
      </c>
      <c r="J58">
        <v>67912.460000000006</v>
      </c>
      <c r="K58">
        <v>73258.53</v>
      </c>
    </row>
    <row r="59" spans="1:11" x14ac:dyDescent="0.25">
      <c r="A59" s="6" t="s">
        <v>71</v>
      </c>
      <c r="B59">
        <v>268.8</v>
      </c>
      <c r="C59">
        <v>83.78</v>
      </c>
      <c r="D59">
        <v>45.72</v>
      </c>
      <c r="E59">
        <v>35.92</v>
      </c>
      <c r="F59">
        <v>13.44</v>
      </c>
      <c r="G59">
        <v>277.45</v>
      </c>
      <c r="H59">
        <v>270.83</v>
      </c>
      <c r="I59">
        <v>249.44</v>
      </c>
      <c r="J59">
        <v>306.04000000000002</v>
      </c>
      <c r="K59">
        <v>303.43</v>
      </c>
    </row>
    <row r="60" spans="1:11" x14ac:dyDescent="0.25">
      <c r="A60" s="6" t="s">
        <v>72</v>
      </c>
      <c r="B60">
        <v>13947.93</v>
      </c>
      <c r="C60">
        <v>8888.0400000000009</v>
      </c>
      <c r="D60">
        <v>9439.67</v>
      </c>
      <c r="E60">
        <v>11694.85</v>
      </c>
      <c r="F60">
        <v>12584.73</v>
      </c>
      <c r="G60">
        <v>11760.04</v>
      </c>
      <c r="H60">
        <v>13142.59</v>
      </c>
      <c r="I60">
        <v>14491.01</v>
      </c>
      <c r="J60">
        <v>16369.66</v>
      </c>
      <c r="K60">
        <v>16943.54</v>
      </c>
    </row>
    <row r="61" spans="1:11" s="1" customFormat="1" x14ac:dyDescent="0.25">
      <c r="A61" s="1" t="s">
        <v>26</v>
      </c>
      <c r="B61">
        <v>45952.22</v>
      </c>
      <c r="C61">
        <v>51651.34</v>
      </c>
      <c r="D61">
        <v>55898.32</v>
      </c>
      <c r="E61">
        <v>64240.88</v>
      </c>
      <c r="F61">
        <v>71739.039999999994</v>
      </c>
      <c r="G61">
        <v>77310.75</v>
      </c>
      <c r="H61">
        <v>73760.759999999995</v>
      </c>
      <c r="I61">
        <v>77196.02</v>
      </c>
      <c r="J61">
        <v>85830.96</v>
      </c>
      <c r="K61">
        <v>91753.97</v>
      </c>
    </row>
    <row r="62" spans="1:11" x14ac:dyDescent="0.25">
      <c r="A62" s="6" t="s">
        <v>27</v>
      </c>
      <c r="B62">
        <v>15303.28</v>
      </c>
      <c r="C62">
        <v>15106.63</v>
      </c>
      <c r="D62">
        <v>15893.48</v>
      </c>
      <c r="E62">
        <v>16523.96</v>
      </c>
      <c r="F62">
        <v>19374.189999999999</v>
      </c>
      <c r="G62">
        <v>21713.34</v>
      </c>
      <c r="H62">
        <v>23298.48</v>
      </c>
      <c r="I62">
        <v>24231.59</v>
      </c>
      <c r="J62">
        <v>25851.27</v>
      </c>
      <c r="K62">
        <v>27820.22</v>
      </c>
    </row>
    <row r="63" spans="1:11" x14ac:dyDescent="0.25">
      <c r="A63" s="6" t="s">
        <v>28</v>
      </c>
      <c r="B63">
        <v>2700.2</v>
      </c>
      <c r="C63">
        <v>2559.7199999999998</v>
      </c>
      <c r="D63">
        <v>3729.89</v>
      </c>
      <c r="E63">
        <v>5508.33</v>
      </c>
      <c r="F63">
        <v>4136.42</v>
      </c>
      <c r="G63">
        <v>3256.46</v>
      </c>
      <c r="H63">
        <v>4011.29</v>
      </c>
      <c r="I63">
        <v>3225.54</v>
      </c>
      <c r="J63">
        <v>3003.3</v>
      </c>
      <c r="K63">
        <v>2860.78</v>
      </c>
    </row>
    <row r="64" spans="1:11" x14ac:dyDescent="0.25">
      <c r="A64" s="6" t="s">
        <v>29</v>
      </c>
      <c r="B64">
        <v>6942.77</v>
      </c>
      <c r="C64">
        <v>11747.59</v>
      </c>
      <c r="D64">
        <v>17581.38</v>
      </c>
      <c r="E64">
        <v>22052.86</v>
      </c>
      <c r="F64">
        <v>25043.49</v>
      </c>
      <c r="G64">
        <v>28663.35</v>
      </c>
      <c r="H64">
        <v>24870.87</v>
      </c>
      <c r="I64">
        <v>24841.01</v>
      </c>
      <c r="J64">
        <v>29415.02</v>
      </c>
      <c r="K64">
        <v>31114.02</v>
      </c>
    </row>
    <row r="65" spans="1:11" x14ac:dyDescent="0.25">
      <c r="A65" s="6" t="s">
        <v>73</v>
      </c>
      <c r="B65">
        <v>21005.97</v>
      </c>
      <c r="C65">
        <v>22237.4</v>
      </c>
      <c r="D65">
        <v>18693.57</v>
      </c>
      <c r="E65">
        <v>20155.73</v>
      </c>
      <c r="F65">
        <v>23184.94</v>
      </c>
      <c r="G65">
        <v>23677.599999999999</v>
      </c>
      <c r="H65">
        <v>21580.12</v>
      </c>
      <c r="I65">
        <v>24897.88</v>
      </c>
      <c r="J65">
        <v>27561.37</v>
      </c>
      <c r="K65">
        <v>29958.95</v>
      </c>
    </row>
    <row r="66" spans="1:11" s="1" customFormat="1" x14ac:dyDescent="0.25">
      <c r="A66" s="1" t="s">
        <v>26</v>
      </c>
      <c r="B66">
        <v>45952.22</v>
      </c>
      <c r="C66">
        <v>51651.34</v>
      </c>
      <c r="D66">
        <v>55898.32</v>
      </c>
      <c r="E66">
        <v>64240.88</v>
      </c>
      <c r="F66">
        <v>71739.039999999994</v>
      </c>
      <c r="G66">
        <v>77310.75</v>
      </c>
      <c r="H66">
        <v>73760.759999999995</v>
      </c>
      <c r="I66">
        <v>77196.02</v>
      </c>
      <c r="J66">
        <v>85830.96</v>
      </c>
      <c r="K66">
        <v>91753.97</v>
      </c>
    </row>
    <row r="67" spans="1:11" s="6" customFormat="1" x14ac:dyDescent="0.25">
      <c r="A67" s="6" t="s">
        <v>78</v>
      </c>
      <c r="B67">
        <v>1982.07</v>
      </c>
      <c r="C67">
        <v>1917.18</v>
      </c>
      <c r="D67">
        <v>2474.29</v>
      </c>
      <c r="E67">
        <v>2682.29</v>
      </c>
      <c r="F67">
        <v>4035.28</v>
      </c>
      <c r="G67">
        <v>2562.48</v>
      </c>
      <c r="H67">
        <v>2501.6999999999998</v>
      </c>
      <c r="I67">
        <v>2461.9</v>
      </c>
      <c r="J67">
        <v>2956.17</v>
      </c>
      <c r="K67">
        <v>4025.82</v>
      </c>
    </row>
    <row r="68" spans="1:11" x14ac:dyDescent="0.25">
      <c r="A68" s="6" t="s">
        <v>45</v>
      </c>
      <c r="B68">
        <v>8586.8700000000008</v>
      </c>
      <c r="C68">
        <v>9062.1</v>
      </c>
      <c r="D68">
        <v>8116.1</v>
      </c>
      <c r="E68">
        <v>7495.09</v>
      </c>
      <c r="F68">
        <v>7859.56</v>
      </c>
      <c r="G68">
        <v>8879.33</v>
      </c>
      <c r="H68">
        <v>10397.16</v>
      </c>
      <c r="I68">
        <v>10864.15</v>
      </c>
      <c r="J68">
        <v>11771.16</v>
      </c>
      <c r="K68">
        <v>14152.88</v>
      </c>
    </row>
    <row r="69" spans="1:11" x14ac:dyDescent="0.25">
      <c r="A69" s="4" t="s">
        <v>87</v>
      </c>
      <c r="B69">
        <v>7896.22</v>
      </c>
      <c r="C69">
        <v>6063.3</v>
      </c>
      <c r="D69">
        <v>2967.4</v>
      </c>
      <c r="E69">
        <v>2899.6</v>
      </c>
      <c r="F69">
        <v>4152.03</v>
      </c>
      <c r="G69">
        <v>7277.34</v>
      </c>
      <c r="H69">
        <v>4659.0200000000004</v>
      </c>
      <c r="I69">
        <v>4654.42</v>
      </c>
      <c r="J69">
        <v>4880.1899999999996</v>
      </c>
      <c r="K69">
        <v>7217.68</v>
      </c>
    </row>
    <row r="70" spans="1:11" x14ac:dyDescent="0.25">
      <c r="A70" s="4" t="s">
        <v>74</v>
      </c>
      <c r="B70">
        <v>8015519541</v>
      </c>
      <c r="C70">
        <v>8047206991</v>
      </c>
      <c r="D70">
        <v>12147383071</v>
      </c>
      <c r="E70">
        <v>12204294911</v>
      </c>
      <c r="F70">
        <v>12258631601</v>
      </c>
      <c r="G70">
        <v>12292231241</v>
      </c>
      <c r="H70">
        <v>12308844231</v>
      </c>
      <c r="I70">
        <v>12323255931</v>
      </c>
      <c r="J70">
        <v>12428017741</v>
      </c>
      <c r="K70">
        <v>12484700000</v>
      </c>
    </row>
    <row r="71" spans="1:11" x14ac:dyDescent="0.25">
      <c r="A71" s="4" t="s">
        <v>75</v>
      </c>
      <c r="D71">
        <v>4026657100</v>
      </c>
    </row>
    <row r="72" spans="1:11" x14ac:dyDescent="0.2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1" t="s">
        <v>195</v>
      </c>
      <c r="B74" s="1">
        <f>B65-B67-B68-B69</f>
        <v>2540.8100000000004</v>
      </c>
      <c r="C74" s="1">
        <f t="shared" ref="C74:K74" si="0">C65-C67-C68-C69</f>
        <v>5194.8200000000006</v>
      </c>
      <c r="D74" s="1">
        <f t="shared" si="0"/>
        <v>5135.7799999999988</v>
      </c>
      <c r="E74" s="1">
        <f t="shared" si="0"/>
        <v>7078.7499999999982</v>
      </c>
      <c r="F74" s="1">
        <f t="shared" si="0"/>
        <v>7138.0699999999988</v>
      </c>
      <c r="G74" s="1">
        <f t="shared" si="0"/>
        <v>4958.4499999999989</v>
      </c>
      <c r="H74" s="1">
        <f t="shared" si="0"/>
        <v>4022.239999999998</v>
      </c>
      <c r="I74" s="1">
        <f t="shared" si="0"/>
        <v>6917.41</v>
      </c>
      <c r="J74" s="1">
        <f t="shared" si="0"/>
        <v>7953.8499999999976</v>
      </c>
      <c r="K74" s="1">
        <f t="shared" si="0"/>
        <v>4562.5700000000015</v>
      </c>
    </row>
    <row r="75" spans="1:11" x14ac:dyDescent="0.25">
      <c r="A75" s="1" t="s">
        <v>196</v>
      </c>
      <c r="B75" s="1">
        <f>SUM(B62+B63+B64+B67+B68+B69+B74)</f>
        <v>45952.22</v>
      </c>
      <c r="C75" s="1">
        <f t="shared" ref="C75:K75" si="1">SUM(C62+C63+C64+C67+C68+C69+C74)</f>
        <v>51651.340000000004</v>
      </c>
      <c r="D75" s="1">
        <f t="shared" si="1"/>
        <v>55898.32</v>
      </c>
      <c r="E75" s="1">
        <f t="shared" si="1"/>
        <v>64240.88</v>
      </c>
      <c r="F75" s="1">
        <f t="shared" si="1"/>
        <v>71739.039999999994</v>
      </c>
      <c r="G75" s="1">
        <f t="shared" si="1"/>
        <v>77310.75</v>
      </c>
      <c r="H75" s="1">
        <f t="shared" si="1"/>
        <v>73760.760000000009</v>
      </c>
      <c r="I75" s="1">
        <f t="shared" si="1"/>
        <v>77196.02</v>
      </c>
      <c r="J75" s="1">
        <f t="shared" si="1"/>
        <v>85830.959999999992</v>
      </c>
      <c r="K75" s="1">
        <f t="shared" si="1"/>
        <v>91753.97000000003</v>
      </c>
    </row>
    <row r="76" spans="1:11" x14ac:dyDescent="0.25">
      <c r="A76" s="6"/>
    </row>
    <row r="77" spans="1:11" x14ac:dyDescent="0.25">
      <c r="A77" s="6"/>
    </row>
    <row r="78" spans="1:11" x14ac:dyDescent="0.25">
      <c r="A78" s="6"/>
    </row>
    <row r="79" spans="1:11" x14ac:dyDescent="0.25">
      <c r="A79" s="6"/>
    </row>
    <row r="80" spans="1:11" x14ac:dyDescent="0.25">
      <c r="A80" s="1" t="s">
        <v>41</v>
      </c>
    </row>
    <row r="81" spans="1:11" s="18" customFormat="1" x14ac:dyDescent="0.2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25">
      <c r="A82" s="6" t="s">
        <v>32</v>
      </c>
      <c r="B82">
        <v>9843.2000000000007</v>
      </c>
      <c r="C82">
        <v>9799.0400000000009</v>
      </c>
      <c r="D82">
        <v>10627.31</v>
      </c>
      <c r="E82">
        <v>13169.4</v>
      </c>
      <c r="F82">
        <v>12583.41</v>
      </c>
      <c r="G82">
        <v>14689.66</v>
      </c>
      <c r="H82">
        <v>12526.97</v>
      </c>
      <c r="I82">
        <v>15775.51</v>
      </c>
      <c r="J82">
        <v>18877.55</v>
      </c>
      <c r="K82">
        <v>17178.86</v>
      </c>
    </row>
    <row r="83" spans="1:11" s="6" customFormat="1" x14ac:dyDescent="0.25">
      <c r="A83" s="6" t="s">
        <v>33</v>
      </c>
      <c r="B83">
        <v>-5275.43</v>
      </c>
      <c r="C83">
        <v>-3920.73</v>
      </c>
      <c r="D83">
        <v>-3250.93</v>
      </c>
      <c r="E83">
        <v>-7113.89</v>
      </c>
      <c r="F83">
        <v>-5545.68</v>
      </c>
      <c r="G83">
        <v>-6174.02</v>
      </c>
      <c r="H83">
        <v>5739.98</v>
      </c>
      <c r="I83">
        <v>-2238.4899999999998</v>
      </c>
      <c r="J83">
        <v>-5732.29</v>
      </c>
      <c r="K83">
        <v>1562.77</v>
      </c>
    </row>
    <row r="84" spans="1:11" s="6" customFormat="1" x14ac:dyDescent="0.25">
      <c r="A84" s="6" t="s">
        <v>34</v>
      </c>
      <c r="B84">
        <v>-4661.03</v>
      </c>
      <c r="C84">
        <v>-5612.52</v>
      </c>
      <c r="D84">
        <v>-7301.03</v>
      </c>
      <c r="E84">
        <v>-6221.13</v>
      </c>
      <c r="F84">
        <v>-6868.64</v>
      </c>
      <c r="G84">
        <v>-8181.48</v>
      </c>
      <c r="H84">
        <v>-18633.830000000002</v>
      </c>
      <c r="I84">
        <v>-13580.5</v>
      </c>
      <c r="J84">
        <v>-13006.03</v>
      </c>
      <c r="K84">
        <v>-18550.96</v>
      </c>
    </row>
    <row r="85" spans="1:11" s="1" customFormat="1" x14ac:dyDescent="0.25">
      <c r="A85" s="6" t="s">
        <v>35</v>
      </c>
      <c r="B85">
        <v>-93.26</v>
      </c>
      <c r="C85">
        <v>265.79000000000002</v>
      </c>
      <c r="D85">
        <v>75.349999999999994</v>
      </c>
      <c r="E85">
        <v>-165.62</v>
      </c>
      <c r="F85">
        <v>169.09</v>
      </c>
      <c r="G85">
        <v>334.16</v>
      </c>
      <c r="H85">
        <v>-366.88</v>
      </c>
      <c r="I85">
        <v>-43.48</v>
      </c>
      <c r="J85">
        <v>139.22999999999999</v>
      </c>
      <c r="K85">
        <v>190.67</v>
      </c>
    </row>
    <row r="86" spans="1:11" x14ac:dyDescent="0.25">
      <c r="A86" s="6"/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s="1" customFormat="1" x14ac:dyDescent="0.25">
      <c r="A90" s="1" t="s">
        <v>77</v>
      </c>
      <c r="B90">
        <v>203.63</v>
      </c>
      <c r="C90">
        <v>205.13</v>
      </c>
      <c r="D90">
        <v>262.75</v>
      </c>
      <c r="E90">
        <v>239.5</v>
      </c>
      <c r="F90">
        <v>278.64</v>
      </c>
      <c r="G90">
        <v>160.94999999999999</v>
      </c>
      <c r="H90">
        <v>204.82</v>
      </c>
      <c r="I90">
        <v>234.96</v>
      </c>
      <c r="J90">
        <v>359.49</v>
      </c>
      <c r="K90">
        <v>401.53</v>
      </c>
    </row>
    <row r="92" spans="1:11" s="1" customFormat="1" x14ac:dyDescent="0.25">
      <c r="A92" s="1" t="s">
        <v>76</v>
      </c>
    </row>
    <row r="93" spans="1:11" x14ac:dyDescent="0.25">
      <c r="A93" s="4" t="s">
        <v>89</v>
      </c>
      <c r="B93" s="24">
        <v>1202.33</v>
      </c>
      <c r="C93" s="24">
        <v>1207.08</v>
      </c>
      <c r="D93" s="24">
        <v>1214.74</v>
      </c>
      <c r="E93" s="24">
        <v>1220.43</v>
      </c>
      <c r="F93" s="24">
        <v>1225.8599999999999</v>
      </c>
      <c r="G93" s="24">
        <v>1229.22</v>
      </c>
      <c r="H93" s="24">
        <v>1230.8800000000001</v>
      </c>
      <c r="I93" s="24">
        <v>1232.33</v>
      </c>
      <c r="J93" s="24">
        <v>1242.8</v>
      </c>
      <c r="K93" s="24">
        <v>1248.47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DB42-FD2B-46C0-9AFE-523376F51A06}">
  <sheetPr>
    <tabColor theme="2" tint="-0.74999237037263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Profit &amp; Loss</vt:lpstr>
      <vt:lpstr>Quarters</vt:lpstr>
      <vt:lpstr>Balance Sheet</vt:lpstr>
      <vt:lpstr>Cash Flow</vt:lpstr>
      <vt:lpstr>Customization</vt:lpstr>
      <vt:lpstr>Financials</vt:lpstr>
      <vt:lpstr>Historical FS</vt:lpstr>
      <vt:lpstr>common size statment</vt:lpstr>
      <vt:lpstr>Ratio analysis</vt:lpstr>
      <vt:lpstr>cash flow data</vt:lpstr>
      <vt:lpstr>Forecasting</vt:lpstr>
      <vt:lpstr>Data Sheet</vt:lpstr>
      <vt:lpstr>Data</vt:lpstr>
      <vt:lpstr>'common size statment'!Print_Area</vt:lpstr>
      <vt:lpstr>Forecasting!Print_Area</vt:lpstr>
      <vt:lpstr>'Historical FS'!Print_Area</vt:lpstr>
      <vt:lpstr>'Ratio analysis'!Print_Area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nitin saini</cp:lastModifiedBy>
  <cp:lastPrinted>2025-04-04T17:22:37Z</cp:lastPrinted>
  <dcterms:created xsi:type="dcterms:W3CDTF">2012-08-17T09:55:37Z</dcterms:created>
  <dcterms:modified xsi:type="dcterms:W3CDTF">2025-04-04T17:58:39Z</dcterms:modified>
</cp:coreProperties>
</file>