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8F898974-5AEE-4E6F-9E66-72AB605CEB93}" xr6:coauthVersionLast="45" xr6:coauthVersionMax="45" xr10:uidLastSave="{00000000-0000-0000-0000-000000000000}"/>
  <bookViews>
    <workbookView xWindow="-120" yWindow="-120" windowWidth="20730" windowHeight="11160" tabRatio="618" firstSheet="1" activeTab="1" xr2:uid="{00000000-000D-0000-FFFF-FFFF00000000}"/>
  </bookViews>
  <sheets>
    <sheet name="NRF24" sheetId="1" r:id="rId1"/>
    <sheet name="Доход Расход" sheetId="5" r:id="rId2"/>
    <sheet name="Электроэнергия" sheetId="8" r:id="rId3"/>
    <sheet name="Дерево" sheetId="4" r:id="rId4"/>
    <sheet name="Солнечная панель" sheetId="2" r:id="rId5"/>
    <sheet name="Размер и стоимость" sheetId="3" r:id="rId6"/>
    <sheet name="Прайс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5" l="1"/>
  <c r="F83" i="5"/>
  <c r="F82" i="5"/>
  <c r="F80" i="5" l="1"/>
  <c r="F79" i="5"/>
  <c r="F78" i="5"/>
  <c r="F66" i="5" l="1"/>
  <c r="E113" i="5"/>
  <c r="F60" i="5"/>
  <c r="J6" i="7" l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5" i="7"/>
  <c r="G20" i="7"/>
  <c r="H20" i="7" s="1"/>
  <c r="K20" i="7"/>
  <c r="L20" i="7"/>
  <c r="O20" i="7" s="1"/>
  <c r="M20" i="7"/>
  <c r="M13" i="7"/>
  <c r="L13" i="7"/>
  <c r="M12" i="7"/>
  <c r="L12" i="7"/>
  <c r="K12" i="7"/>
  <c r="M11" i="7"/>
  <c r="L11" i="7"/>
  <c r="O11" i="7" s="1"/>
  <c r="M10" i="7"/>
  <c r="L10" i="7"/>
  <c r="O10" i="7" s="1"/>
  <c r="K10" i="7"/>
  <c r="M9" i="7"/>
  <c r="L9" i="7"/>
  <c r="K9" i="7"/>
  <c r="M8" i="7"/>
  <c r="L8" i="7"/>
  <c r="O8" i="7" s="1"/>
  <c r="M7" i="7"/>
  <c r="L7" i="7"/>
  <c r="O7" i="7" s="1"/>
  <c r="K7" i="7"/>
  <c r="M6" i="7"/>
  <c r="L6" i="7"/>
  <c r="K6" i="7"/>
  <c r="O12" i="7"/>
  <c r="O13" i="7"/>
  <c r="O6" i="7"/>
  <c r="O9" i="7"/>
  <c r="G6" i="7"/>
  <c r="G7" i="7"/>
  <c r="H7" i="7" s="1"/>
  <c r="G8" i="7"/>
  <c r="H8" i="7" s="1"/>
  <c r="G9" i="7"/>
  <c r="G10" i="7"/>
  <c r="G11" i="7"/>
  <c r="K11" i="7" s="1"/>
  <c r="H11" i="7"/>
  <c r="G12" i="7"/>
  <c r="H12" i="7" s="1"/>
  <c r="G14" i="7"/>
  <c r="H14" i="7" s="1"/>
  <c r="G15" i="7"/>
  <c r="K15" i="7" s="1"/>
  <c r="G16" i="7"/>
  <c r="H16" i="7" s="1"/>
  <c r="G17" i="7"/>
  <c r="H17" i="7" s="1"/>
  <c r="G18" i="7"/>
  <c r="H18" i="7" s="1"/>
  <c r="G19" i="7"/>
  <c r="H19" i="7"/>
  <c r="G21" i="7"/>
  <c r="H21" i="7" s="1"/>
  <c r="G22" i="7"/>
  <c r="H22" i="7" s="1"/>
  <c r="G23" i="7"/>
  <c r="H23" i="7" s="1"/>
  <c r="G24" i="7"/>
  <c r="H24" i="7" s="1"/>
  <c r="G25" i="7"/>
  <c r="H25" i="7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K14" i="7"/>
  <c r="L14" i="7"/>
  <c r="O14" i="7" s="1"/>
  <c r="M14" i="7"/>
  <c r="L15" i="7"/>
  <c r="O15" i="7" s="1"/>
  <c r="M15" i="7"/>
  <c r="L16" i="7"/>
  <c r="O16" i="7" s="1"/>
  <c r="M16" i="7"/>
  <c r="L17" i="7"/>
  <c r="O17" i="7" s="1"/>
  <c r="M17" i="7"/>
  <c r="L18" i="7"/>
  <c r="O18" i="7" s="1"/>
  <c r="M18" i="7"/>
  <c r="L21" i="7"/>
  <c r="O21" i="7" s="1"/>
  <c r="M21" i="7"/>
  <c r="K8" i="7" l="1"/>
  <c r="H9" i="7"/>
  <c r="K17" i="7"/>
  <c r="H10" i="7"/>
  <c r="H6" i="7"/>
  <c r="H15" i="7"/>
  <c r="K16" i="7"/>
  <c r="K21" i="7"/>
  <c r="K18" i="7"/>
  <c r="R6" i="7"/>
  <c r="R7" i="7"/>
  <c r="R8" i="7"/>
  <c r="R9" i="7"/>
  <c r="R10" i="7"/>
  <c r="R11" i="7"/>
  <c r="A13" i="3"/>
  <c r="A14" i="3"/>
  <c r="A15" i="3"/>
  <c r="A16" i="3"/>
  <c r="A17" i="3"/>
  <c r="A18" i="3"/>
  <c r="A19" i="3"/>
  <c r="A20" i="3"/>
  <c r="A21" i="3"/>
  <c r="A22" i="3"/>
  <c r="B28" i="3"/>
  <c r="B29" i="3"/>
  <c r="B30" i="3"/>
  <c r="B31" i="3"/>
  <c r="A6" i="3"/>
  <c r="A7" i="3"/>
  <c r="G13" i="7"/>
  <c r="K13" i="7" s="1"/>
  <c r="H13" i="7" l="1"/>
  <c r="W13" i="7" s="1"/>
  <c r="W7" i="7"/>
  <c r="W8" i="7"/>
  <c r="W6" i="7"/>
  <c r="C12" i="5"/>
  <c r="M19" i="7" l="1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K19" i="7"/>
  <c r="L19" i="7"/>
  <c r="O19" i="7" s="1"/>
  <c r="K22" i="7"/>
  <c r="L22" i="7"/>
  <c r="O22" i="7" s="1"/>
  <c r="K23" i="7"/>
  <c r="L23" i="7"/>
  <c r="O23" i="7" s="1"/>
  <c r="K24" i="7"/>
  <c r="L24" i="7"/>
  <c r="O24" i="7" s="1"/>
  <c r="K25" i="7"/>
  <c r="L25" i="7"/>
  <c r="O25" i="7" s="1"/>
  <c r="K26" i="7"/>
  <c r="L26" i="7"/>
  <c r="O26" i="7" s="1"/>
  <c r="K27" i="7"/>
  <c r="L27" i="7"/>
  <c r="O27" i="7" s="1"/>
  <c r="K28" i="7"/>
  <c r="L28" i="7"/>
  <c r="O28" i="7" s="1"/>
  <c r="K29" i="7"/>
  <c r="L29" i="7"/>
  <c r="O29" i="7" s="1"/>
  <c r="K30" i="7"/>
  <c r="L30" i="7"/>
  <c r="O30" i="7" s="1"/>
  <c r="K31" i="7"/>
  <c r="L31" i="7"/>
  <c r="O31" i="7" s="1"/>
  <c r="K32" i="7"/>
  <c r="L32" i="7"/>
  <c r="O32" i="7" s="1"/>
  <c r="K33" i="7"/>
  <c r="L33" i="7"/>
  <c r="O33" i="7" s="1"/>
  <c r="K34" i="7"/>
  <c r="L34" i="7"/>
  <c r="O34" i="7" s="1"/>
  <c r="K35" i="7"/>
  <c r="L35" i="7"/>
  <c r="O35" i="7" s="1"/>
  <c r="K36" i="7"/>
  <c r="L36" i="7"/>
  <c r="O36" i="7" s="1"/>
  <c r="C85" i="5"/>
  <c r="F101" i="5"/>
  <c r="F109" i="5"/>
  <c r="C109" i="5"/>
  <c r="C86" i="5" l="1"/>
  <c r="F87" i="5" s="1"/>
  <c r="C101" i="5"/>
  <c r="C102" i="5" s="1"/>
  <c r="C10" i="5"/>
  <c r="C11" i="5" s="1"/>
  <c r="F10" i="5"/>
  <c r="F44" i="5"/>
  <c r="C44" i="5"/>
  <c r="F113" i="5" l="1"/>
  <c r="C113" i="5"/>
  <c r="C45" i="5"/>
  <c r="F46" i="5" s="1"/>
  <c r="F103" i="5" s="1"/>
  <c r="F12" i="5"/>
  <c r="C110" i="5"/>
  <c r="F111" i="5" l="1"/>
  <c r="E6" i="8" l="1"/>
  <c r="F6" i="8" s="1"/>
  <c r="D6" i="8"/>
  <c r="I33" i="3" l="1"/>
  <c r="I44" i="3"/>
  <c r="I54" i="3"/>
  <c r="M51" i="3"/>
  <c r="F51" i="3"/>
  <c r="L51" i="3" s="1"/>
  <c r="E51" i="3"/>
  <c r="D51" i="3"/>
  <c r="C51" i="3"/>
  <c r="B51" i="3"/>
  <c r="M50" i="3"/>
  <c r="F50" i="3"/>
  <c r="E50" i="3"/>
  <c r="D50" i="3"/>
  <c r="C50" i="3"/>
  <c r="B50" i="3"/>
  <c r="M49" i="3"/>
  <c r="F49" i="3"/>
  <c r="E49" i="3"/>
  <c r="D49" i="3"/>
  <c r="C49" i="3"/>
  <c r="B49" i="3"/>
  <c r="M48" i="3"/>
  <c r="F48" i="3"/>
  <c r="L48" i="3" s="1"/>
  <c r="E48" i="3"/>
  <c r="D48" i="3"/>
  <c r="C48" i="3"/>
  <c r="B48" i="3"/>
  <c r="M47" i="3"/>
  <c r="F47" i="3"/>
  <c r="L47" i="3" s="1"/>
  <c r="E47" i="3"/>
  <c r="D47" i="3"/>
  <c r="C47" i="3"/>
  <c r="B47" i="3"/>
  <c r="B38" i="3"/>
  <c r="C38" i="3"/>
  <c r="D38" i="3"/>
  <c r="E38" i="3"/>
  <c r="F38" i="3"/>
  <c r="L38" i="3" s="1"/>
  <c r="M38" i="3"/>
  <c r="B39" i="3"/>
  <c r="C39" i="3"/>
  <c r="D39" i="3"/>
  <c r="E39" i="3"/>
  <c r="F39" i="3"/>
  <c r="L39" i="3" s="1"/>
  <c r="M39" i="3"/>
  <c r="B40" i="3"/>
  <c r="C40" i="3"/>
  <c r="D40" i="3"/>
  <c r="E40" i="3"/>
  <c r="F40" i="3"/>
  <c r="L40" i="3" s="1"/>
  <c r="M40" i="3"/>
  <c r="B41" i="3"/>
  <c r="C41" i="3"/>
  <c r="D41" i="3"/>
  <c r="E41" i="3"/>
  <c r="F41" i="3"/>
  <c r="L41" i="3" s="1"/>
  <c r="M41" i="3"/>
  <c r="C30" i="3"/>
  <c r="D30" i="3"/>
  <c r="E30" i="3"/>
  <c r="F30" i="3"/>
  <c r="L30" i="3" s="1"/>
  <c r="M30" i="3"/>
  <c r="C31" i="3"/>
  <c r="D31" i="3"/>
  <c r="E31" i="3"/>
  <c r="F31" i="3"/>
  <c r="M31" i="3"/>
  <c r="C29" i="3"/>
  <c r="D29" i="3"/>
  <c r="E29" i="3"/>
  <c r="F29" i="3"/>
  <c r="L29" i="3" s="1"/>
  <c r="M29" i="3"/>
  <c r="B37" i="3"/>
  <c r="M28" i="3"/>
  <c r="F28" i="3"/>
  <c r="E28" i="3"/>
  <c r="D28" i="3"/>
  <c r="C28" i="3"/>
  <c r="M37" i="3"/>
  <c r="D37" i="3"/>
  <c r="E37" i="3"/>
  <c r="F37" i="3"/>
  <c r="C37" i="3"/>
  <c r="B6" i="3"/>
  <c r="C6" i="3"/>
  <c r="D6" i="3"/>
  <c r="E6" i="3"/>
  <c r="F6" i="3"/>
  <c r="M6" i="3"/>
  <c r="B7" i="3"/>
  <c r="C7" i="3"/>
  <c r="D7" i="3"/>
  <c r="E7" i="3"/>
  <c r="F7" i="3"/>
  <c r="M7" i="3"/>
  <c r="A8" i="3"/>
  <c r="B8" i="3"/>
  <c r="C8" i="3"/>
  <c r="D8" i="3"/>
  <c r="E8" i="3"/>
  <c r="F8" i="3"/>
  <c r="M8" i="3"/>
  <c r="A9" i="3"/>
  <c r="B9" i="3"/>
  <c r="C9" i="3"/>
  <c r="D9" i="3"/>
  <c r="E9" i="3"/>
  <c r="F9" i="3"/>
  <c r="M9" i="3"/>
  <c r="A10" i="3"/>
  <c r="B10" i="3"/>
  <c r="C10" i="3"/>
  <c r="D10" i="3"/>
  <c r="E10" i="3"/>
  <c r="F10" i="3"/>
  <c r="G10" i="3"/>
  <c r="H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J12" i="3"/>
  <c r="K12" i="3"/>
  <c r="L12" i="3"/>
  <c r="M12" i="3"/>
  <c r="N12" i="3"/>
  <c r="O12" i="3"/>
  <c r="B5" i="3"/>
  <c r="C5" i="3"/>
  <c r="D5" i="3"/>
  <c r="E5" i="3"/>
  <c r="F5" i="3"/>
  <c r="M5" i="3"/>
  <c r="A5" i="3"/>
  <c r="L9" i="3"/>
  <c r="N9" i="3"/>
  <c r="J9" i="3"/>
  <c r="L8" i="3"/>
  <c r="N8" i="3"/>
  <c r="L7" i="3"/>
  <c r="K7" i="3"/>
  <c r="J7" i="3"/>
  <c r="L6" i="3"/>
  <c r="K6" i="3"/>
  <c r="J6" i="3"/>
  <c r="M5" i="7"/>
  <c r="L5" i="3" s="1"/>
  <c r="L5" i="7"/>
  <c r="O5" i="7" s="1"/>
  <c r="N5" i="3" s="1"/>
  <c r="G5" i="7"/>
  <c r="K5" i="7" s="1"/>
  <c r="J5" i="3" s="1"/>
  <c r="N6" i="3" l="1"/>
  <c r="W11" i="7"/>
  <c r="O8" i="3" s="1"/>
  <c r="J8" i="3"/>
  <c r="G8" i="3"/>
  <c r="G6" i="3"/>
  <c r="G9" i="3"/>
  <c r="K8" i="3"/>
  <c r="W10" i="7"/>
  <c r="N7" i="3"/>
  <c r="G7" i="3"/>
  <c r="G47" i="3"/>
  <c r="J47" i="3" s="1"/>
  <c r="G5" i="3"/>
  <c r="K9" i="3"/>
  <c r="H8" i="3"/>
  <c r="G41" i="3"/>
  <c r="J41" i="3" s="1"/>
  <c r="G38" i="3"/>
  <c r="J38" i="3" s="1"/>
  <c r="K39" i="3"/>
  <c r="N39" i="3" s="1"/>
  <c r="G50" i="3"/>
  <c r="J50" i="3" s="1"/>
  <c r="K40" i="3"/>
  <c r="N40" i="3" s="1"/>
  <c r="K51" i="3"/>
  <c r="N51" i="3" s="1"/>
  <c r="G40" i="3"/>
  <c r="K38" i="3"/>
  <c r="N38" i="3" s="1"/>
  <c r="G49" i="3"/>
  <c r="J49" i="3" s="1"/>
  <c r="K49" i="3"/>
  <c r="N49" i="3" s="1"/>
  <c r="G30" i="3"/>
  <c r="H30" i="3" s="1"/>
  <c r="O30" i="3" s="1"/>
  <c r="K47" i="3"/>
  <c r="N47" i="3" s="1"/>
  <c r="K48" i="3"/>
  <c r="N48" i="3" s="1"/>
  <c r="K50" i="3"/>
  <c r="N50" i="3" s="1"/>
  <c r="G51" i="3"/>
  <c r="J51" i="3" s="1"/>
  <c r="G48" i="3"/>
  <c r="L49" i="3"/>
  <c r="L50" i="3"/>
  <c r="K41" i="3"/>
  <c r="N41" i="3" s="1"/>
  <c r="G39" i="3"/>
  <c r="J39" i="3" s="1"/>
  <c r="G31" i="3"/>
  <c r="J31" i="3" s="1"/>
  <c r="G29" i="3"/>
  <c r="H29" i="3" s="1"/>
  <c r="O29" i="3" s="1"/>
  <c r="K29" i="3"/>
  <c r="N29" i="3" s="1"/>
  <c r="L31" i="3"/>
  <c r="K31" i="3"/>
  <c r="N31" i="3" s="1"/>
  <c r="K30" i="3"/>
  <c r="N30" i="3" s="1"/>
  <c r="G28" i="3"/>
  <c r="J28" i="3" s="1"/>
  <c r="K28" i="3"/>
  <c r="L28" i="3"/>
  <c r="L37" i="3"/>
  <c r="L44" i="3" s="1"/>
  <c r="G37" i="3"/>
  <c r="H37" i="3" s="1"/>
  <c r="O37" i="3" s="1"/>
  <c r="K37" i="3"/>
  <c r="N37" i="3" s="1"/>
  <c r="K5" i="3"/>
  <c r="W9" i="7"/>
  <c r="H5" i="7"/>
  <c r="W12" i="7"/>
  <c r="H41" i="3" l="1"/>
  <c r="O41" i="3" s="1"/>
  <c r="H47" i="3"/>
  <c r="O47" i="3" s="1"/>
  <c r="J30" i="3"/>
  <c r="O7" i="3"/>
  <c r="H7" i="3"/>
  <c r="O9" i="3"/>
  <c r="H9" i="3"/>
  <c r="W5" i="7"/>
  <c r="O5" i="3" s="1"/>
  <c r="H5" i="3"/>
  <c r="O6" i="3"/>
  <c r="H6" i="3"/>
  <c r="L33" i="3"/>
  <c r="H38" i="3"/>
  <c r="O38" i="3" s="1"/>
  <c r="J29" i="3"/>
  <c r="H51" i="3"/>
  <c r="O51" i="3" s="1"/>
  <c r="H50" i="3"/>
  <c r="O50" i="3" s="1"/>
  <c r="J40" i="3"/>
  <c r="H40" i="3"/>
  <c r="O40" i="3" s="1"/>
  <c r="K54" i="3"/>
  <c r="N44" i="3"/>
  <c r="K44" i="3"/>
  <c r="H49" i="3"/>
  <c r="O49" i="3" s="1"/>
  <c r="K33" i="3"/>
  <c r="N54" i="3"/>
  <c r="N28" i="3"/>
  <c r="N33" i="3" s="1"/>
  <c r="L54" i="3"/>
  <c r="J48" i="3"/>
  <c r="J54" i="3" s="1"/>
  <c r="H48" i="3"/>
  <c r="O48" i="3" s="1"/>
  <c r="H39" i="3"/>
  <c r="O39" i="3" s="1"/>
  <c r="H31" i="3"/>
  <c r="O31" i="3" s="1"/>
  <c r="H28" i="3"/>
  <c r="O28" i="3" s="1"/>
  <c r="J37" i="3"/>
  <c r="J33" i="3" l="1"/>
  <c r="J44" i="3"/>
  <c r="O32" i="3"/>
  <c r="F1" i="5" l="1"/>
  <c r="K7" i="4" l="1"/>
  <c r="L7" i="4" s="1"/>
  <c r="H7" i="4" s="1"/>
  <c r="I7" i="4" s="1"/>
  <c r="K6" i="4"/>
  <c r="L6" i="4" s="1"/>
  <c r="L5" i="4"/>
  <c r="H5" i="4" s="1"/>
  <c r="I5" i="4" s="1"/>
  <c r="K5" i="4"/>
  <c r="L4" i="4"/>
  <c r="H4" i="4" s="1"/>
  <c r="I4" i="4" s="1"/>
  <c r="K4" i="4"/>
  <c r="L3" i="4"/>
  <c r="H3" i="4" s="1"/>
  <c r="I3" i="4" s="1"/>
  <c r="K3" i="4"/>
  <c r="L2" i="4"/>
  <c r="H2" i="4" s="1"/>
  <c r="I2" i="4" s="1"/>
  <c r="I17" i="4" s="1"/>
  <c r="K2" i="4"/>
  <c r="G2" i="2" l="1"/>
  <c r="K7" i="2" l="1"/>
  <c r="L7" i="2" s="1"/>
  <c r="K8" i="2"/>
  <c r="L8" i="2"/>
  <c r="M8" i="2" s="1"/>
  <c r="N8" i="2"/>
  <c r="O8" i="2" s="1"/>
  <c r="K6" i="2"/>
  <c r="L6" i="2" s="1"/>
  <c r="N7" i="2" l="1"/>
  <c r="O7" i="2" s="1"/>
  <c r="M7" i="2"/>
  <c r="N6" i="2"/>
  <c r="M6" i="2"/>
  <c r="P2" i="2"/>
  <c r="P3" i="2"/>
  <c r="P4" i="2"/>
  <c r="P5" i="2"/>
  <c r="P7" i="2"/>
  <c r="P8" i="2"/>
  <c r="O3" i="2"/>
  <c r="O4" i="2"/>
  <c r="O5" i="2"/>
  <c r="O6" i="2"/>
  <c r="P6" i="2" s="1"/>
  <c r="O2" i="2"/>
  <c r="N3" i="2"/>
  <c r="N4" i="2"/>
  <c r="N5" i="2"/>
  <c r="N2" i="2"/>
  <c r="K3" i="2" l="1"/>
  <c r="L3" i="2" s="1"/>
  <c r="K4" i="2"/>
  <c r="L4" i="2" s="1"/>
  <c r="K5" i="2"/>
  <c r="L5" i="2" s="1"/>
  <c r="K2" i="2"/>
  <c r="L2" i="2" s="1"/>
  <c r="F3" i="2"/>
  <c r="F4" i="2"/>
  <c r="F5" i="2"/>
  <c r="F6" i="2"/>
  <c r="F7" i="2"/>
  <c r="F8" i="2"/>
  <c r="F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H2" i="2"/>
  <c r="M2" i="2" l="1"/>
  <c r="M5" i="2"/>
  <c r="M4" i="2"/>
  <c r="M3" i="2"/>
</calcChain>
</file>

<file path=xl/sharedStrings.xml><?xml version="1.0" encoding="utf-8"?>
<sst xmlns="http://schemas.openxmlformats.org/spreadsheetml/2006/main" count="332" uniqueCount="220">
  <si>
    <t>Адаптер nRF24L01+</t>
  </si>
  <si>
    <t>CE</t>
  </si>
  <si>
    <t>CSN</t>
  </si>
  <si>
    <t>SCK</t>
  </si>
  <si>
    <t>MO</t>
  </si>
  <si>
    <t>MI</t>
  </si>
  <si>
    <t>IRQ</t>
  </si>
  <si>
    <t>Не используется</t>
  </si>
  <si>
    <t>Выбор режима: приёмник / передатчик</t>
  </si>
  <si>
    <t>Шина SPI - выбор устройства</t>
  </si>
  <si>
    <t>Шина SPI - линия тактирования</t>
  </si>
  <si>
    <t>Шина SPI - линия данных (от мастера к ведомому)</t>
  </si>
  <si>
    <t>Шина SPI - линия данных (от ведомого к мастеру)</t>
  </si>
  <si>
    <t>Прерывание</t>
  </si>
  <si>
    <t>ATtiny13 пин</t>
  </si>
  <si>
    <t>порт</t>
  </si>
  <si>
    <t>Длина</t>
  </si>
  <si>
    <t>Наименование</t>
  </si>
  <si>
    <t>Кол-во</t>
  </si>
  <si>
    <t>Ширина, mm</t>
  </si>
  <si>
    <t>Стоимость, руб.</t>
  </si>
  <si>
    <t>Стоимость 1 м2.</t>
  </si>
  <si>
    <t>Площадь ед, м2</t>
  </si>
  <si>
    <t>Общая площадь, м2</t>
  </si>
  <si>
    <t>Панель 78*26</t>
  </si>
  <si>
    <t>Стоимость 1 Вт</t>
  </si>
  <si>
    <t>Вольт</t>
  </si>
  <si>
    <t>Ампер</t>
  </si>
  <si>
    <t>Мощность</t>
  </si>
  <si>
    <t>Полная мощность</t>
  </si>
  <si>
    <t xml:space="preserve">Выработка за год, кВт </t>
  </si>
  <si>
    <t>Окупаемость за год</t>
  </si>
  <si>
    <t>Затраты из сети</t>
  </si>
  <si>
    <t>Параболичская дуга для вертикального трекера Ежежневно подстраивает курс по оси у. Перпендикуляр</t>
  </si>
  <si>
    <t>Солнечная панель 12 В </t>
  </si>
  <si>
    <t>leory 18</t>
  </si>
  <si>
    <t xml:space="preserve">ОСБ плита </t>
  </si>
  <si>
    <t>Стоимость</t>
  </si>
  <si>
    <t>Панель 78*39</t>
  </si>
  <si>
    <t>Панель 78*52</t>
  </si>
  <si>
    <t>Панель 78*77</t>
  </si>
  <si>
    <t>Площадь</t>
  </si>
  <si>
    <t>Ширина, см</t>
  </si>
  <si>
    <t>Длина, см</t>
  </si>
  <si>
    <t>Толщина, см</t>
  </si>
  <si>
    <t>Обшивка</t>
  </si>
  <si>
    <t>Вес итого</t>
  </si>
  <si>
    <t>Материал</t>
  </si>
  <si>
    <t>Планируемая площадь (кв.м)</t>
  </si>
  <si>
    <t>Стоимость, руб</t>
  </si>
  <si>
    <t>Необходимое колличество, шт</t>
  </si>
  <si>
    <t>К оплате, руб</t>
  </si>
  <si>
    <t>Примечание</t>
  </si>
  <si>
    <t>кв. см</t>
  </si>
  <si>
    <t>кв. м в 1 шт</t>
  </si>
  <si>
    <t>Доска</t>
  </si>
  <si>
    <t>Задняя стена</t>
  </si>
  <si>
    <t>Боковые стены</t>
  </si>
  <si>
    <t>Крыша</t>
  </si>
  <si>
    <t>Внутрення стена</t>
  </si>
  <si>
    <t>Тонкая стена без утепления</t>
  </si>
  <si>
    <t>Брус</t>
  </si>
  <si>
    <t>Периметр</t>
  </si>
  <si>
    <t>Базалит</t>
  </si>
  <si>
    <t>Утеплитель, 9 листов в упаковке</t>
  </si>
  <si>
    <t>Итого</t>
  </si>
  <si>
    <t>Доходы</t>
  </si>
  <si>
    <t>Расход</t>
  </si>
  <si>
    <t>Руб.</t>
  </si>
  <si>
    <t>ЗП</t>
  </si>
  <si>
    <t>Дата</t>
  </si>
  <si>
    <t>Аванс</t>
  </si>
  <si>
    <t>Потребность</t>
  </si>
  <si>
    <t>-</t>
  </si>
  <si>
    <t>Сарай</t>
  </si>
  <si>
    <t>Стоимость (1 ед.)</t>
  </si>
  <si>
    <t>шт</t>
  </si>
  <si>
    <t>кв.м</t>
  </si>
  <si>
    <t>Куб.м</t>
  </si>
  <si>
    <t>кг</t>
  </si>
  <si>
    <t xml:space="preserve"> 1 кв.м </t>
  </si>
  <si>
    <t>Вес 1 куб. (вл.50%)</t>
  </si>
  <si>
    <t>Всего</t>
  </si>
  <si>
    <t>Прочее</t>
  </si>
  <si>
    <t>Стоимость куба</t>
  </si>
  <si>
    <t>Без фундамента 2*2м. Из бруса и доски. Располагаться в зоне животноводческого двора</t>
  </si>
  <si>
    <t>Вегетарий</t>
  </si>
  <si>
    <t>№ мат.</t>
  </si>
  <si>
    <t>Материалы (прайс)</t>
  </si>
  <si>
    <t>Цена за куб</t>
  </si>
  <si>
    <t>руб.</t>
  </si>
  <si>
    <t>Брус 150*150</t>
  </si>
  <si>
    <t>Брус 50*50</t>
  </si>
  <si>
    <t>Вегетарий (Бытовка)</t>
  </si>
  <si>
    <t>Март</t>
  </si>
  <si>
    <t>Электросчетчик</t>
  </si>
  <si>
    <t>Болгарка AEG</t>
  </si>
  <si>
    <t>Диски</t>
  </si>
  <si>
    <t>Такси</t>
  </si>
  <si>
    <t>Грузовик</t>
  </si>
  <si>
    <t>Уровень</t>
  </si>
  <si>
    <t>Мелочь(гвозди и т.п.)</t>
  </si>
  <si>
    <t>Тент 3*4</t>
  </si>
  <si>
    <t>Пленка черная</t>
  </si>
  <si>
    <t>Мелочь(уголки)</t>
  </si>
  <si>
    <t>Грабли</t>
  </si>
  <si>
    <t>Доски для бытовки</t>
  </si>
  <si>
    <t>Технологическое подключение к электросети</t>
  </si>
  <si>
    <t>Кадастровые работы</t>
  </si>
  <si>
    <t>Солнечные панели</t>
  </si>
  <si>
    <t>Кнопка для Шурика</t>
  </si>
  <si>
    <t>Тариф на 2020 год</t>
  </si>
  <si>
    <t>Общий 2,74 рубля; Дневной тариф  3,15; ночной 0,92</t>
  </si>
  <si>
    <t>Месяц</t>
  </si>
  <si>
    <t>День</t>
  </si>
  <si>
    <t>Сумма</t>
  </si>
  <si>
    <t>1 тарифный</t>
  </si>
  <si>
    <t>Ночь</t>
  </si>
  <si>
    <t>кВт</t>
  </si>
  <si>
    <t>Сумма, руб.</t>
  </si>
  <si>
    <t>Щит учёта</t>
  </si>
  <si>
    <t>Выключатель-автомат 40 А</t>
  </si>
  <si>
    <t>Розетка 16 ампер DIN</t>
  </si>
  <si>
    <t>Выключатель-автомат 25 А</t>
  </si>
  <si>
    <t>Выключатель-автомат 16 А</t>
  </si>
  <si>
    <t>Шина нулевая DIN 14 гр.</t>
  </si>
  <si>
    <t>DIN рейка 11 см</t>
  </si>
  <si>
    <t>Патрон Е27</t>
  </si>
  <si>
    <t>Ик-модуль Terkam iRmate-210 COM (с доставкой)</t>
  </si>
  <si>
    <t>Зарплата</t>
  </si>
  <si>
    <t>Долг</t>
  </si>
  <si>
    <t>Кадастровая точка</t>
  </si>
  <si>
    <t>Февраль</t>
  </si>
  <si>
    <t>Остаток</t>
  </si>
  <si>
    <t>Прочее (жизнь)</t>
  </si>
  <si>
    <t>Поступило</t>
  </si>
  <si>
    <t>Расход на проект</t>
  </si>
  <si>
    <t>Бюджет составил</t>
  </si>
  <si>
    <t>Апрель</t>
  </si>
  <si>
    <t>Май</t>
  </si>
  <si>
    <t>Июнь</t>
  </si>
  <si>
    <t>Черенок для лопаты</t>
  </si>
  <si>
    <t>Лопата штыковая</t>
  </si>
  <si>
    <t>Шпагат 150 м</t>
  </si>
  <si>
    <t>Итого по проекту</t>
  </si>
  <si>
    <t>ночь, ч.</t>
  </si>
  <si>
    <t>день. ч</t>
  </si>
  <si>
    <t>Цемент</t>
  </si>
  <si>
    <t>Фундамент</t>
  </si>
  <si>
    <t>ПВХ трубы</t>
  </si>
  <si>
    <t>Песок</t>
  </si>
  <si>
    <t>Гравий</t>
  </si>
  <si>
    <t>Семена костреца (1кг), клевер белый 0,6 кг</t>
  </si>
  <si>
    <t>Брус 100*100</t>
  </si>
  <si>
    <t>Скосить бурьян</t>
  </si>
  <si>
    <t>Доска 25*150</t>
  </si>
  <si>
    <t>Дутов</t>
  </si>
  <si>
    <t>Казарин</t>
  </si>
  <si>
    <t>Доска 50*150</t>
  </si>
  <si>
    <t>Пигида</t>
  </si>
  <si>
    <t>Строймаг</t>
  </si>
  <si>
    <t>Чистый мир</t>
  </si>
  <si>
    <t>Прайс магазинов</t>
  </si>
  <si>
    <t>Мастер</t>
  </si>
  <si>
    <t>м</t>
  </si>
  <si>
    <t>Бур (2000)</t>
  </si>
  <si>
    <t>Подарок</t>
  </si>
  <si>
    <t>ПГС 15 тонн</t>
  </si>
  <si>
    <t>Труба ПВХ 110 (2 м)</t>
  </si>
  <si>
    <t>Заглушка 110 мм</t>
  </si>
  <si>
    <t>Хомут 110 мм</t>
  </si>
  <si>
    <t>2*20 руб</t>
  </si>
  <si>
    <t>Фейри</t>
  </si>
  <si>
    <t>Для мытья бочек</t>
  </si>
  <si>
    <t>Доставка 7 бочек</t>
  </si>
  <si>
    <t>Трубы оцинк.</t>
  </si>
  <si>
    <t>Муфты</t>
  </si>
  <si>
    <t>Наконечник</t>
  </si>
  <si>
    <t>Резьба на трубы</t>
  </si>
  <si>
    <t>Доставка труб</t>
  </si>
  <si>
    <t>*</t>
  </si>
  <si>
    <t>Аванс и отпускные</t>
  </si>
  <si>
    <t>Рубероид</t>
  </si>
  <si>
    <t>Чугунов</t>
  </si>
  <si>
    <t>Гидроуровень 5м</t>
  </si>
  <si>
    <t>Скоба 10*200 мм</t>
  </si>
  <si>
    <t>Медный купорос 100 гр</t>
  </si>
  <si>
    <t>Саморезы 3,5*51 200 шт</t>
  </si>
  <si>
    <t>Пленка полиэтил. 10*1,5 м</t>
  </si>
  <si>
    <t>Гвозди 100*4 мм</t>
  </si>
  <si>
    <t>Садовый вар 150 гр.</t>
  </si>
  <si>
    <t>1,124 кг</t>
  </si>
  <si>
    <t>Заначка</t>
  </si>
  <si>
    <t>Доска 25*150 (3с)</t>
  </si>
  <si>
    <t>Премия</t>
  </si>
  <si>
    <t>Сетка для скважины</t>
  </si>
  <si>
    <t>13 см</t>
  </si>
  <si>
    <t>Трос стальной 1,5 мм 30 м</t>
  </si>
  <si>
    <t>Кабель силовой Ввгп 3*6</t>
  </si>
  <si>
    <t>1 метр для щитка</t>
  </si>
  <si>
    <t>Лента мерная 50 м</t>
  </si>
  <si>
    <t>Топорище</t>
  </si>
  <si>
    <t>Анкерный болт 12*120</t>
  </si>
  <si>
    <t>Муравьин</t>
  </si>
  <si>
    <t>Кассеты для рассады</t>
  </si>
  <si>
    <t>лунка</t>
  </si>
  <si>
    <t>Цемент М500</t>
  </si>
  <si>
    <t xml:space="preserve">Рубероид 1*15м </t>
  </si>
  <si>
    <t>Доставка</t>
  </si>
  <si>
    <t>Ведро оцин. 9л.</t>
  </si>
  <si>
    <t>Ведро оцин. 12л.</t>
  </si>
  <si>
    <t>28 карта + 9 нал.</t>
  </si>
  <si>
    <t>Семена (фасоль, тыква )</t>
  </si>
  <si>
    <t xml:space="preserve"> Фасоль Мавританка; Тыква: каравай, Лесной орех, Зимняя сладкая, Зимняя…</t>
  </si>
  <si>
    <t xml:space="preserve"> </t>
  </si>
  <si>
    <t>Кукуруза</t>
  </si>
  <si>
    <t>Споробактерии (фунгицид)</t>
  </si>
  <si>
    <t>Вязальная проволока (200 гр)</t>
  </si>
  <si>
    <t>Мотыга мини</t>
  </si>
  <si>
    <t>Сахарная, Лакомка Белогорья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</si>
</sst>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rgb="FF11111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sz val="8"/>
      <name val="Calibri"/>
      <family val="2"/>
      <scheme val="minor"/>
    </font>
    <font>
      <sz val="9"/>
      <color rgb="FF00000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0" borderId="2" xfId="0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5" fillId="0" borderId="0" xfId="0" applyFont="1"/>
    <xf numFmtId="1" fontId="0" fillId="3" borderId="2" xfId="0" applyNumberFormat="1" applyFill="1" applyBorder="1"/>
    <xf numFmtId="1" fontId="0" fillId="3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1" fontId="0" fillId="6" borderId="13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1" fontId="0" fillId="6" borderId="2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6" fillId="11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1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14" sqref="C14"/>
    </sheetView>
  </sheetViews>
  <sheetFormatPr defaultRowHeight="15" x14ac:dyDescent="0.25"/>
  <cols>
    <col min="1" max="2" width="14.7109375" style="3" customWidth="1"/>
    <col min="3" max="3" width="16.140625" style="3" customWidth="1"/>
    <col min="4" max="4" width="51.28515625" style="1" customWidth="1"/>
    <col min="5" max="8" width="14.7109375" style="1" customWidth="1"/>
  </cols>
  <sheetData>
    <row r="1" spans="1:4" ht="30.75" thickBot="1" x14ac:dyDescent="0.3">
      <c r="A1" s="2" t="s">
        <v>0</v>
      </c>
      <c r="B1" s="4" t="s">
        <v>14</v>
      </c>
      <c r="C1" s="3" t="s">
        <v>15</v>
      </c>
    </row>
    <row r="2" spans="1:4" ht="15.75" thickBot="1" x14ac:dyDescent="0.3">
      <c r="A2" s="3" t="s">
        <v>1</v>
      </c>
      <c r="B2" s="3">
        <v>2</v>
      </c>
      <c r="C2" s="3">
        <v>3</v>
      </c>
      <c r="D2" s="5" t="s">
        <v>8</v>
      </c>
    </row>
    <row r="3" spans="1:4" ht="15.75" thickBot="1" x14ac:dyDescent="0.3">
      <c r="A3" s="3" t="s">
        <v>2</v>
      </c>
      <c r="B3" s="3">
        <v>3</v>
      </c>
      <c r="C3" s="3">
        <v>4</v>
      </c>
      <c r="D3" s="5" t="s">
        <v>9</v>
      </c>
    </row>
    <row r="4" spans="1:4" x14ac:dyDescent="0.25">
      <c r="A4" s="3" t="s">
        <v>3</v>
      </c>
      <c r="B4" s="3">
        <v>7</v>
      </c>
      <c r="C4" s="3">
        <v>2</v>
      </c>
      <c r="D4" s="6" t="s">
        <v>10</v>
      </c>
    </row>
    <row r="5" spans="1:4" x14ac:dyDescent="0.25">
      <c r="A5" s="3" t="s">
        <v>4</v>
      </c>
      <c r="B5" s="3">
        <v>5</v>
      </c>
      <c r="C5" s="3">
        <v>0</v>
      </c>
      <c r="D5" s="6" t="s">
        <v>11</v>
      </c>
    </row>
    <row r="6" spans="1:4" x14ac:dyDescent="0.25">
      <c r="A6" s="3" t="s">
        <v>5</v>
      </c>
      <c r="B6" s="3">
        <v>6</v>
      </c>
      <c r="C6" s="3">
        <v>1</v>
      </c>
      <c r="D6" s="6" t="s">
        <v>12</v>
      </c>
    </row>
    <row r="7" spans="1:4" ht="30" x14ac:dyDescent="0.25">
      <c r="A7" s="3" t="s">
        <v>6</v>
      </c>
      <c r="B7" s="3" t="s">
        <v>7</v>
      </c>
      <c r="D7" s="6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0645-0A60-48F5-B55C-6170E97D0FCA}">
  <dimension ref="A1:M113"/>
  <sheetViews>
    <sheetView tabSelected="1" workbookViewId="0">
      <pane ySplit="1" topLeftCell="A90" activePane="bottomLeft" state="frozen"/>
      <selection pane="bottomLeft" activeCell="D95" sqref="D95"/>
    </sheetView>
  </sheetViews>
  <sheetFormatPr defaultRowHeight="15" x14ac:dyDescent="0.25"/>
  <cols>
    <col min="1" max="1" width="11.7109375" style="7" customWidth="1"/>
    <col min="2" max="2" width="14.7109375" style="7" customWidth="1"/>
    <col min="3" max="3" width="8.28515625" style="7" customWidth="1"/>
    <col min="4" max="4" width="29.42578125" style="7" customWidth="1"/>
    <col min="5" max="5" width="7" style="7" customWidth="1"/>
    <col min="6" max="6" width="9.140625" style="7"/>
    <col min="7" max="7" width="30.85546875" style="7" customWidth="1"/>
    <col min="8" max="8" width="10.140625" bestFit="1" customWidth="1"/>
  </cols>
  <sheetData>
    <row r="1" spans="1:7" x14ac:dyDescent="0.25">
      <c r="A1" s="8" t="s">
        <v>70</v>
      </c>
      <c r="B1" s="27" t="s">
        <v>66</v>
      </c>
      <c r="C1" s="27" t="s">
        <v>68</v>
      </c>
      <c r="D1" s="60" t="s">
        <v>67</v>
      </c>
      <c r="E1" s="60" t="s">
        <v>18</v>
      </c>
      <c r="F1" s="60" t="str">
        <f>C1</f>
        <v>Руб.</v>
      </c>
      <c r="G1" s="7" t="s">
        <v>52</v>
      </c>
    </row>
    <row r="2" spans="1:7" x14ac:dyDescent="0.25">
      <c r="A2" s="61"/>
      <c r="B2" s="62"/>
      <c r="C2" s="62"/>
      <c r="D2" s="63"/>
      <c r="E2" s="63"/>
      <c r="F2" s="63"/>
    </row>
    <row r="3" spans="1:7" x14ac:dyDescent="0.25">
      <c r="A3" s="61">
        <v>43817</v>
      </c>
      <c r="B3" s="62"/>
      <c r="C3" s="62"/>
      <c r="D3" s="63" t="s">
        <v>108</v>
      </c>
      <c r="E3" s="63">
        <v>1</v>
      </c>
      <c r="F3" s="63">
        <v>6000</v>
      </c>
    </row>
    <row r="4" spans="1:7" x14ac:dyDescent="0.25">
      <c r="A4" s="61"/>
      <c r="B4" s="62"/>
      <c r="C4" s="62"/>
      <c r="D4" s="63"/>
      <c r="E4" s="63"/>
      <c r="F4" s="63"/>
    </row>
    <row r="5" spans="1:7" x14ac:dyDescent="0.25">
      <c r="A5" s="61">
        <v>43874</v>
      </c>
      <c r="B5" s="62"/>
      <c r="C5" s="62"/>
      <c r="D5" s="63" t="s">
        <v>110</v>
      </c>
      <c r="E5" s="63">
        <v>1</v>
      </c>
      <c r="F5" s="63">
        <v>163</v>
      </c>
    </row>
    <row r="6" spans="1:7" x14ac:dyDescent="0.25">
      <c r="A6" s="61">
        <v>43869</v>
      </c>
      <c r="B6" s="62"/>
      <c r="C6" s="62"/>
      <c r="D6" s="63" t="s">
        <v>109</v>
      </c>
      <c r="E6" s="63">
        <v>1</v>
      </c>
      <c r="F6" s="63">
        <v>1172</v>
      </c>
    </row>
    <row r="7" spans="1:7" x14ac:dyDescent="0.25">
      <c r="A7" s="61">
        <v>43873</v>
      </c>
      <c r="B7" s="62" t="s">
        <v>71</v>
      </c>
      <c r="C7" s="62">
        <v>15100</v>
      </c>
      <c r="D7" s="63"/>
      <c r="E7" s="63"/>
      <c r="F7" s="63"/>
    </row>
    <row r="8" spans="1:7" x14ac:dyDescent="0.25">
      <c r="A8" s="61">
        <v>43887</v>
      </c>
      <c r="B8" s="62"/>
      <c r="C8" s="62"/>
      <c r="D8" s="63" t="s">
        <v>106</v>
      </c>
      <c r="E8" s="63">
        <v>1</v>
      </c>
      <c r="F8" s="63">
        <v>6000</v>
      </c>
    </row>
    <row r="9" spans="1:7" x14ac:dyDescent="0.25">
      <c r="A9" s="61">
        <v>43888</v>
      </c>
      <c r="B9" s="62" t="s">
        <v>69</v>
      </c>
      <c r="C9" s="62">
        <v>15143</v>
      </c>
      <c r="D9" s="63"/>
      <c r="E9" s="63"/>
      <c r="F9" s="63"/>
    </row>
    <row r="10" spans="1:7" x14ac:dyDescent="0.25">
      <c r="A10" s="125" t="s">
        <v>132</v>
      </c>
      <c r="B10" s="69" t="s">
        <v>135</v>
      </c>
      <c r="C10" s="69">
        <f>SUM(C2:C9)</f>
        <v>30243</v>
      </c>
      <c r="D10" s="74" t="s">
        <v>136</v>
      </c>
      <c r="E10" s="74"/>
      <c r="F10" s="69">
        <f>SUM(F2:F9)</f>
        <v>13335</v>
      </c>
    </row>
    <row r="11" spans="1:7" ht="30" x14ac:dyDescent="0.25">
      <c r="A11" s="125"/>
      <c r="B11" s="74" t="s">
        <v>137</v>
      </c>
      <c r="C11" s="69">
        <f>C10</f>
        <v>30243</v>
      </c>
      <c r="D11" s="74"/>
      <c r="E11" s="74"/>
      <c r="F11" s="69"/>
    </row>
    <row r="12" spans="1:7" x14ac:dyDescent="0.25">
      <c r="A12" s="125"/>
      <c r="B12" s="69" t="s">
        <v>133</v>
      </c>
      <c r="C12" s="69">
        <f>12224+1600</f>
        <v>13824</v>
      </c>
      <c r="D12" s="69" t="s">
        <v>134</v>
      </c>
      <c r="E12" s="69"/>
      <c r="F12" s="69">
        <f>C11-F10-C12</f>
        <v>3084</v>
      </c>
    </row>
    <row r="13" spans="1:7" x14ac:dyDescent="0.25">
      <c r="A13" s="61">
        <v>43895</v>
      </c>
      <c r="B13" s="62"/>
      <c r="C13" s="62"/>
      <c r="D13" s="63" t="s">
        <v>96</v>
      </c>
      <c r="E13" s="63">
        <v>1</v>
      </c>
      <c r="F13" s="63">
        <v>7030</v>
      </c>
    </row>
    <row r="14" spans="1:7" x14ac:dyDescent="0.25">
      <c r="A14" s="61">
        <v>43895</v>
      </c>
      <c r="B14" s="62"/>
      <c r="C14" s="62"/>
      <c r="D14" s="63" t="s">
        <v>97</v>
      </c>
      <c r="E14" s="63">
        <v>10</v>
      </c>
      <c r="F14" s="63">
        <v>942</v>
      </c>
    </row>
    <row r="15" spans="1:7" x14ac:dyDescent="0.25">
      <c r="A15" s="61">
        <v>43895</v>
      </c>
      <c r="B15" s="62"/>
      <c r="C15" s="62"/>
      <c r="D15" s="63" t="s">
        <v>98</v>
      </c>
      <c r="E15" s="63">
        <v>1</v>
      </c>
      <c r="F15" s="63">
        <v>200</v>
      </c>
    </row>
    <row r="16" spans="1:7" s="1" customFormat="1" ht="30" x14ac:dyDescent="0.25">
      <c r="A16" s="64">
        <v>43896</v>
      </c>
      <c r="B16" s="65"/>
      <c r="C16" s="65"/>
      <c r="D16" s="66" t="s">
        <v>107</v>
      </c>
      <c r="E16" s="66">
        <v>1</v>
      </c>
      <c r="F16" s="66">
        <v>550</v>
      </c>
      <c r="G16" s="3"/>
    </row>
    <row r="17" spans="1:6" x14ac:dyDescent="0.25">
      <c r="A17" s="61">
        <v>43897</v>
      </c>
      <c r="B17" s="62"/>
      <c r="C17" s="62"/>
      <c r="D17" s="63" t="s">
        <v>99</v>
      </c>
      <c r="E17" s="63">
        <v>1</v>
      </c>
      <c r="F17" s="63">
        <v>600</v>
      </c>
    </row>
    <row r="18" spans="1:6" x14ac:dyDescent="0.25">
      <c r="A18" s="61">
        <v>43897</v>
      </c>
      <c r="B18" s="62"/>
      <c r="C18" s="62"/>
      <c r="D18" s="63" t="s">
        <v>100</v>
      </c>
      <c r="E18" s="63">
        <v>1</v>
      </c>
      <c r="F18" s="63">
        <v>425</v>
      </c>
    </row>
    <row r="19" spans="1:6" x14ac:dyDescent="0.25">
      <c r="A19" s="61">
        <v>43897</v>
      </c>
      <c r="B19" s="62"/>
      <c r="C19" s="62"/>
      <c r="D19" s="63" t="s">
        <v>101</v>
      </c>
      <c r="E19" s="63">
        <v>1</v>
      </c>
      <c r="F19" s="63">
        <v>200</v>
      </c>
    </row>
    <row r="20" spans="1:6" x14ac:dyDescent="0.25">
      <c r="A20" s="61">
        <v>43897</v>
      </c>
      <c r="B20" s="62"/>
      <c r="C20" s="62"/>
      <c r="D20" s="63" t="s">
        <v>129</v>
      </c>
      <c r="E20" s="63">
        <v>1</v>
      </c>
      <c r="F20" s="63">
        <v>2000</v>
      </c>
    </row>
    <row r="21" spans="1:6" x14ac:dyDescent="0.25">
      <c r="A21" s="61">
        <v>43899</v>
      </c>
      <c r="B21" s="62"/>
      <c r="C21" s="62"/>
      <c r="D21" s="63" t="s">
        <v>102</v>
      </c>
      <c r="E21" s="63">
        <v>1</v>
      </c>
      <c r="F21" s="63">
        <v>205</v>
      </c>
    </row>
    <row r="22" spans="1:6" x14ac:dyDescent="0.25">
      <c r="A22" s="61">
        <v>43899</v>
      </c>
      <c r="B22" s="62"/>
      <c r="C22" s="62"/>
      <c r="D22" s="63" t="s">
        <v>103</v>
      </c>
      <c r="E22" s="63">
        <v>1</v>
      </c>
      <c r="F22" s="63">
        <v>105</v>
      </c>
    </row>
    <row r="23" spans="1:6" x14ac:dyDescent="0.25">
      <c r="A23" s="61">
        <v>43899</v>
      </c>
      <c r="B23" s="62"/>
      <c r="C23" s="62"/>
      <c r="D23" s="63" t="s">
        <v>105</v>
      </c>
      <c r="E23" s="63">
        <v>1</v>
      </c>
      <c r="F23" s="63">
        <v>150</v>
      </c>
    </row>
    <row r="24" spans="1:6" x14ac:dyDescent="0.25">
      <c r="A24" s="61">
        <v>43899</v>
      </c>
      <c r="B24" s="62"/>
      <c r="C24" s="62"/>
      <c r="D24" s="63" t="s">
        <v>104</v>
      </c>
      <c r="E24" s="63">
        <v>1</v>
      </c>
      <c r="F24" s="63">
        <v>300</v>
      </c>
    </row>
    <row r="25" spans="1:6" x14ac:dyDescent="0.25">
      <c r="A25" s="61">
        <v>43902</v>
      </c>
      <c r="B25" s="62" t="s">
        <v>71</v>
      </c>
      <c r="C25" s="62">
        <v>15100</v>
      </c>
      <c r="D25" s="63" t="s">
        <v>95</v>
      </c>
      <c r="E25" s="63">
        <v>1</v>
      </c>
      <c r="F25" s="63">
        <v>3461</v>
      </c>
    </row>
    <row r="26" spans="1:6" x14ac:dyDescent="0.25">
      <c r="A26" s="61">
        <v>43915</v>
      </c>
      <c r="B26" s="62"/>
      <c r="C26" s="62"/>
      <c r="D26" s="63" t="s">
        <v>120</v>
      </c>
      <c r="E26" s="63">
        <v>1</v>
      </c>
      <c r="F26" s="63">
        <v>1506</v>
      </c>
    </row>
    <row r="27" spans="1:6" x14ac:dyDescent="0.25">
      <c r="A27" s="61">
        <v>43909</v>
      </c>
      <c r="B27" s="62"/>
      <c r="C27" s="62"/>
      <c r="D27" s="63" t="s">
        <v>131</v>
      </c>
      <c r="E27" s="63">
        <v>1</v>
      </c>
      <c r="F27" s="63">
        <v>1000</v>
      </c>
    </row>
    <row r="28" spans="1:6" x14ac:dyDescent="0.25">
      <c r="A28" s="61">
        <v>43915</v>
      </c>
      <c r="B28" s="62"/>
      <c r="C28" s="62"/>
      <c r="D28" s="63" t="s">
        <v>121</v>
      </c>
      <c r="E28" s="63">
        <v>1</v>
      </c>
      <c r="F28" s="63">
        <v>320</v>
      </c>
    </row>
    <row r="29" spans="1:6" x14ac:dyDescent="0.25">
      <c r="A29" s="61">
        <v>43915</v>
      </c>
      <c r="B29" s="62"/>
      <c r="C29" s="62"/>
      <c r="D29" s="63" t="s">
        <v>121</v>
      </c>
      <c r="E29" s="63">
        <v>1</v>
      </c>
      <c r="F29" s="63">
        <v>320</v>
      </c>
    </row>
    <row r="30" spans="1:6" x14ac:dyDescent="0.25">
      <c r="A30" s="61">
        <v>43915</v>
      </c>
      <c r="B30" s="62"/>
      <c r="C30" s="62"/>
      <c r="D30" s="63" t="s">
        <v>123</v>
      </c>
      <c r="E30" s="63">
        <v>1</v>
      </c>
      <c r="F30" s="63">
        <v>98</v>
      </c>
    </row>
    <row r="31" spans="1:6" x14ac:dyDescent="0.25">
      <c r="A31" s="61">
        <v>43915</v>
      </c>
      <c r="B31" s="62"/>
      <c r="C31" s="62"/>
      <c r="D31" s="63" t="s">
        <v>124</v>
      </c>
      <c r="E31" s="63">
        <v>1</v>
      </c>
      <c r="F31" s="63">
        <v>98</v>
      </c>
    </row>
    <row r="32" spans="1:6" x14ac:dyDescent="0.25">
      <c r="A32" s="61">
        <v>43915</v>
      </c>
      <c r="B32" s="62"/>
      <c r="C32" s="62"/>
      <c r="D32" s="63" t="s">
        <v>122</v>
      </c>
      <c r="E32" s="63">
        <v>1</v>
      </c>
      <c r="F32" s="63">
        <v>150</v>
      </c>
    </row>
    <row r="33" spans="1:6" x14ac:dyDescent="0.25">
      <c r="A33" s="61">
        <v>43915</v>
      </c>
      <c r="B33" s="62"/>
      <c r="C33" s="62"/>
      <c r="D33" s="63" t="s">
        <v>125</v>
      </c>
      <c r="E33" s="63">
        <v>1</v>
      </c>
      <c r="F33" s="63">
        <v>134</v>
      </c>
    </row>
    <row r="34" spans="1:6" x14ac:dyDescent="0.25">
      <c r="A34" s="61">
        <v>43915</v>
      </c>
      <c r="B34" s="62"/>
      <c r="C34" s="62"/>
      <c r="D34" s="63" t="s">
        <v>126</v>
      </c>
      <c r="E34" s="63">
        <v>1</v>
      </c>
      <c r="F34" s="63">
        <v>12</v>
      </c>
    </row>
    <row r="35" spans="1:6" x14ac:dyDescent="0.25">
      <c r="A35" s="61">
        <v>43915</v>
      </c>
      <c r="B35" s="62"/>
      <c r="C35" s="62"/>
      <c r="D35" s="63" t="s">
        <v>126</v>
      </c>
      <c r="E35" s="63">
        <v>1</v>
      </c>
      <c r="F35" s="63">
        <v>12</v>
      </c>
    </row>
    <row r="36" spans="1:6" x14ac:dyDescent="0.25">
      <c r="A36" s="61">
        <v>43915</v>
      </c>
      <c r="B36" s="62"/>
      <c r="C36" s="62"/>
      <c r="D36" s="63" t="s">
        <v>127</v>
      </c>
      <c r="E36" s="63">
        <v>1</v>
      </c>
      <c r="F36" s="63">
        <v>21</v>
      </c>
    </row>
    <row r="37" spans="1:6" x14ac:dyDescent="0.25">
      <c r="A37" s="61">
        <v>43917</v>
      </c>
      <c r="B37" s="62" t="s">
        <v>69</v>
      </c>
      <c r="C37" s="62">
        <v>15144</v>
      </c>
      <c r="D37" s="63"/>
      <c r="E37" s="63"/>
      <c r="F37" s="63"/>
    </row>
    <row r="38" spans="1:6" ht="30" x14ac:dyDescent="0.25">
      <c r="A38" s="61">
        <v>43917</v>
      </c>
      <c r="B38" s="62"/>
      <c r="C38" s="62"/>
      <c r="D38" s="66" t="s">
        <v>128</v>
      </c>
      <c r="E38" s="66">
        <v>1</v>
      </c>
      <c r="F38" s="63">
        <v>722</v>
      </c>
    </row>
    <row r="39" spans="1:6" ht="30" x14ac:dyDescent="0.25">
      <c r="A39" s="70">
        <v>43917</v>
      </c>
      <c r="B39" s="71"/>
      <c r="C39" s="71"/>
      <c r="D39" s="72" t="s">
        <v>152</v>
      </c>
      <c r="E39" s="72">
        <v>1</v>
      </c>
      <c r="F39" s="73">
        <v>1600</v>
      </c>
    </row>
    <row r="40" spans="1:6" x14ac:dyDescent="0.25">
      <c r="A40" s="70">
        <v>43918</v>
      </c>
      <c r="B40" s="71"/>
      <c r="C40" s="71"/>
      <c r="D40" s="72" t="s">
        <v>141</v>
      </c>
      <c r="E40" s="72">
        <v>1</v>
      </c>
      <c r="F40" s="73">
        <v>115</v>
      </c>
    </row>
    <row r="41" spans="1:6" x14ac:dyDescent="0.25">
      <c r="A41" s="70">
        <v>43918</v>
      </c>
      <c r="B41" s="71"/>
      <c r="C41" s="71"/>
      <c r="D41" s="72" t="s">
        <v>142</v>
      </c>
      <c r="E41" s="72">
        <v>1</v>
      </c>
      <c r="F41" s="73">
        <v>115</v>
      </c>
    </row>
    <row r="42" spans="1:6" x14ac:dyDescent="0.25">
      <c r="A42" s="70">
        <v>43918</v>
      </c>
      <c r="B42" s="71"/>
      <c r="C42" s="71"/>
      <c r="D42" s="72" t="s">
        <v>143</v>
      </c>
      <c r="E42" s="72">
        <v>1</v>
      </c>
      <c r="F42" s="73">
        <v>36</v>
      </c>
    </row>
    <row r="43" spans="1:6" x14ac:dyDescent="0.25">
      <c r="A43" s="70">
        <v>43918</v>
      </c>
      <c r="B43" s="71"/>
      <c r="C43" s="71"/>
      <c r="D43" s="72" t="s">
        <v>143</v>
      </c>
      <c r="E43" s="72">
        <v>1</v>
      </c>
      <c r="F43" s="73">
        <v>40</v>
      </c>
    </row>
    <row r="44" spans="1:6" x14ac:dyDescent="0.25">
      <c r="A44" s="125" t="s">
        <v>94</v>
      </c>
      <c r="B44" s="69" t="s">
        <v>135</v>
      </c>
      <c r="C44" s="69">
        <f>SUM(C13:C43)</f>
        <v>30244</v>
      </c>
      <c r="D44" s="74" t="s">
        <v>136</v>
      </c>
      <c r="E44" s="74"/>
      <c r="F44" s="69">
        <f>SUM(F13:F43)</f>
        <v>22467</v>
      </c>
    </row>
    <row r="45" spans="1:6" ht="30" x14ac:dyDescent="0.25">
      <c r="A45" s="125"/>
      <c r="B45" s="74" t="s">
        <v>137</v>
      </c>
      <c r="C45" s="69">
        <f>C44+C12</f>
        <v>44068</v>
      </c>
      <c r="D45" s="74"/>
      <c r="E45" s="74"/>
      <c r="F45" s="69"/>
    </row>
    <row r="46" spans="1:6" x14ac:dyDescent="0.25">
      <c r="A46" s="125"/>
      <c r="B46" s="69" t="s">
        <v>133</v>
      </c>
      <c r="C46" s="69">
        <v>21601</v>
      </c>
      <c r="D46" s="69" t="s">
        <v>134</v>
      </c>
      <c r="E46" s="69"/>
      <c r="F46" s="69">
        <f>C45-F44-C46</f>
        <v>0</v>
      </c>
    </row>
    <row r="47" spans="1:6" x14ac:dyDescent="0.25">
      <c r="A47" s="98">
        <v>43926</v>
      </c>
      <c r="B47" s="99"/>
      <c r="C47" s="100"/>
      <c r="D47" s="101" t="s">
        <v>154</v>
      </c>
      <c r="E47" s="101">
        <v>1</v>
      </c>
      <c r="F47" s="101">
        <v>3500</v>
      </c>
    </row>
    <row r="48" spans="1:6" ht="30" x14ac:dyDescent="0.25">
      <c r="A48" s="98">
        <v>43931</v>
      </c>
      <c r="B48" s="99" t="s">
        <v>181</v>
      </c>
      <c r="C48" s="100">
        <v>25400</v>
      </c>
      <c r="D48" s="101"/>
      <c r="E48" s="101"/>
      <c r="F48" s="101"/>
    </row>
    <row r="49" spans="1:7" x14ac:dyDescent="0.25">
      <c r="A49" s="98">
        <v>43933</v>
      </c>
      <c r="B49" s="99"/>
      <c r="C49" s="100"/>
      <c r="D49" s="101" t="s">
        <v>125</v>
      </c>
      <c r="E49" s="101">
        <v>1</v>
      </c>
      <c r="F49" s="101">
        <v>70</v>
      </c>
      <c r="G49" s="7" t="s">
        <v>180</v>
      </c>
    </row>
    <row r="50" spans="1:7" x14ac:dyDescent="0.25">
      <c r="A50" s="98">
        <v>43933</v>
      </c>
      <c r="B50" s="99"/>
      <c r="C50" s="100"/>
      <c r="D50" s="101" t="s">
        <v>174</v>
      </c>
      <c r="E50" s="101">
        <v>1</v>
      </c>
      <c r="F50" s="101">
        <v>1000</v>
      </c>
    </row>
    <row r="51" spans="1:7" x14ac:dyDescent="0.25">
      <c r="A51" s="98">
        <v>43934</v>
      </c>
      <c r="B51" s="99"/>
      <c r="C51" s="100"/>
      <c r="D51" s="101" t="s">
        <v>167</v>
      </c>
      <c r="E51" s="101">
        <v>1</v>
      </c>
      <c r="F51" s="101">
        <v>2500</v>
      </c>
    </row>
    <row r="52" spans="1:7" x14ac:dyDescent="0.25">
      <c r="A52" s="98">
        <v>43935</v>
      </c>
      <c r="B52" s="99" t="s">
        <v>166</v>
      </c>
      <c r="C52" s="100">
        <v>1500</v>
      </c>
      <c r="D52" s="101"/>
      <c r="E52" s="101"/>
      <c r="F52" s="101"/>
    </row>
    <row r="53" spans="1:7" x14ac:dyDescent="0.25">
      <c r="A53" s="98">
        <v>43935</v>
      </c>
      <c r="B53" s="99"/>
      <c r="C53" s="100"/>
      <c r="D53" s="101" t="s">
        <v>165</v>
      </c>
      <c r="E53" s="101">
        <v>1</v>
      </c>
      <c r="F53" s="101">
        <v>0</v>
      </c>
      <c r="G53" s="7" t="s">
        <v>166</v>
      </c>
    </row>
    <row r="54" spans="1:7" x14ac:dyDescent="0.25">
      <c r="A54" s="98">
        <v>43935</v>
      </c>
      <c r="B54" s="99"/>
      <c r="C54" s="100"/>
      <c r="D54" s="101" t="s">
        <v>168</v>
      </c>
      <c r="E54" s="101">
        <v>1</v>
      </c>
      <c r="F54" s="101">
        <v>414</v>
      </c>
    </row>
    <row r="55" spans="1:7" x14ac:dyDescent="0.25">
      <c r="A55" s="98"/>
      <c r="B55" s="99"/>
      <c r="C55" s="100"/>
      <c r="D55" s="101" t="s">
        <v>169</v>
      </c>
      <c r="E55" s="101">
        <v>1</v>
      </c>
      <c r="F55" s="101">
        <v>20</v>
      </c>
    </row>
    <row r="56" spans="1:7" x14ac:dyDescent="0.25">
      <c r="A56" s="98"/>
      <c r="B56" s="99"/>
      <c r="C56" s="100"/>
      <c r="D56" s="101" t="s">
        <v>170</v>
      </c>
      <c r="E56" s="101">
        <v>2</v>
      </c>
      <c r="F56" s="101">
        <v>40</v>
      </c>
      <c r="G56" s="7" t="s">
        <v>171</v>
      </c>
    </row>
    <row r="57" spans="1:7" x14ac:dyDescent="0.25">
      <c r="A57" s="98"/>
      <c r="B57" s="99"/>
      <c r="C57" s="100"/>
      <c r="D57" s="101" t="s">
        <v>172</v>
      </c>
      <c r="E57" s="101">
        <v>1</v>
      </c>
      <c r="F57" s="101">
        <v>100</v>
      </c>
      <c r="G57" s="7" t="s">
        <v>173</v>
      </c>
    </row>
    <row r="58" spans="1:7" x14ac:dyDescent="0.25">
      <c r="A58" s="61">
        <v>43936</v>
      </c>
      <c r="B58" s="62" t="s">
        <v>130</v>
      </c>
      <c r="C58" s="62">
        <v>5000</v>
      </c>
      <c r="D58" s="63"/>
      <c r="E58" s="63"/>
      <c r="F58" s="63"/>
    </row>
    <row r="59" spans="1:7" x14ac:dyDescent="0.25">
      <c r="A59" s="61">
        <v>43936</v>
      </c>
      <c r="B59" s="123" t="s">
        <v>192</v>
      </c>
      <c r="C59" s="123">
        <v>5000</v>
      </c>
      <c r="D59" s="124"/>
      <c r="E59" s="124"/>
      <c r="F59" s="124"/>
    </row>
    <row r="60" spans="1:7" x14ac:dyDescent="0.25">
      <c r="A60" s="98">
        <v>43936</v>
      </c>
      <c r="B60" s="99"/>
      <c r="C60" s="100"/>
      <c r="D60" s="101" t="s">
        <v>175</v>
      </c>
      <c r="E60" s="101">
        <v>3</v>
      </c>
      <c r="F60" s="101">
        <f>870*3</f>
        <v>2610</v>
      </c>
    </row>
    <row r="61" spans="1:7" x14ac:dyDescent="0.25">
      <c r="A61" s="98"/>
      <c r="B61" s="99"/>
      <c r="C61" s="100"/>
      <c r="D61" s="101" t="s">
        <v>179</v>
      </c>
      <c r="E61" s="101">
        <v>1</v>
      </c>
      <c r="F61" s="101">
        <v>250</v>
      </c>
    </row>
    <row r="62" spans="1:7" x14ac:dyDescent="0.25">
      <c r="A62" s="61"/>
      <c r="B62" s="62"/>
      <c r="C62" s="62"/>
      <c r="D62" s="63" t="s">
        <v>176</v>
      </c>
      <c r="E62" s="63">
        <v>1</v>
      </c>
      <c r="F62" s="63">
        <v>450</v>
      </c>
    </row>
    <row r="63" spans="1:7" x14ac:dyDescent="0.25">
      <c r="A63" s="8"/>
      <c r="B63" s="62"/>
      <c r="C63" s="62"/>
      <c r="D63" s="63" t="s">
        <v>177</v>
      </c>
      <c r="E63" s="63">
        <v>1</v>
      </c>
      <c r="F63" s="63">
        <v>300</v>
      </c>
    </row>
    <row r="64" spans="1:7" x14ac:dyDescent="0.25">
      <c r="A64" s="8"/>
      <c r="B64" s="62"/>
      <c r="C64" s="62"/>
      <c r="D64" s="63" t="s">
        <v>178</v>
      </c>
      <c r="E64" s="63">
        <v>1</v>
      </c>
      <c r="F64" s="63">
        <v>1000</v>
      </c>
    </row>
    <row r="65" spans="1:7" x14ac:dyDescent="0.25">
      <c r="A65" s="61">
        <v>43938</v>
      </c>
      <c r="B65" s="62"/>
      <c r="C65" s="62"/>
      <c r="D65" s="63" t="s">
        <v>184</v>
      </c>
      <c r="E65" s="63">
        <v>1</v>
      </c>
      <c r="F65" s="63">
        <v>100</v>
      </c>
    </row>
    <row r="66" spans="1:7" x14ac:dyDescent="0.25">
      <c r="A66" s="61">
        <v>43938</v>
      </c>
      <c r="B66" s="62"/>
      <c r="C66" s="62"/>
      <c r="D66" s="63" t="s">
        <v>185</v>
      </c>
      <c r="E66" s="63">
        <v>6</v>
      </c>
      <c r="F66" s="63">
        <f>6*27</f>
        <v>162</v>
      </c>
    </row>
    <row r="67" spans="1:7" x14ac:dyDescent="0.25">
      <c r="A67" s="61">
        <v>43938</v>
      </c>
      <c r="B67" s="62"/>
      <c r="C67" s="62"/>
      <c r="D67" s="63" t="s">
        <v>186</v>
      </c>
      <c r="E67" s="63">
        <v>1</v>
      </c>
      <c r="F67" s="63">
        <v>36</v>
      </c>
    </row>
    <row r="68" spans="1:7" x14ac:dyDescent="0.25">
      <c r="A68" s="61">
        <v>43938</v>
      </c>
      <c r="B68" s="62"/>
      <c r="C68" s="62"/>
      <c r="D68" s="63" t="s">
        <v>187</v>
      </c>
      <c r="E68" s="63">
        <v>1</v>
      </c>
      <c r="F68" s="63">
        <v>145</v>
      </c>
    </row>
    <row r="69" spans="1:7" x14ac:dyDescent="0.25">
      <c r="A69" s="61">
        <v>43938</v>
      </c>
      <c r="B69" s="62"/>
      <c r="C69" s="62"/>
      <c r="D69" s="63" t="s">
        <v>188</v>
      </c>
      <c r="E69" s="63">
        <v>1</v>
      </c>
      <c r="F69" s="63">
        <v>155</v>
      </c>
    </row>
    <row r="70" spans="1:7" x14ac:dyDescent="0.25">
      <c r="A70" s="61">
        <v>43938</v>
      </c>
      <c r="B70" s="62"/>
      <c r="C70" s="62"/>
      <c r="D70" s="63" t="s">
        <v>189</v>
      </c>
      <c r="E70" s="63">
        <v>1</v>
      </c>
      <c r="F70" s="63">
        <v>84</v>
      </c>
      <c r="G70" s="7" t="s">
        <v>191</v>
      </c>
    </row>
    <row r="71" spans="1:7" x14ac:dyDescent="0.25">
      <c r="A71" s="61">
        <v>43938</v>
      </c>
      <c r="B71" s="62"/>
      <c r="C71" s="62"/>
      <c r="D71" s="63" t="s">
        <v>190</v>
      </c>
      <c r="E71" s="63">
        <v>1</v>
      </c>
      <c r="F71" s="63">
        <v>37</v>
      </c>
    </row>
    <row r="72" spans="1:7" x14ac:dyDescent="0.25">
      <c r="A72" s="61">
        <v>43941</v>
      </c>
      <c r="B72" s="62" t="s">
        <v>194</v>
      </c>
      <c r="C72" s="62">
        <v>8704</v>
      </c>
      <c r="D72" s="63"/>
      <c r="E72" s="63"/>
      <c r="F72" s="63"/>
    </row>
    <row r="73" spans="1:7" x14ac:dyDescent="0.25">
      <c r="A73" s="61">
        <v>43944</v>
      </c>
      <c r="B73" s="62"/>
      <c r="C73" s="62"/>
      <c r="D73" s="63" t="s">
        <v>195</v>
      </c>
      <c r="E73" s="63">
        <v>1</v>
      </c>
      <c r="F73" s="63">
        <v>572</v>
      </c>
      <c r="G73" s="7" t="s">
        <v>196</v>
      </c>
    </row>
    <row r="74" spans="1:7" x14ac:dyDescent="0.25">
      <c r="A74" s="61">
        <v>43944</v>
      </c>
      <c r="B74" s="62"/>
      <c r="C74" s="62"/>
      <c r="D74" s="63" t="s">
        <v>197</v>
      </c>
      <c r="E74" s="63">
        <v>1</v>
      </c>
      <c r="F74" s="63">
        <v>180</v>
      </c>
    </row>
    <row r="75" spans="1:7" x14ac:dyDescent="0.25">
      <c r="A75" s="61">
        <v>43944</v>
      </c>
      <c r="B75" s="62"/>
      <c r="C75" s="62"/>
      <c r="D75" s="63" t="s">
        <v>198</v>
      </c>
      <c r="E75" s="63">
        <v>1</v>
      </c>
      <c r="F75" s="63">
        <v>101</v>
      </c>
      <c r="G75" s="7" t="s">
        <v>199</v>
      </c>
    </row>
    <row r="76" spans="1:7" x14ac:dyDescent="0.25">
      <c r="A76" s="61">
        <v>43944</v>
      </c>
      <c r="B76" s="62"/>
      <c r="C76" s="62"/>
      <c r="D76" s="63" t="s">
        <v>200</v>
      </c>
      <c r="E76" s="63">
        <v>1</v>
      </c>
      <c r="F76" s="63">
        <v>458</v>
      </c>
    </row>
    <row r="77" spans="1:7" x14ac:dyDescent="0.25">
      <c r="A77" s="61">
        <v>43944</v>
      </c>
      <c r="B77" s="62"/>
      <c r="C77" s="62"/>
      <c r="D77" s="63" t="s">
        <v>201</v>
      </c>
      <c r="E77" s="63">
        <v>1</v>
      </c>
      <c r="F77" s="63">
        <v>77</v>
      </c>
    </row>
    <row r="78" spans="1:7" x14ac:dyDescent="0.25">
      <c r="A78" s="61">
        <v>43944</v>
      </c>
      <c r="B78" s="62"/>
      <c r="C78" s="62"/>
      <c r="D78" s="63" t="s">
        <v>202</v>
      </c>
      <c r="E78" s="63">
        <v>4</v>
      </c>
      <c r="F78" s="63">
        <f>34*4</f>
        <v>136</v>
      </c>
    </row>
    <row r="79" spans="1:7" x14ac:dyDescent="0.25">
      <c r="A79" s="61">
        <v>43944</v>
      </c>
      <c r="B79" s="62"/>
      <c r="C79" s="62"/>
      <c r="D79" s="63" t="s">
        <v>203</v>
      </c>
      <c r="E79" s="63">
        <v>2</v>
      </c>
      <c r="F79" s="63">
        <f>14*2</f>
        <v>28</v>
      </c>
    </row>
    <row r="80" spans="1:7" x14ac:dyDescent="0.25">
      <c r="A80" s="61">
        <v>43944</v>
      </c>
      <c r="B80" s="62"/>
      <c r="C80" s="62"/>
      <c r="D80" s="63" t="s">
        <v>204</v>
      </c>
      <c r="E80" s="63">
        <v>4</v>
      </c>
      <c r="F80" s="63">
        <f>4*5</f>
        <v>20</v>
      </c>
    </row>
    <row r="81" spans="1:8" x14ac:dyDescent="0.25">
      <c r="A81" s="61">
        <v>43948</v>
      </c>
      <c r="B81" s="62" t="s">
        <v>69</v>
      </c>
      <c r="C81" s="62">
        <v>5518</v>
      </c>
      <c r="D81" s="63"/>
      <c r="E81" s="63"/>
      <c r="F81" s="63"/>
    </row>
    <row r="82" spans="1:8" x14ac:dyDescent="0.25">
      <c r="A82" s="61">
        <v>43951</v>
      </c>
      <c r="B82" s="62"/>
      <c r="C82" s="62"/>
      <c r="D82" s="63" t="s">
        <v>206</v>
      </c>
      <c r="E82" s="63">
        <v>3</v>
      </c>
      <c r="F82" s="63">
        <f>440*E82</f>
        <v>1320</v>
      </c>
      <c r="G82" s="7">
        <v>440</v>
      </c>
    </row>
    <row r="83" spans="1:8" x14ac:dyDescent="0.25">
      <c r="A83" s="61">
        <v>43951</v>
      </c>
      <c r="B83" s="62"/>
      <c r="C83" s="62"/>
      <c r="D83" s="63" t="s">
        <v>207</v>
      </c>
      <c r="E83" s="63">
        <v>2</v>
      </c>
      <c r="F83" s="63">
        <f>600*E83</f>
        <v>1200</v>
      </c>
      <c r="G83" s="7">
        <v>600</v>
      </c>
    </row>
    <row r="84" spans="1:8" x14ac:dyDescent="0.25">
      <c r="A84" s="64">
        <v>43951</v>
      </c>
      <c r="B84" s="62"/>
      <c r="C84" s="62"/>
      <c r="D84" s="63" t="s">
        <v>208</v>
      </c>
      <c r="E84" s="63">
        <v>1</v>
      </c>
      <c r="F84" s="63">
        <v>200</v>
      </c>
      <c r="G84" s="7">
        <v>200</v>
      </c>
    </row>
    <row r="85" spans="1:8" x14ac:dyDescent="0.25">
      <c r="A85" s="125" t="s">
        <v>138</v>
      </c>
      <c r="B85" s="69" t="s">
        <v>135</v>
      </c>
      <c r="C85" s="69">
        <f>SUM(C47:C84)</f>
        <v>51122</v>
      </c>
      <c r="D85" s="74" t="s">
        <v>136</v>
      </c>
      <c r="E85" s="74"/>
      <c r="F85" s="69">
        <f>SUM(F47:F84)</f>
        <v>17265</v>
      </c>
    </row>
    <row r="86" spans="1:8" ht="30" x14ac:dyDescent="0.25">
      <c r="A86" s="125"/>
      <c r="B86" s="74" t="s">
        <v>137</v>
      </c>
      <c r="C86" s="69">
        <f>C85+C46</f>
        <v>72723</v>
      </c>
      <c r="D86" s="74"/>
      <c r="E86" s="74"/>
      <c r="F86" s="69"/>
    </row>
    <row r="87" spans="1:8" x14ac:dyDescent="0.25">
      <c r="A87" s="125"/>
      <c r="B87" s="69" t="s">
        <v>133</v>
      </c>
      <c r="C87" s="69">
        <v>37000</v>
      </c>
      <c r="D87" s="69" t="s">
        <v>134</v>
      </c>
      <c r="E87" s="69"/>
      <c r="F87" s="69">
        <f>C86-F85-C87</f>
        <v>18458</v>
      </c>
      <c r="G87" s="7" t="s">
        <v>211</v>
      </c>
    </row>
    <row r="88" spans="1:8" x14ac:dyDescent="0.25">
      <c r="A88" s="61">
        <v>43954</v>
      </c>
      <c r="B88" s="62"/>
      <c r="C88" s="62"/>
      <c r="D88" s="63" t="s">
        <v>209</v>
      </c>
      <c r="E88" s="63">
        <v>1</v>
      </c>
      <c r="F88" s="63">
        <v>190</v>
      </c>
    </row>
    <row r="89" spans="1:8" x14ac:dyDescent="0.25">
      <c r="A89" s="61">
        <v>43954</v>
      </c>
      <c r="B89" s="62"/>
      <c r="C89" s="62"/>
      <c r="D89" s="63" t="s">
        <v>210</v>
      </c>
      <c r="E89" s="63">
        <v>1</v>
      </c>
      <c r="F89" s="63">
        <v>200</v>
      </c>
    </row>
    <row r="90" spans="1:8" ht="45" x14ac:dyDescent="0.25">
      <c r="A90" s="61">
        <v>43954</v>
      </c>
      <c r="B90" s="62"/>
      <c r="C90" s="62"/>
      <c r="D90" s="63" t="s">
        <v>212</v>
      </c>
      <c r="E90" s="63"/>
      <c r="F90" s="63">
        <v>116</v>
      </c>
      <c r="G90" s="3" t="s">
        <v>213</v>
      </c>
    </row>
    <row r="91" spans="1:8" x14ac:dyDescent="0.25">
      <c r="A91" s="61">
        <v>43959</v>
      </c>
      <c r="B91" s="62"/>
      <c r="C91" s="62"/>
      <c r="D91" s="63" t="s">
        <v>215</v>
      </c>
      <c r="E91" s="63">
        <v>2</v>
      </c>
      <c r="F91" s="63">
        <v>38</v>
      </c>
      <c r="G91" s="7" t="s">
        <v>219</v>
      </c>
    </row>
    <row r="92" spans="1:8" x14ac:dyDescent="0.25">
      <c r="A92" s="61">
        <v>43959</v>
      </c>
      <c r="B92" s="62"/>
      <c r="C92" s="62"/>
      <c r="D92" s="63" t="s">
        <v>216</v>
      </c>
      <c r="E92" s="63">
        <v>1</v>
      </c>
      <c r="F92" s="63">
        <v>45</v>
      </c>
      <c r="H92" s="150"/>
    </row>
    <row r="93" spans="1:8" x14ac:dyDescent="0.25">
      <c r="A93" s="61">
        <v>43959</v>
      </c>
      <c r="B93" s="62"/>
      <c r="C93" s="62"/>
      <c r="D93" s="63" t="s">
        <v>217</v>
      </c>
      <c r="E93" s="63">
        <v>1</v>
      </c>
      <c r="F93" s="63">
        <v>50</v>
      </c>
    </row>
    <row r="94" spans="1:8" x14ac:dyDescent="0.25">
      <c r="A94" s="61">
        <v>43959</v>
      </c>
      <c r="B94" s="62"/>
      <c r="C94" s="62"/>
      <c r="D94" s="63" t="s">
        <v>218</v>
      </c>
      <c r="E94" s="63">
        <v>1</v>
      </c>
      <c r="F94" s="63">
        <v>38</v>
      </c>
    </row>
    <row r="95" spans="1:8" x14ac:dyDescent="0.25">
      <c r="A95" s="67"/>
      <c r="B95" s="62"/>
      <c r="C95" s="62"/>
      <c r="D95" s="63"/>
      <c r="E95" s="63"/>
      <c r="F95" s="63"/>
    </row>
    <row r="96" spans="1:8" x14ac:dyDescent="0.25">
      <c r="A96" s="67"/>
      <c r="B96" s="62"/>
      <c r="C96" s="62"/>
      <c r="D96" s="63"/>
      <c r="E96" s="63"/>
      <c r="F96" s="63"/>
    </row>
    <row r="97" spans="1:13" x14ac:dyDescent="0.25">
      <c r="A97" s="68"/>
      <c r="B97" s="62"/>
      <c r="C97" s="62"/>
      <c r="D97" s="63"/>
      <c r="E97" s="63"/>
      <c r="F97" s="63"/>
    </row>
    <row r="98" spans="1:13" x14ac:dyDescent="0.25">
      <c r="A98" s="68"/>
      <c r="B98" s="62"/>
      <c r="C98" s="62"/>
      <c r="D98" s="63"/>
      <c r="E98" s="63"/>
      <c r="F98" s="63"/>
    </row>
    <row r="99" spans="1:13" x14ac:dyDescent="0.25">
      <c r="A99" s="68"/>
      <c r="B99" s="62"/>
      <c r="C99" s="62"/>
      <c r="D99" s="63"/>
      <c r="E99" s="63"/>
      <c r="F99" s="63"/>
    </row>
    <row r="100" spans="1:13" x14ac:dyDescent="0.25">
      <c r="A100" s="68"/>
      <c r="B100" s="62"/>
      <c r="C100" s="62"/>
      <c r="D100" s="63"/>
      <c r="E100" s="63"/>
      <c r="F100" s="63"/>
    </row>
    <row r="101" spans="1:13" x14ac:dyDescent="0.25">
      <c r="A101" s="125" t="s">
        <v>139</v>
      </c>
      <c r="B101" s="69" t="s">
        <v>135</v>
      </c>
      <c r="C101" s="69">
        <f>SUM(C88:C100)</f>
        <v>0</v>
      </c>
      <c r="D101" s="74" t="s">
        <v>136</v>
      </c>
      <c r="E101" s="74"/>
      <c r="F101" s="69">
        <f>SUM(F88:F100)</f>
        <v>677</v>
      </c>
    </row>
    <row r="102" spans="1:13" ht="30" x14ac:dyDescent="0.25">
      <c r="A102" s="125"/>
      <c r="B102" s="74" t="s">
        <v>137</v>
      </c>
      <c r="C102" s="69">
        <f>C101+C87</f>
        <v>37000</v>
      </c>
      <c r="D102" s="74"/>
      <c r="E102" s="74"/>
      <c r="F102" s="69"/>
    </row>
    <row r="103" spans="1:13" x14ac:dyDescent="0.25">
      <c r="A103" s="125"/>
      <c r="B103" s="69" t="s">
        <v>133</v>
      </c>
      <c r="C103" s="69"/>
      <c r="D103" s="69" t="s">
        <v>134</v>
      </c>
      <c r="E103" s="69"/>
      <c r="F103" s="69">
        <f>C102-F101-C103</f>
        <v>36323</v>
      </c>
      <c r="M103" t="s">
        <v>214</v>
      </c>
    </row>
    <row r="104" spans="1:13" x14ac:dyDescent="0.25">
      <c r="A104" s="68"/>
      <c r="B104" s="62"/>
      <c r="C104" s="62"/>
      <c r="D104" s="63"/>
      <c r="E104" s="63"/>
      <c r="F104" s="63"/>
    </row>
    <row r="105" spans="1:13" x14ac:dyDescent="0.25">
      <c r="A105" s="68"/>
      <c r="B105" s="62"/>
      <c r="C105" s="62"/>
      <c r="D105" s="63"/>
      <c r="E105" s="63"/>
      <c r="F105" s="63"/>
    </row>
    <row r="106" spans="1:13" x14ac:dyDescent="0.25">
      <c r="A106" s="68"/>
      <c r="B106" s="62"/>
      <c r="C106" s="62"/>
      <c r="D106" s="63"/>
      <c r="E106" s="63"/>
      <c r="F106" s="63"/>
    </row>
    <row r="107" spans="1:13" x14ac:dyDescent="0.25">
      <c r="A107" s="68"/>
      <c r="B107" s="62"/>
      <c r="C107" s="62"/>
      <c r="D107" s="63"/>
      <c r="E107" s="63"/>
      <c r="F107" s="63"/>
    </row>
    <row r="108" spans="1:13" x14ac:dyDescent="0.25">
      <c r="A108" s="68"/>
      <c r="B108" s="62"/>
      <c r="C108" s="62"/>
      <c r="D108" s="63"/>
      <c r="E108" s="63"/>
      <c r="F108" s="63"/>
    </row>
    <row r="109" spans="1:13" x14ac:dyDescent="0.25">
      <c r="A109" s="125" t="s">
        <v>140</v>
      </c>
      <c r="B109" s="69" t="s">
        <v>135</v>
      </c>
      <c r="C109" s="69">
        <f>SUM(C104:C108)</f>
        <v>0</v>
      </c>
      <c r="D109" s="74" t="s">
        <v>136</v>
      </c>
      <c r="E109" s="74"/>
      <c r="F109" s="69">
        <f>SUM(F104:F108)</f>
        <v>0</v>
      </c>
    </row>
    <row r="110" spans="1:13" ht="30" x14ac:dyDescent="0.25">
      <c r="A110" s="125"/>
      <c r="B110" s="74" t="s">
        <v>137</v>
      </c>
      <c r="C110" s="69">
        <f>C109+C103</f>
        <v>0</v>
      </c>
      <c r="D110" s="74"/>
      <c r="E110" s="74"/>
      <c r="F110" s="69"/>
    </row>
    <row r="111" spans="1:13" x14ac:dyDescent="0.25">
      <c r="A111" s="125"/>
      <c r="B111" s="69" t="s">
        <v>133</v>
      </c>
      <c r="C111" s="69"/>
      <c r="D111" s="69" t="s">
        <v>134</v>
      </c>
      <c r="E111" s="69"/>
      <c r="F111" s="69">
        <f>C110-F109-C111</f>
        <v>0</v>
      </c>
    </row>
    <row r="112" spans="1:13" ht="15.75" thickBot="1" x14ac:dyDescent="0.3"/>
    <row r="113" spans="1:6" ht="30.75" thickBot="1" x14ac:dyDescent="0.3">
      <c r="A113" s="78" t="s">
        <v>144</v>
      </c>
      <c r="B113" s="79"/>
      <c r="C113" s="80">
        <f>C10+C44+C85+C101+C109</f>
        <v>111609</v>
      </c>
      <c r="D113" s="79"/>
      <c r="E113" s="122">
        <f>SUM(E2:E112)</f>
        <v>100</v>
      </c>
      <c r="F113" s="81">
        <f>F10+F44+F85+F101+F109</f>
        <v>53744</v>
      </c>
    </row>
  </sheetData>
  <mergeCells count="5">
    <mergeCell ref="A85:A87"/>
    <mergeCell ref="A101:A103"/>
    <mergeCell ref="A109:A111"/>
    <mergeCell ref="A44:A46"/>
    <mergeCell ref="A10:A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7AA3-E684-4613-91B6-64043C6FC50E}">
  <dimension ref="A1:O6"/>
  <sheetViews>
    <sheetView workbookViewId="0">
      <selection activeCell="E10" sqref="E10"/>
    </sheetView>
  </sheetViews>
  <sheetFormatPr defaultRowHeight="15" x14ac:dyDescent="0.25"/>
  <cols>
    <col min="1" max="1" width="11.28515625" customWidth="1"/>
    <col min="2" max="3" width="9.140625" style="7"/>
    <col min="4" max="4" width="9.85546875" style="7" customWidth="1"/>
    <col min="5" max="5" width="12" customWidth="1"/>
  </cols>
  <sheetData>
    <row r="1" spans="1:15" x14ac:dyDescent="0.25">
      <c r="A1" s="126" t="s">
        <v>111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15" x14ac:dyDescent="0.25">
      <c r="A2" s="127" t="s">
        <v>112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</row>
    <row r="3" spans="1:15" x14ac:dyDescent="0.25">
      <c r="A3" s="8"/>
      <c r="B3" s="128" t="s">
        <v>118</v>
      </c>
      <c r="C3" s="128"/>
      <c r="D3" s="8"/>
      <c r="E3" s="128" t="s">
        <v>118</v>
      </c>
      <c r="F3" s="128"/>
    </row>
    <row r="4" spans="1:15" ht="30" x14ac:dyDescent="0.25">
      <c r="A4" s="8" t="s">
        <v>113</v>
      </c>
      <c r="B4" s="8" t="s">
        <v>114</v>
      </c>
      <c r="C4" s="8" t="s">
        <v>117</v>
      </c>
      <c r="D4" s="59" t="s">
        <v>119</v>
      </c>
      <c r="E4" s="8" t="s">
        <v>116</v>
      </c>
      <c r="F4" s="8" t="s">
        <v>115</v>
      </c>
      <c r="I4" s="7" t="s">
        <v>146</v>
      </c>
      <c r="J4" s="7" t="s">
        <v>145</v>
      </c>
    </row>
    <row r="5" spans="1:15" x14ac:dyDescent="0.25">
      <c r="A5" s="38" t="s">
        <v>37</v>
      </c>
      <c r="B5" s="38">
        <v>3.15</v>
      </c>
      <c r="C5" s="38">
        <v>0.92</v>
      </c>
      <c r="D5" s="38" t="s">
        <v>73</v>
      </c>
      <c r="E5" s="38">
        <v>2.74</v>
      </c>
      <c r="F5" s="38" t="s">
        <v>73</v>
      </c>
      <c r="I5" s="7">
        <v>6</v>
      </c>
      <c r="J5" s="7">
        <v>2</v>
      </c>
    </row>
    <row r="6" spans="1:15" x14ac:dyDescent="0.25">
      <c r="A6" s="8" t="s">
        <v>94</v>
      </c>
      <c r="B6" s="8">
        <v>3</v>
      </c>
      <c r="C6" s="8">
        <v>1</v>
      </c>
      <c r="D6" s="8">
        <f>(B6*B5)+(C6*C5)</f>
        <v>10.37</v>
      </c>
      <c r="E6" s="8">
        <f>B6+C6</f>
        <v>4</v>
      </c>
      <c r="F6" s="8">
        <f>E6*$E$5</f>
        <v>10.96</v>
      </c>
    </row>
  </sheetData>
  <mergeCells count="4">
    <mergeCell ref="A1:O1"/>
    <mergeCell ref="A2:O2"/>
    <mergeCell ref="B3:C3"/>
    <mergeCell ref="E3:F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0780-90EC-4EB9-B5F3-4CCD96084621}">
  <dimension ref="A1:M17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3" style="3" customWidth="1"/>
    <col min="3" max="3" width="17.5703125" style="7" customWidth="1"/>
    <col min="4" max="4" width="10.28515625" style="7" customWidth="1"/>
    <col min="5" max="5" width="9.140625" style="7"/>
    <col min="6" max="6" width="9.5703125" style="7" customWidth="1"/>
    <col min="7" max="7" width="10.85546875" style="7" customWidth="1"/>
    <col min="8" max="8" width="14.28515625" style="7" customWidth="1"/>
    <col min="9" max="9" width="11" style="7" customWidth="1"/>
    <col min="10" max="10" width="25.85546875" style="7" customWidth="1"/>
    <col min="11" max="12" width="9.140625" style="7"/>
  </cols>
  <sheetData>
    <row r="1" spans="1:13" s="3" customFormat="1" ht="45" x14ac:dyDescent="0.25">
      <c r="A1" s="9" t="s">
        <v>47</v>
      </c>
      <c r="B1" s="9"/>
      <c r="C1" s="9" t="s">
        <v>48</v>
      </c>
      <c r="D1" s="9" t="s">
        <v>42</v>
      </c>
      <c r="E1" s="9" t="s">
        <v>43</v>
      </c>
      <c r="F1" s="9" t="s">
        <v>44</v>
      </c>
      <c r="G1" s="9" t="s">
        <v>49</v>
      </c>
      <c r="H1" s="9" t="s">
        <v>50</v>
      </c>
      <c r="I1" s="24" t="s">
        <v>51</v>
      </c>
      <c r="J1" s="11" t="s">
        <v>52</v>
      </c>
      <c r="K1" s="25" t="s">
        <v>53</v>
      </c>
      <c r="L1" s="26" t="s">
        <v>54</v>
      </c>
    </row>
    <row r="2" spans="1:13" s="7" customFormat="1" x14ac:dyDescent="0.25">
      <c r="A2" s="129" t="s">
        <v>55</v>
      </c>
      <c r="B2" s="9" t="s">
        <v>56</v>
      </c>
      <c r="C2" s="8">
        <v>15</v>
      </c>
      <c r="D2" s="8">
        <v>15</v>
      </c>
      <c r="E2" s="8">
        <v>400</v>
      </c>
      <c r="F2" s="8">
        <v>2.5</v>
      </c>
      <c r="G2" s="8">
        <v>120</v>
      </c>
      <c r="H2" s="8">
        <f>C2/L2</f>
        <v>25</v>
      </c>
      <c r="I2" s="27">
        <f>H2*G2</f>
        <v>3000</v>
      </c>
      <c r="J2" s="12"/>
      <c r="K2" s="25">
        <f>D2*E2</f>
        <v>6000</v>
      </c>
      <c r="L2" s="25">
        <f t="shared" ref="L2:L7" si="0">K2/10000</f>
        <v>0.6</v>
      </c>
    </row>
    <row r="3" spans="1:13" s="7" customFormat="1" ht="30" x14ac:dyDescent="0.25">
      <c r="A3" s="130"/>
      <c r="B3" s="9" t="s">
        <v>57</v>
      </c>
      <c r="C3" s="8">
        <v>12</v>
      </c>
      <c r="D3" s="8">
        <v>15</v>
      </c>
      <c r="E3" s="8">
        <v>400</v>
      </c>
      <c r="F3" s="8">
        <v>2.5</v>
      </c>
      <c r="G3" s="8">
        <v>120</v>
      </c>
      <c r="H3" s="8">
        <f>C3/L3</f>
        <v>20</v>
      </c>
      <c r="I3" s="27">
        <f>H3*G3</f>
        <v>2400</v>
      </c>
      <c r="J3" s="12"/>
      <c r="K3" s="25">
        <f>D3*E3</f>
        <v>6000</v>
      </c>
      <c r="L3" s="25">
        <f t="shared" si="0"/>
        <v>0.6</v>
      </c>
    </row>
    <row r="4" spans="1:13" x14ac:dyDescent="0.25">
      <c r="A4" s="130"/>
      <c r="B4" s="9" t="s">
        <v>58</v>
      </c>
      <c r="C4" s="8">
        <v>14</v>
      </c>
      <c r="D4" s="8">
        <v>15</v>
      </c>
      <c r="E4" s="8">
        <v>400</v>
      </c>
      <c r="F4" s="8">
        <v>2.5</v>
      </c>
      <c r="G4" s="8">
        <v>120</v>
      </c>
      <c r="H4" s="22">
        <f>C4/L4</f>
        <v>23.333333333333336</v>
      </c>
      <c r="I4" s="27">
        <f>H4*G4</f>
        <v>2800.0000000000005</v>
      </c>
      <c r="J4" s="12"/>
      <c r="K4" s="25">
        <f>D4*E4</f>
        <v>6000</v>
      </c>
      <c r="L4" s="25">
        <f t="shared" si="0"/>
        <v>0.6</v>
      </c>
      <c r="M4" s="7"/>
    </row>
    <row r="5" spans="1:13" ht="30" x14ac:dyDescent="0.25">
      <c r="A5" s="131"/>
      <c r="B5" s="9" t="s">
        <v>59</v>
      </c>
      <c r="C5" s="8">
        <v>9</v>
      </c>
      <c r="D5" s="8">
        <v>15</v>
      </c>
      <c r="E5" s="8">
        <v>400</v>
      </c>
      <c r="F5" s="8">
        <v>2.5</v>
      </c>
      <c r="G5" s="8">
        <v>120</v>
      </c>
      <c r="H5" s="22">
        <f>C5/L5</f>
        <v>15</v>
      </c>
      <c r="I5" s="27">
        <f>H5*G5</f>
        <v>1800</v>
      </c>
      <c r="J5" s="11" t="s">
        <v>60</v>
      </c>
      <c r="K5" s="25">
        <f>D5*E5</f>
        <v>6000</v>
      </c>
      <c r="L5" s="25">
        <f t="shared" si="0"/>
        <v>0.6</v>
      </c>
      <c r="M5" s="7"/>
    </row>
    <row r="6" spans="1:13" x14ac:dyDescent="0.25">
      <c r="A6" s="9" t="s">
        <v>61</v>
      </c>
      <c r="B6" s="9" t="s">
        <v>62</v>
      </c>
      <c r="C6" s="8"/>
      <c r="D6" s="8">
        <v>10</v>
      </c>
      <c r="E6" s="8">
        <v>4</v>
      </c>
      <c r="F6" s="8">
        <v>10</v>
      </c>
      <c r="G6" s="8">
        <v>700</v>
      </c>
      <c r="H6" s="22"/>
      <c r="I6" s="27"/>
      <c r="J6" s="11"/>
      <c r="K6" s="25">
        <f>D6*E6</f>
        <v>40</v>
      </c>
      <c r="L6" s="25">
        <f t="shared" si="0"/>
        <v>4.0000000000000001E-3</v>
      </c>
      <c r="M6" s="7"/>
    </row>
    <row r="7" spans="1:13" ht="30" x14ac:dyDescent="0.25">
      <c r="A7" s="9" t="s">
        <v>63</v>
      </c>
      <c r="B7" s="9"/>
      <c r="C7" s="8">
        <v>45</v>
      </c>
      <c r="D7" s="8">
        <v>50</v>
      </c>
      <c r="E7" s="8">
        <v>100</v>
      </c>
      <c r="F7" s="8">
        <v>8</v>
      </c>
      <c r="G7" s="8">
        <v>600</v>
      </c>
      <c r="H7" s="22">
        <f>C7/L7</f>
        <v>10</v>
      </c>
      <c r="I7" s="28">
        <f>H7*G7</f>
        <v>6000</v>
      </c>
      <c r="J7" s="11" t="s">
        <v>64</v>
      </c>
      <c r="K7" s="25">
        <f>D7*E7*9</f>
        <v>45000</v>
      </c>
      <c r="L7" s="25">
        <f t="shared" si="0"/>
        <v>4.5</v>
      </c>
    </row>
    <row r="8" spans="1:13" x14ac:dyDescent="0.25">
      <c r="I8" s="29"/>
      <c r="J8" s="30"/>
      <c r="K8" s="31"/>
      <c r="L8" s="31"/>
    </row>
    <row r="9" spans="1:13" x14ac:dyDescent="0.25">
      <c r="I9" s="29"/>
      <c r="J9" s="30"/>
      <c r="K9" s="25"/>
      <c r="L9" s="25"/>
    </row>
    <row r="10" spans="1:13" x14ac:dyDescent="0.25">
      <c r="I10" s="29"/>
      <c r="J10" s="30"/>
      <c r="K10" s="25"/>
      <c r="L10" s="25"/>
    </row>
    <row r="11" spans="1:13" x14ac:dyDescent="0.25">
      <c r="I11" s="29"/>
      <c r="J11" s="30"/>
      <c r="K11" s="25"/>
      <c r="L11" s="25"/>
    </row>
    <row r="12" spans="1:13" x14ac:dyDescent="0.25">
      <c r="I12" s="29"/>
      <c r="J12" s="30"/>
      <c r="K12" s="25"/>
      <c r="L12" s="25"/>
    </row>
    <row r="13" spans="1:13" x14ac:dyDescent="0.25">
      <c r="I13" s="29"/>
      <c r="J13" s="30"/>
      <c r="K13" s="25"/>
      <c r="L13" s="25"/>
    </row>
    <row r="14" spans="1:13" x14ac:dyDescent="0.25">
      <c r="I14" s="29"/>
      <c r="J14" s="30"/>
      <c r="K14" s="25"/>
      <c r="L14" s="25"/>
    </row>
    <row r="15" spans="1:13" x14ac:dyDescent="0.25">
      <c r="I15" s="29"/>
      <c r="J15" s="30"/>
      <c r="K15" s="25"/>
      <c r="L15" s="25"/>
    </row>
    <row r="16" spans="1:13" x14ac:dyDescent="0.25">
      <c r="I16" s="29"/>
      <c r="J16" s="30"/>
      <c r="K16" s="32"/>
      <c r="L16" s="32"/>
    </row>
    <row r="17" spans="1:12" x14ac:dyDescent="0.25">
      <c r="A17" s="9" t="s">
        <v>65</v>
      </c>
      <c r="B17" s="9"/>
      <c r="C17" s="8"/>
      <c r="D17" s="8"/>
      <c r="E17" s="8"/>
      <c r="F17" s="8"/>
      <c r="G17" s="8"/>
      <c r="H17" s="8"/>
      <c r="I17" s="28">
        <f>SUM(I2:I16)</f>
        <v>16000</v>
      </c>
      <c r="J17" s="12"/>
      <c r="K17" s="25"/>
      <c r="L17" s="25"/>
    </row>
  </sheetData>
  <mergeCells count="1">
    <mergeCell ref="A2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selection activeCell="D10" sqref="D10"/>
    </sheetView>
  </sheetViews>
  <sheetFormatPr defaultRowHeight="15" x14ac:dyDescent="0.25"/>
  <cols>
    <col min="1" max="1" width="22.42578125" customWidth="1"/>
    <col min="2" max="2" width="9.85546875" style="7" customWidth="1"/>
    <col min="3" max="3" width="6.85546875" style="7" bestFit="1" customWidth="1"/>
    <col min="4" max="4" width="11.85546875" style="7" customWidth="1"/>
    <col min="5" max="6" width="10.5703125" style="7" customWidth="1"/>
    <col min="7" max="7" width="13.85546875" style="7" customWidth="1"/>
    <col min="8" max="12" width="10.5703125" customWidth="1"/>
    <col min="13" max="13" width="11.85546875" customWidth="1"/>
    <col min="14" max="14" width="13.5703125" customWidth="1"/>
    <col min="16" max="16" width="13.28515625" style="7" customWidth="1"/>
  </cols>
  <sheetData>
    <row r="1" spans="1:17" ht="30" x14ac:dyDescent="0.25">
      <c r="A1" s="8" t="s">
        <v>17</v>
      </c>
      <c r="B1" s="9" t="s">
        <v>19</v>
      </c>
      <c r="C1" s="8" t="s">
        <v>16</v>
      </c>
      <c r="D1" s="9" t="s">
        <v>20</v>
      </c>
      <c r="E1" s="8" t="s">
        <v>18</v>
      </c>
      <c r="F1" s="11" t="s">
        <v>22</v>
      </c>
      <c r="G1" s="11" t="s">
        <v>23</v>
      </c>
      <c r="H1" s="11" t="s">
        <v>21</v>
      </c>
      <c r="I1" s="15" t="s">
        <v>26</v>
      </c>
      <c r="J1" s="15" t="s">
        <v>27</v>
      </c>
      <c r="K1" s="11" t="s">
        <v>28</v>
      </c>
      <c r="L1" s="11" t="s">
        <v>29</v>
      </c>
      <c r="M1" s="11" t="s">
        <v>25</v>
      </c>
      <c r="N1" s="11" t="s">
        <v>30</v>
      </c>
      <c r="O1" s="11" t="s">
        <v>32</v>
      </c>
      <c r="P1" s="11" t="s">
        <v>31</v>
      </c>
      <c r="Q1" s="11"/>
    </row>
    <row r="2" spans="1:17" x14ac:dyDescent="0.25">
      <c r="A2" s="10" t="s">
        <v>24</v>
      </c>
      <c r="B2" s="8">
        <v>78</v>
      </c>
      <c r="C2" s="8">
        <v>26</v>
      </c>
      <c r="D2" s="8">
        <v>308</v>
      </c>
      <c r="E2" s="8">
        <v>50</v>
      </c>
      <c r="F2" s="12">
        <f>(B2*C2)/100</f>
        <v>20.28</v>
      </c>
      <c r="G2" s="12">
        <f>((B2*C2)/1000000)*E2</f>
        <v>0.10139999999999999</v>
      </c>
      <c r="H2" s="13">
        <f>D2/G2</f>
        <v>3037.4753451676534</v>
      </c>
      <c r="I2" s="16">
        <v>0.5</v>
      </c>
      <c r="J2" s="16">
        <v>0.74</v>
      </c>
      <c r="K2" s="13">
        <f>I2*J2</f>
        <v>0.37</v>
      </c>
      <c r="L2" s="13">
        <f>K2*E2</f>
        <v>18.5</v>
      </c>
      <c r="M2" s="17">
        <f t="shared" ref="M2:M8" si="0">D2/L2</f>
        <v>16.648648648648649</v>
      </c>
      <c r="N2" s="14">
        <f t="shared" ref="N2:N8" si="1">(2600*L2)/1000</f>
        <v>48.1</v>
      </c>
      <c r="O2" s="14">
        <f t="shared" ref="O2:O8" si="2">N2*7</f>
        <v>336.7</v>
      </c>
      <c r="P2" s="18">
        <f>O2/D2</f>
        <v>1.0931818181818183</v>
      </c>
      <c r="Q2" s="14"/>
    </row>
    <row r="3" spans="1:17" x14ac:dyDescent="0.25">
      <c r="A3" s="10" t="s">
        <v>38</v>
      </c>
      <c r="B3" s="8">
        <v>78</v>
      </c>
      <c r="C3" s="8">
        <v>39</v>
      </c>
      <c r="D3" s="8">
        <v>582</v>
      </c>
      <c r="E3" s="8">
        <v>50</v>
      </c>
      <c r="F3" s="12">
        <f t="shared" ref="F3:F8" si="3">(B3*C3)/100</f>
        <v>30.42</v>
      </c>
      <c r="G3" s="12">
        <f t="shared" ref="G3:G8" si="4">((B3*C3)/1000000)*E3</f>
        <v>0.15210000000000001</v>
      </c>
      <c r="H3" s="13">
        <f t="shared" ref="H3:H8" si="5">D3/G3</f>
        <v>3826.4299802761338</v>
      </c>
      <c r="I3" s="16">
        <v>0.5</v>
      </c>
      <c r="J3" s="16">
        <v>1.08</v>
      </c>
      <c r="K3" s="13">
        <f t="shared" ref="K3:K8" si="6">I3*J3</f>
        <v>0.54</v>
      </c>
      <c r="L3" s="13">
        <f t="shared" ref="L3:L8" si="7">K3*E3</f>
        <v>27</v>
      </c>
      <c r="M3" s="17">
        <f t="shared" si="0"/>
        <v>21.555555555555557</v>
      </c>
      <c r="N3" s="14">
        <f t="shared" si="1"/>
        <v>70.2</v>
      </c>
      <c r="O3" s="14">
        <f t="shared" si="2"/>
        <v>491.40000000000003</v>
      </c>
      <c r="P3" s="18">
        <f t="shared" ref="P3:P8" si="8">O3/D3</f>
        <v>0.8443298969072166</v>
      </c>
      <c r="Q3" s="14"/>
    </row>
    <row r="4" spans="1:17" x14ac:dyDescent="0.25">
      <c r="A4" s="10" t="s">
        <v>39</v>
      </c>
      <c r="B4" s="8">
        <v>78</v>
      </c>
      <c r="C4" s="8">
        <v>52</v>
      </c>
      <c r="D4" s="8">
        <v>631</v>
      </c>
      <c r="E4" s="8">
        <v>50</v>
      </c>
      <c r="F4" s="12">
        <f t="shared" si="3"/>
        <v>40.56</v>
      </c>
      <c r="G4" s="12">
        <f t="shared" si="4"/>
        <v>0.20279999999999998</v>
      </c>
      <c r="H4" s="13">
        <f t="shared" si="5"/>
        <v>3111.4398422090735</v>
      </c>
      <c r="I4" s="16">
        <v>0.5</v>
      </c>
      <c r="J4" s="16">
        <v>1.32</v>
      </c>
      <c r="K4" s="13">
        <f t="shared" si="6"/>
        <v>0.66</v>
      </c>
      <c r="L4" s="13">
        <f t="shared" si="7"/>
        <v>33</v>
      </c>
      <c r="M4" s="17">
        <f t="shared" si="0"/>
        <v>19.121212121212121</v>
      </c>
      <c r="N4" s="14">
        <f t="shared" si="1"/>
        <v>85.8</v>
      </c>
      <c r="O4" s="14">
        <f t="shared" si="2"/>
        <v>600.6</v>
      </c>
      <c r="P4" s="18">
        <f t="shared" si="8"/>
        <v>0.95182250396196522</v>
      </c>
      <c r="Q4" s="14"/>
    </row>
    <row r="5" spans="1:17" x14ac:dyDescent="0.25">
      <c r="A5" s="10" t="s">
        <v>40</v>
      </c>
      <c r="B5" s="8">
        <v>78</v>
      </c>
      <c r="C5" s="8">
        <v>77</v>
      </c>
      <c r="D5" s="8">
        <v>1004</v>
      </c>
      <c r="E5" s="8">
        <v>50</v>
      </c>
      <c r="F5" s="12">
        <f t="shared" si="3"/>
        <v>60.06</v>
      </c>
      <c r="G5" s="12">
        <f t="shared" si="4"/>
        <v>0.30030000000000001</v>
      </c>
      <c r="H5" s="13">
        <f t="shared" si="5"/>
        <v>3343.3233433233431</v>
      </c>
      <c r="I5" s="16">
        <v>0.5</v>
      </c>
      <c r="J5" s="16">
        <v>2.1</v>
      </c>
      <c r="K5" s="13">
        <f t="shared" si="6"/>
        <v>1.05</v>
      </c>
      <c r="L5" s="13">
        <f t="shared" si="7"/>
        <v>52.5</v>
      </c>
      <c r="M5" s="17">
        <f t="shared" si="0"/>
        <v>19.123809523809523</v>
      </c>
      <c r="N5" s="14">
        <f t="shared" si="1"/>
        <v>136.5</v>
      </c>
      <c r="O5" s="14">
        <f t="shared" si="2"/>
        <v>955.5</v>
      </c>
      <c r="P5" s="18">
        <f t="shared" si="8"/>
        <v>0.95169322709163351</v>
      </c>
      <c r="Q5" s="14"/>
    </row>
    <row r="6" spans="1:17" x14ac:dyDescent="0.25">
      <c r="A6" s="19" t="s">
        <v>34</v>
      </c>
      <c r="B6" s="8">
        <v>130</v>
      </c>
      <c r="C6" s="8">
        <v>200</v>
      </c>
      <c r="D6" s="8">
        <v>506</v>
      </c>
      <c r="E6" s="8">
        <v>1</v>
      </c>
      <c r="F6" s="12">
        <f t="shared" si="3"/>
        <v>260</v>
      </c>
      <c r="G6" s="12">
        <f t="shared" si="4"/>
        <v>2.5999999999999999E-2</v>
      </c>
      <c r="H6" s="13">
        <f t="shared" si="5"/>
        <v>19461.538461538461</v>
      </c>
      <c r="I6" s="16">
        <v>12</v>
      </c>
      <c r="J6" s="16">
        <v>0.35</v>
      </c>
      <c r="K6" s="13">
        <f t="shared" si="6"/>
        <v>4.1999999999999993</v>
      </c>
      <c r="L6" s="13">
        <f t="shared" si="7"/>
        <v>4.1999999999999993</v>
      </c>
      <c r="M6" s="21">
        <f t="shared" si="0"/>
        <v>120.4761904761905</v>
      </c>
      <c r="N6" s="14">
        <f t="shared" si="1"/>
        <v>10.919999999999998</v>
      </c>
      <c r="O6" s="14">
        <f t="shared" si="2"/>
        <v>76.439999999999984</v>
      </c>
      <c r="P6" s="18">
        <f t="shared" si="8"/>
        <v>0.15106719367588931</v>
      </c>
      <c r="Q6" s="14"/>
    </row>
    <row r="7" spans="1:17" x14ac:dyDescent="0.25">
      <c r="A7" s="10" t="s">
        <v>35</v>
      </c>
      <c r="B7" s="8">
        <v>1000</v>
      </c>
      <c r="C7" s="8">
        <v>340</v>
      </c>
      <c r="D7" s="8">
        <v>3233</v>
      </c>
      <c r="E7" s="8">
        <v>1</v>
      </c>
      <c r="F7" s="12">
        <f t="shared" si="3"/>
        <v>3400</v>
      </c>
      <c r="G7" s="12">
        <f t="shared" si="4"/>
        <v>0.34</v>
      </c>
      <c r="H7" s="13">
        <f t="shared" si="5"/>
        <v>9508.823529411764</v>
      </c>
      <c r="I7" s="16">
        <v>18</v>
      </c>
      <c r="J7" s="16">
        <v>11.1</v>
      </c>
      <c r="K7" s="13">
        <f t="shared" si="6"/>
        <v>199.79999999999998</v>
      </c>
      <c r="L7" s="13">
        <f t="shared" si="7"/>
        <v>199.79999999999998</v>
      </c>
      <c r="M7" s="21">
        <f t="shared" si="0"/>
        <v>16.181181181181184</v>
      </c>
      <c r="N7" s="14">
        <f t="shared" si="1"/>
        <v>519.4799999999999</v>
      </c>
      <c r="O7" s="14">
        <f t="shared" si="2"/>
        <v>3636.3599999999992</v>
      </c>
      <c r="P7" s="18">
        <f t="shared" si="8"/>
        <v>1.1247633776678005</v>
      </c>
      <c r="Q7" s="14"/>
    </row>
    <row r="8" spans="1:17" x14ac:dyDescent="0.25">
      <c r="A8" s="10"/>
      <c r="B8" s="8"/>
      <c r="C8" s="8"/>
      <c r="D8" s="8"/>
      <c r="E8" s="8"/>
      <c r="F8" s="12">
        <f t="shared" si="3"/>
        <v>0</v>
      </c>
      <c r="G8" s="12">
        <f t="shared" si="4"/>
        <v>0</v>
      </c>
      <c r="H8" s="13" t="e">
        <f t="shared" si="5"/>
        <v>#DIV/0!</v>
      </c>
      <c r="I8" s="16"/>
      <c r="J8" s="16"/>
      <c r="K8" s="13">
        <f t="shared" si="6"/>
        <v>0</v>
      </c>
      <c r="L8" s="13">
        <f t="shared" si="7"/>
        <v>0</v>
      </c>
      <c r="M8" s="20" t="e">
        <f t="shared" si="0"/>
        <v>#DIV/0!</v>
      </c>
      <c r="N8" s="14">
        <f t="shared" si="1"/>
        <v>0</v>
      </c>
      <c r="O8" s="14">
        <f t="shared" si="2"/>
        <v>0</v>
      </c>
      <c r="P8" s="18" t="e">
        <f t="shared" si="8"/>
        <v>#DIV/0!</v>
      </c>
      <c r="Q8" s="14"/>
    </row>
    <row r="9" spans="1:17" x14ac:dyDescent="0.25">
      <c r="A9" s="10"/>
      <c r="B9" s="8"/>
      <c r="C9" s="8"/>
      <c r="D9" s="8"/>
      <c r="E9" s="8"/>
      <c r="F9" s="12"/>
      <c r="G9" s="12"/>
      <c r="H9" s="13"/>
      <c r="I9" s="16"/>
      <c r="J9" s="16"/>
      <c r="K9" s="13"/>
      <c r="L9" s="13"/>
      <c r="M9" s="20"/>
      <c r="N9" s="14"/>
      <c r="O9" s="14"/>
      <c r="P9" s="18"/>
      <c r="Q9" s="14"/>
    </row>
    <row r="10" spans="1:17" x14ac:dyDescent="0.25">
      <c r="A10" s="10"/>
      <c r="B10" s="8"/>
      <c r="C10" s="8"/>
      <c r="D10" s="8"/>
      <c r="E10" s="8"/>
      <c r="F10" s="12"/>
      <c r="G10" s="12"/>
      <c r="H10" s="13"/>
      <c r="I10" s="16"/>
      <c r="J10" s="16"/>
      <c r="K10" s="13"/>
      <c r="L10" s="13"/>
      <c r="M10" s="20"/>
      <c r="N10" s="14"/>
      <c r="O10" s="14"/>
      <c r="P10" s="18"/>
      <c r="Q10" s="14"/>
    </row>
    <row r="11" spans="1:17" x14ac:dyDescent="0.25">
      <c r="A11" s="10"/>
      <c r="B11" s="8"/>
      <c r="C11" s="8"/>
      <c r="D11" s="8"/>
      <c r="E11" s="8"/>
      <c r="F11" s="12"/>
      <c r="G11" s="12"/>
      <c r="H11" s="13"/>
      <c r="I11" s="16"/>
      <c r="J11" s="16"/>
      <c r="K11" s="13"/>
      <c r="L11" s="13"/>
      <c r="M11" s="20"/>
      <c r="N11" s="14"/>
      <c r="O11" s="14"/>
      <c r="P11" s="18"/>
      <c r="Q11" s="14"/>
    </row>
    <row r="12" spans="1:17" x14ac:dyDescent="0.25">
      <c r="A12" s="10"/>
      <c r="B12" s="8"/>
      <c r="C12" s="8"/>
      <c r="D12" s="8"/>
      <c r="E12" s="8"/>
      <c r="F12" s="12"/>
      <c r="G12" s="12"/>
      <c r="H12" s="13"/>
      <c r="I12" s="16"/>
      <c r="J12" s="16"/>
      <c r="K12" s="13"/>
      <c r="L12" s="13"/>
      <c r="M12" s="20"/>
      <c r="N12" s="14"/>
      <c r="O12" s="14"/>
      <c r="P12" s="18"/>
      <c r="Q12" s="14"/>
    </row>
    <row r="13" spans="1:17" x14ac:dyDescent="0.25">
      <c r="A13" s="10"/>
      <c r="B13" s="8"/>
      <c r="C13" s="8"/>
      <c r="D13" s="8"/>
      <c r="E13" s="8"/>
      <c r="F13" s="12"/>
      <c r="G13" s="12"/>
      <c r="H13" s="13"/>
      <c r="I13" s="16"/>
      <c r="J13" s="16"/>
      <c r="K13" s="13"/>
      <c r="L13" s="13"/>
      <c r="M13" s="20"/>
      <c r="N13" s="14"/>
      <c r="O13" s="14"/>
      <c r="P13" s="18"/>
      <c r="Q13" s="14"/>
    </row>
    <row r="14" spans="1:17" x14ac:dyDescent="0.25">
      <c r="A14" s="10"/>
      <c r="B14" s="8"/>
      <c r="C14" s="8"/>
      <c r="D14" s="8"/>
      <c r="E14" s="8"/>
      <c r="F14" s="12"/>
      <c r="G14" s="12"/>
      <c r="H14" s="13"/>
      <c r="I14" s="16"/>
      <c r="J14" s="16"/>
      <c r="K14" s="13"/>
      <c r="L14" s="13"/>
      <c r="M14" s="20"/>
      <c r="N14" s="14"/>
      <c r="O14" s="14"/>
      <c r="P14" s="18"/>
      <c r="Q14" s="14"/>
    </row>
    <row r="15" spans="1:17" x14ac:dyDescent="0.25">
      <c r="A15" s="10"/>
      <c r="B15" s="8"/>
      <c r="C15" s="8"/>
      <c r="D15" s="8"/>
      <c r="E15" s="8"/>
      <c r="F15" s="12"/>
      <c r="G15" s="12"/>
      <c r="H15" s="13"/>
      <c r="I15" s="16"/>
      <c r="J15" s="16"/>
      <c r="K15" s="13"/>
      <c r="L15" s="13"/>
      <c r="M15" s="20"/>
      <c r="N15" s="14"/>
      <c r="O15" s="14"/>
      <c r="P15" s="18"/>
      <c r="Q15" s="14"/>
    </row>
    <row r="16" spans="1:17" x14ac:dyDescent="0.25">
      <c r="A16" s="10"/>
      <c r="B16" s="8"/>
      <c r="C16" s="8"/>
      <c r="D16" s="8"/>
      <c r="E16" s="8"/>
      <c r="F16" s="12"/>
      <c r="G16" s="12"/>
      <c r="H16" s="13"/>
      <c r="I16" s="16"/>
      <c r="J16" s="16"/>
      <c r="K16" s="13"/>
      <c r="L16" s="13"/>
      <c r="M16" s="20"/>
      <c r="N16" s="14"/>
      <c r="O16" s="14"/>
      <c r="P16" s="18"/>
      <c r="Q16" s="14"/>
    </row>
    <row r="19" spans="1:8" x14ac:dyDescent="0.25">
      <c r="A19" s="132" t="s">
        <v>33</v>
      </c>
      <c r="B19" s="132"/>
      <c r="C19" s="132"/>
      <c r="D19" s="132"/>
      <c r="E19" s="132"/>
      <c r="F19" s="132"/>
      <c r="G19" s="132"/>
      <c r="H19" s="132"/>
    </row>
  </sheetData>
  <mergeCells count="1">
    <mergeCell ref="A19:H1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zoomScaleNormal="100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RowHeight="15" outlineLevelRow="1" x14ac:dyDescent="0.25"/>
  <cols>
    <col min="1" max="1" width="3.7109375" style="7" customWidth="1"/>
    <col min="2" max="2" width="28" style="7" customWidth="1"/>
    <col min="3" max="3" width="9.140625" style="7"/>
    <col min="4" max="4" width="9.5703125" style="7" customWidth="1"/>
    <col min="5" max="5" width="9.140625" style="7"/>
    <col min="6" max="6" width="12" style="7" customWidth="1"/>
    <col min="7" max="7" width="9.140625" style="7"/>
    <col min="8" max="9" width="11.42578125" style="7" customWidth="1"/>
    <col min="10" max="12" width="13.5703125" customWidth="1"/>
    <col min="13" max="13" width="11.5703125" style="33" bestFit="1" customWidth="1"/>
    <col min="15" max="15" width="11" style="7" customWidth="1"/>
  </cols>
  <sheetData>
    <row r="1" spans="1:15" ht="21" x14ac:dyDescent="0.25">
      <c r="B1" s="133" t="s">
        <v>88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7" customFormat="1" ht="31.5" customHeight="1" x14ac:dyDescent="0.25">
      <c r="A2" s="135" t="s">
        <v>87</v>
      </c>
      <c r="B2" s="8"/>
      <c r="C2" s="9" t="s">
        <v>42</v>
      </c>
      <c r="D2" s="9" t="s">
        <v>44</v>
      </c>
      <c r="E2" s="9" t="s">
        <v>43</v>
      </c>
      <c r="F2" s="9" t="s">
        <v>75</v>
      </c>
      <c r="G2" s="8" t="s">
        <v>41</v>
      </c>
      <c r="H2" s="9" t="s">
        <v>37</v>
      </c>
      <c r="I2" s="137" t="s">
        <v>72</v>
      </c>
      <c r="J2" s="137"/>
      <c r="K2" s="137"/>
      <c r="L2" s="9" t="s">
        <v>20</v>
      </c>
      <c r="M2" s="9" t="s">
        <v>81</v>
      </c>
      <c r="N2" s="8" t="s">
        <v>46</v>
      </c>
      <c r="O2" s="8"/>
    </row>
    <row r="3" spans="1:15" s="7" customFormat="1" x14ac:dyDescent="0.25">
      <c r="A3" s="135"/>
      <c r="B3" s="8"/>
      <c r="C3" s="9"/>
      <c r="D3" s="9"/>
      <c r="E3" s="9"/>
      <c r="F3" s="9"/>
      <c r="G3" s="38" t="s">
        <v>77</v>
      </c>
      <c r="H3" s="37" t="s">
        <v>80</v>
      </c>
      <c r="I3" s="9" t="s">
        <v>76</v>
      </c>
      <c r="J3" s="37" t="s">
        <v>77</v>
      </c>
      <c r="K3" s="37" t="s">
        <v>78</v>
      </c>
      <c r="L3" s="37" t="s">
        <v>65</v>
      </c>
      <c r="M3" s="9" t="s">
        <v>79</v>
      </c>
      <c r="N3" s="38" t="s">
        <v>79</v>
      </c>
      <c r="O3" s="8"/>
    </row>
    <row r="4" spans="1:15" s="7" customFormat="1" x14ac:dyDescent="0.25">
      <c r="A4" s="8"/>
      <c r="B4" s="35" t="s">
        <v>45</v>
      </c>
      <c r="C4" s="35"/>
      <c r="D4" s="35"/>
      <c r="E4" s="35"/>
      <c r="F4" s="35"/>
      <c r="G4" s="58"/>
      <c r="H4" s="58"/>
      <c r="I4" s="35"/>
      <c r="J4" s="58"/>
      <c r="K4" s="58"/>
      <c r="L4" s="58"/>
      <c r="M4" s="36"/>
      <c r="N4" s="38"/>
      <c r="O4" s="8"/>
    </row>
    <row r="5" spans="1:15" hidden="1" outlineLevel="1" x14ac:dyDescent="0.25">
      <c r="A5" s="8">
        <f>Прайс!A5</f>
        <v>1</v>
      </c>
      <c r="B5" s="8" t="str">
        <f>Прайс!B5</f>
        <v xml:space="preserve">ОСБ плита </v>
      </c>
      <c r="C5" s="8">
        <f>Прайс!C5</f>
        <v>250</v>
      </c>
      <c r="D5" s="8">
        <f>Прайс!D5</f>
        <v>0.9</v>
      </c>
      <c r="E5" s="8">
        <f>Прайс!E5</f>
        <v>125</v>
      </c>
      <c r="F5" s="8">
        <f>Прайс!F5</f>
        <v>1050</v>
      </c>
      <c r="G5" s="38">
        <f>Прайс!G5</f>
        <v>3.125</v>
      </c>
      <c r="H5" s="38">
        <f>Прайс!H5</f>
        <v>336</v>
      </c>
      <c r="I5" s="8"/>
      <c r="J5" s="38">
        <f>Прайс!K5</f>
        <v>40.625</v>
      </c>
      <c r="K5" s="38">
        <f>Прайс!L5</f>
        <v>0.36562500000000003</v>
      </c>
      <c r="L5" s="38">
        <f>Прайс!M5</f>
        <v>13650</v>
      </c>
      <c r="M5" s="8">
        <f>Прайс!N5</f>
        <v>650</v>
      </c>
      <c r="N5" s="38">
        <f>Прайс!O5</f>
        <v>237.65625000000003</v>
      </c>
      <c r="O5" s="22">
        <f>Прайс!W5</f>
        <v>37333.333333333336</v>
      </c>
    </row>
    <row r="6" spans="1:15" hidden="1" outlineLevel="1" x14ac:dyDescent="0.25">
      <c r="A6" s="8">
        <f>Прайс!A9</f>
        <v>5</v>
      </c>
      <c r="B6" s="8" t="str">
        <f>Прайс!B9</f>
        <v>Брус 150*150</v>
      </c>
      <c r="C6" s="8">
        <f>Прайс!C9</f>
        <v>15</v>
      </c>
      <c r="D6" s="8">
        <f>Прайс!D9</f>
        <v>15</v>
      </c>
      <c r="E6" s="8">
        <f>Прайс!E9</f>
        <v>400</v>
      </c>
      <c r="F6" s="8">
        <f>Прайс!F9</f>
        <v>945</v>
      </c>
      <c r="G6" s="38">
        <f>Прайс!G9</f>
        <v>0.6</v>
      </c>
      <c r="H6" s="38">
        <f>Прайс!H9</f>
        <v>1575</v>
      </c>
      <c r="I6" s="8"/>
      <c r="J6" s="38">
        <f>Прайс!K9</f>
        <v>0</v>
      </c>
      <c r="K6" s="38">
        <f>Прайс!L9</f>
        <v>0</v>
      </c>
      <c r="L6" s="38">
        <f>Прайс!M9</f>
        <v>0</v>
      </c>
      <c r="M6" s="8">
        <f>Прайс!N9</f>
        <v>600</v>
      </c>
      <c r="N6" s="38">
        <f>Прайс!O9</f>
        <v>0</v>
      </c>
      <c r="O6" s="22">
        <f>Прайс!W9</f>
        <v>10500</v>
      </c>
    </row>
    <row r="7" spans="1:15" hidden="1" outlineLevel="1" x14ac:dyDescent="0.25">
      <c r="A7" s="8">
        <f>Прайс!A10</f>
        <v>6</v>
      </c>
      <c r="B7" s="8" t="str">
        <f>Прайс!B10</f>
        <v>Доска 25*150</v>
      </c>
      <c r="C7" s="8">
        <f>Прайс!C10</f>
        <v>15</v>
      </c>
      <c r="D7" s="8">
        <f>Прайс!D10</f>
        <v>2.5</v>
      </c>
      <c r="E7" s="8">
        <f>Прайс!E10</f>
        <v>400</v>
      </c>
      <c r="F7" s="8">
        <f>Прайс!F10</f>
        <v>135</v>
      </c>
      <c r="G7" s="38">
        <f>Прайс!G10</f>
        <v>0.6</v>
      </c>
      <c r="H7" s="38">
        <f>Прайс!H10</f>
        <v>225</v>
      </c>
      <c r="I7" s="8"/>
      <c r="J7" s="38">
        <f>Прайс!K10</f>
        <v>32.4</v>
      </c>
      <c r="K7" s="38">
        <f>Прайс!L10</f>
        <v>0.80999999999999994</v>
      </c>
      <c r="L7" s="38">
        <f>Прайс!M10</f>
        <v>7290</v>
      </c>
      <c r="M7" s="8">
        <f>Прайс!N10</f>
        <v>600</v>
      </c>
      <c r="N7" s="38">
        <f>Прайс!O10</f>
        <v>485.99999999999994</v>
      </c>
      <c r="O7" s="8">
        <f>Прайс!W10</f>
        <v>9000</v>
      </c>
    </row>
    <row r="8" spans="1:15" hidden="1" outlineLevel="1" x14ac:dyDescent="0.25">
      <c r="A8" s="8">
        <f>Прайс!A11</f>
        <v>7</v>
      </c>
      <c r="B8" s="8" t="str">
        <f>Прайс!B11</f>
        <v>Доска 25*150 (3с)</v>
      </c>
      <c r="C8" s="8">
        <f>Прайс!C11</f>
        <v>15</v>
      </c>
      <c r="D8" s="8">
        <f>Прайс!D11</f>
        <v>2.5</v>
      </c>
      <c r="E8" s="8">
        <f>Прайс!E11</f>
        <v>400</v>
      </c>
      <c r="F8" s="8">
        <f>Прайс!F11</f>
        <v>100</v>
      </c>
      <c r="G8" s="38">
        <f>Прайс!G11</f>
        <v>0.6</v>
      </c>
      <c r="H8" s="38">
        <f>Прайс!H11</f>
        <v>166.66666666666669</v>
      </c>
      <c r="I8" s="8"/>
      <c r="J8" s="38">
        <f>Прайс!K11</f>
        <v>32.4</v>
      </c>
      <c r="K8" s="38">
        <f>Прайс!L11</f>
        <v>0.80999999999999994</v>
      </c>
      <c r="L8" s="38">
        <f>Прайс!M11</f>
        <v>5400</v>
      </c>
      <c r="M8" s="8">
        <f>Прайс!N11</f>
        <v>600</v>
      </c>
      <c r="N8" s="38">
        <f>Прайс!O11</f>
        <v>485.99999999999994</v>
      </c>
      <c r="O8" s="8">
        <f>Прайс!W11</f>
        <v>6666.6666666666679</v>
      </c>
    </row>
    <row r="9" spans="1:15" hidden="1" outlineLevel="1" x14ac:dyDescent="0.25">
      <c r="A9" s="8">
        <f>Прайс!A12</f>
        <v>8</v>
      </c>
      <c r="B9" s="8" t="str">
        <f>Прайс!B12</f>
        <v>Доска 50*150</v>
      </c>
      <c r="C9" s="8">
        <f>Прайс!C12</f>
        <v>10</v>
      </c>
      <c r="D9" s="8">
        <f>Прайс!D12</f>
        <v>5</v>
      </c>
      <c r="E9" s="8">
        <f>Прайс!E12</f>
        <v>600</v>
      </c>
      <c r="F9" s="8">
        <f>Прайс!F12</f>
        <v>720</v>
      </c>
      <c r="G9" s="38">
        <f>Прайс!G12</f>
        <v>0.6</v>
      </c>
      <c r="H9" s="38">
        <f>Прайс!H12</f>
        <v>1200</v>
      </c>
      <c r="I9" s="8"/>
      <c r="J9" s="38">
        <f>Прайс!K12</f>
        <v>0</v>
      </c>
      <c r="K9" s="38">
        <f>Прайс!L12</f>
        <v>0</v>
      </c>
      <c r="L9" s="38">
        <f>Прайс!M12</f>
        <v>0</v>
      </c>
      <c r="M9" s="8">
        <f>Прайс!N12</f>
        <v>600</v>
      </c>
      <c r="N9" s="38">
        <f>Прайс!O12</f>
        <v>0</v>
      </c>
      <c r="O9" s="8">
        <f>Прайс!W12</f>
        <v>24000</v>
      </c>
    </row>
    <row r="10" spans="1:15" hidden="1" outlineLevel="1" x14ac:dyDescent="0.25">
      <c r="A10" s="8">
        <f>Прайс!A13</f>
        <v>9</v>
      </c>
      <c r="B10" s="8" t="str">
        <f>Прайс!B13</f>
        <v>Базалит</v>
      </c>
      <c r="C10" s="8">
        <f>Прайс!C13</f>
        <v>50</v>
      </c>
      <c r="D10" s="8">
        <f>Прайс!D13</f>
        <v>7.5</v>
      </c>
      <c r="E10" s="8">
        <f>Прайс!E13</f>
        <v>100</v>
      </c>
      <c r="F10" s="8">
        <f>Прайс!F13</f>
        <v>1115</v>
      </c>
      <c r="G10" s="38">
        <f>Прайс!G13</f>
        <v>0.5</v>
      </c>
      <c r="H10" s="38">
        <f>Прайс!H13</f>
        <v>2230</v>
      </c>
      <c r="I10" s="8"/>
      <c r="J10" s="38">
        <f>Прайс!K13</f>
        <v>0</v>
      </c>
      <c r="K10" s="38">
        <f>Прайс!L13</f>
        <v>0</v>
      </c>
      <c r="L10" s="38">
        <f>Прайс!M13</f>
        <v>0</v>
      </c>
      <c r="M10" s="8">
        <f>Прайс!N13</f>
        <v>600</v>
      </c>
      <c r="N10" s="38">
        <f>Прайс!O13</f>
        <v>0</v>
      </c>
      <c r="O10" s="8">
        <f>Прайс!W13</f>
        <v>29733.333333333336</v>
      </c>
    </row>
    <row r="11" spans="1:15" hidden="1" outlineLevel="1" x14ac:dyDescent="0.25">
      <c r="A11" s="8">
        <f>Прайс!A18</f>
        <v>14</v>
      </c>
      <c r="B11" s="8" t="str">
        <f>Прайс!B18</f>
        <v>Фундамент</v>
      </c>
      <c r="C11" s="8">
        <f>Прайс!C18</f>
        <v>0</v>
      </c>
      <c r="D11" s="8">
        <f>Прайс!D18</f>
        <v>0</v>
      </c>
      <c r="E11" s="8">
        <f>Прайс!E18</f>
        <v>0</v>
      </c>
      <c r="F11" s="8">
        <f>Прайс!F18</f>
        <v>0</v>
      </c>
      <c r="G11" s="38">
        <f>Прайс!G18</f>
        <v>0</v>
      </c>
      <c r="H11" s="38" t="e">
        <f>Прайс!H18</f>
        <v>#DIV/0!</v>
      </c>
      <c r="I11" s="8"/>
      <c r="J11" s="38">
        <f>Прайс!K18</f>
        <v>0</v>
      </c>
      <c r="K11" s="38">
        <f>Прайс!L18</f>
        <v>0</v>
      </c>
      <c r="L11" s="38">
        <f>Прайс!M18</f>
        <v>0</v>
      </c>
      <c r="M11" s="8">
        <f>Прайс!N18</f>
        <v>0</v>
      </c>
      <c r="N11" s="38">
        <f>Прайс!O18</f>
        <v>0</v>
      </c>
      <c r="O11" s="8">
        <f>Прайс!W18</f>
        <v>0</v>
      </c>
    </row>
    <row r="12" spans="1:15" hidden="1" outlineLevel="1" x14ac:dyDescent="0.25">
      <c r="A12" s="8">
        <f>Прайс!A19</f>
        <v>15</v>
      </c>
      <c r="B12" s="8" t="str">
        <f>Прайс!B19</f>
        <v>ПВХ трубы</v>
      </c>
      <c r="C12" s="8">
        <f>Прайс!C19</f>
        <v>11</v>
      </c>
      <c r="D12" s="8">
        <f>Прайс!D19</f>
        <v>0</v>
      </c>
      <c r="E12" s="8">
        <f>Прайс!E19</f>
        <v>200</v>
      </c>
      <c r="F12" s="8">
        <f>Прайс!F19</f>
        <v>570</v>
      </c>
      <c r="G12" s="38">
        <f>Прайс!G19</f>
        <v>0.22</v>
      </c>
      <c r="H12" s="38">
        <f>Прайс!H19</f>
        <v>2590.909090909091</v>
      </c>
      <c r="I12" s="8"/>
      <c r="J12" s="38">
        <f>Прайс!K19</f>
        <v>0</v>
      </c>
      <c r="K12" s="38">
        <f>Прайс!L19</f>
        <v>0</v>
      </c>
      <c r="L12" s="38">
        <f>Прайс!M19</f>
        <v>0</v>
      </c>
      <c r="M12" s="8">
        <f>Прайс!N19</f>
        <v>0</v>
      </c>
      <c r="N12" s="38">
        <f>Прайс!O19</f>
        <v>0</v>
      </c>
      <c r="O12" s="8">
        <f>Прайс!W19</f>
        <v>0</v>
      </c>
    </row>
    <row r="13" spans="1:15" hidden="1" outlineLevel="1" x14ac:dyDescent="0.25">
      <c r="A13" s="97">
        <f>Прайс!A21</f>
        <v>17</v>
      </c>
      <c r="B13" s="97"/>
      <c r="C13" s="97"/>
      <c r="D13" s="97"/>
      <c r="E13" s="97"/>
      <c r="F13" s="97"/>
      <c r="G13" s="38"/>
      <c r="H13" s="38"/>
      <c r="I13" s="97"/>
      <c r="J13" s="38"/>
      <c r="K13" s="38"/>
      <c r="L13" s="38"/>
      <c r="M13" s="97"/>
      <c r="N13" s="38"/>
      <c r="O13" s="97"/>
    </row>
    <row r="14" spans="1:15" hidden="1" outlineLevel="1" x14ac:dyDescent="0.25">
      <c r="A14" s="97">
        <f>Прайс!A22</f>
        <v>18</v>
      </c>
      <c r="B14" s="97"/>
      <c r="C14" s="97"/>
      <c r="D14" s="97"/>
      <c r="E14" s="97"/>
      <c r="F14" s="97"/>
      <c r="G14" s="38"/>
      <c r="H14" s="38"/>
      <c r="I14" s="97"/>
      <c r="J14" s="38"/>
      <c r="K14" s="38"/>
      <c r="L14" s="38"/>
      <c r="M14" s="97"/>
      <c r="N14" s="38"/>
      <c r="O14" s="97"/>
    </row>
    <row r="15" spans="1:15" hidden="1" outlineLevel="1" x14ac:dyDescent="0.25">
      <c r="A15" s="97">
        <f>Прайс!A23</f>
        <v>19</v>
      </c>
      <c r="B15" s="97"/>
      <c r="C15" s="97"/>
      <c r="D15" s="97"/>
      <c r="E15" s="97"/>
      <c r="F15" s="97"/>
      <c r="G15" s="38"/>
      <c r="H15" s="38"/>
      <c r="I15" s="97"/>
      <c r="J15" s="38"/>
      <c r="K15" s="38"/>
      <c r="L15" s="38"/>
      <c r="M15" s="97"/>
      <c r="N15" s="38"/>
      <c r="O15" s="97"/>
    </row>
    <row r="16" spans="1:15" hidden="1" outlineLevel="1" x14ac:dyDescent="0.25">
      <c r="A16" s="97">
        <f>Прайс!A24</f>
        <v>20</v>
      </c>
      <c r="B16" s="97"/>
      <c r="C16" s="97"/>
      <c r="D16" s="97"/>
      <c r="E16" s="97"/>
      <c r="F16" s="97"/>
      <c r="G16" s="38"/>
      <c r="H16" s="38"/>
      <c r="I16" s="97"/>
      <c r="J16" s="38"/>
      <c r="K16" s="38"/>
      <c r="L16" s="38"/>
      <c r="M16" s="97"/>
      <c r="N16" s="38"/>
      <c r="O16" s="97"/>
    </row>
    <row r="17" spans="1:15" hidden="1" outlineLevel="1" x14ac:dyDescent="0.25">
      <c r="A17" s="97">
        <f>Прайс!A25</f>
        <v>21</v>
      </c>
      <c r="B17" s="97"/>
      <c r="C17" s="97"/>
      <c r="D17" s="97"/>
      <c r="E17" s="97"/>
      <c r="F17" s="97"/>
      <c r="G17" s="38"/>
      <c r="H17" s="38"/>
      <c r="I17" s="97"/>
      <c r="J17" s="38"/>
      <c r="K17" s="38"/>
      <c r="L17" s="38"/>
      <c r="M17" s="97"/>
      <c r="N17" s="38"/>
      <c r="O17" s="97"/>
    </row>
    <row r="18" spans="1:15" hidden="1" outlineLevel="1" x14ac:dyDescent="0.25">
      <c r="A18" s="97">
        <f>Прайс!A26</f>
        <v>22</v>
      </c>
      <c r="B18" s="97"/>
      <c r="C18" s="97"/>
      <c r="D18" s="97"/>
      <c r="E18" s="97"/>
      <c r="F18" s="97"/>
      <c r="G18" s="38"/>
      <c r="H18" s="38"/>
      <c r="I18" s="97"/>
      <c r="J18" s="38"/>
      <c r="K18" s="38"/>
      <c r="L18" s="38"/>
      <c r="M18" s="97"/>
      <c r="N18" s="38"/>
      <c r="O18" s="97"/>
    </row>
    <row r="19" spans="1:15" hidden="1" outlineLevel="1" x14ac:dyDescent="0.25">
      <c r="A19" s="97">
        <f>Прайс!A27</f>
        <v>23</v>
      </c>
      <c r="B19" s="97"/>
      <c r="C19" s="97"/>
      <c r="D19" s="97"/>
      <c r="E19" s="97"/>
      <c r="F19" s="97"/>
      <c r="G19" s="38"/>
      <c r="H19" s="38"/>
      <c r="I19" s="97"/>
      <c r="J19" s="38"/>
      <c r="K19" s="38"/>
      <c r="L19" s="38"/>
      <c r="M19" s="97"/>
      <c r="N19" s="38"/>
      <c r="O19" s="97"/>
    </row>
    <row r="20" spans="1:15" hidden="1" outlineLevel="1" x14ac:dyDescent="0.25">
      <c r="A20" s="97">
        <f>Прайс!A28</f>
        <v>24</v>
      </c>
      <c r="B20" s="97"/>
      <c r="C20" s="97"/>
      <c r="D20" s="97"/>
      <c r="E20" s="97"/>
      <c r="F20" s="97"/>
      <c r="G20" s="38"/>
      <c r="H20" s="38"/>
      <c r="I20" s="97"/>
      <c r="J20" s="38"/>
      <c r="K20" s="38"/>
      <c r="L20" s="38"/>
      <c r="M20" s="97"/>
      <c r="N20" s="38"/>
      <c r="O20" s="97"/>
    </row>
    <row r="21" spans="1:15" hidden="1" outlineLevel="1" x14ac:dyDescent="0.25">
      <c r="A21" s="97">
        <f>Прайс!A29</f>
        <v>25</v>
      </c>
      <c r="B21" s="97"/>
      <c r="C21" s="97"/>
      <c r="D21" s="97"/>
      <c r="E21" s="97"/>
      <c r="F21" s="97"/>
      <c r="G21" s="38"/>
      <c r="H21" s="38"/>
      <c r="I21" s="97"/>
      <c r="J21" s="38"/>
      <c r="K21" s="38"/>
      <c r="L21" s="38"/>
      <c r="M21" s="97"/>
      <c r="N21" s="38"/>
      <c r="O21" s="97"/>
    </row>
    <row r="22" spans="1:15" hidden="1" outlineLevel="1" x14ac:dyDescent="0.25">
      <c r="A22" s="97">
        <f>Прайс!A30</f>
        <v>26</v>
      </c>
      <c r="B22" s="97"/>
      <c r="C22" s="97"/>
      <c r="D22" s="97"/>
      <c r="E22" s="97"/>
      <c r="F22" s="97"/>
      <c r="G22" s="38"/>
      <c r="H22" s="38"/>
      <c r="I22" s="97"/>
      <c r="J22" s="38"/>
      <c r="K22" s="38"/>
      <c r="L22" s="38"/>
      <c r="M22" s="97"/>
      <c r="N22" s="38"/>
      <c r="O22" s="97"/>
    </row>
    <row r="23" spans="1:15" s="52" customFormat="1" collapsed="1" x14ac:dyDescent="0.25">
      <c r="A23" s="49"/>
      <c r="B23" s="50"/>
      <c r="C23" s="50"/>
      <c r="D23" s="50"/>
      <c r="E23" s="50"/>
      <c r="F23" s="50"/>
      <c r="G23" s="50"/>
      <c r="H23" s="51"/>
      <c r="I23" s="50"/>
      <c r="J23" s="50"/>
      <c r="K23" s="50"/>
      <c r="L23" s="50"/>
      <c r="M23" s="50"/>
      <c r="N23" s="50"/>
      <c r="O23" s="51"/>
    </row>
    <row r="24" spans="1:15" ht="15" customHeight="1" x14ac:dyDescent="0.25">
      <c r="B24" s="141" t="s">
        <v>74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</row>
    <row r="25" spans="1:15" ht="14.25" customHeight="1" x14ac:dyDescent="0.25">
      <c r="A25" s="97"/>
      <c r="B25" s="138" t="s">
        <v>85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40"/>
      <c r="O25" s="97"/>
    </row>
    <row r="26" spans="1:15" s="7" customFormat="1" ht="31.5" customHeight="1" x14ac:dyDescent="0.25">
      <c r="A26" s="8"/>
      <c r="B26" s="8"/>
      <c r="C26" s="65" t="s">
        <v>42</v>
      </c>
      <c r="D26" s="65" t="s">
        <v>44</v>
      </c>
      <c r="E26" s="65" t="s">
        <v>43</v>
      </c>
      <c r="F26" s="9" t="s">
        <v>75</v>
      </c>
      <c r="G26" s="38" t="s">
        <v>41</v>
      </c>
      <c r="H26" s="37" t="s">
        <v>37</v>
      </c>
      <c r="I26" s="136" t="s">
        <v>72</v>
      </c>
      <c r="J26" s="136"/>
      <c r="K26" s="136"/>
      <c r="L26" s="9" t="s">
        <v>20</v>
      </c>
      <c r="M26" s="9" t="s">
        <v>81</v>
      </c>
      <c r="N26" s="8" t="s">
        <v>46</v>
      </c>
      <c r="O26" s="9" t="s">
        <v>84</v>
      </c>
    </row>
    <row r="27" spans="1:15" s="7" customFormat="1" x14ac:dyDescent="0.25">
      <c r="A27" s="8" t="s">
        <v>73</v>
      </c>
      <c r="B27" s="8"/>
      <c r="C27" s="9"/>
      <c r="D27" s="9"/>
      <c r="E27" s="9"/>
      <c r="F27" s="9"/>
      <c r="G27" s="38" t="s">
        <v>77</v>
      </c>
      <c r="H27" s="37" t="s">
        <v>80</v>
      </c>
      <c r="I27" s="9" t="s">
        <v>76</v>
      </c>
      <c r="J27" s="37" t="s">
        <v>77</v>
      </c>
      <c r="K27" s="37" t="s">
        <v>78</v>
      </c>
      <c r="L27" s="37" t="s">
        <v>65</v>
      </c>
      <c r="M27" s="9" t="s">
        <v>79</v>
      </c>
      <c r="N27" s="38" t="s">
        <v>79</v>
      </c>
      <c r="O27" s="8"/>
    </row>
    <row r="28" spans="1:15" s="7" customFormat="1" x14ac:dyDescent="0.25">
      <c r="A28" s="102"/>
      <c r="B28" s="8">
        <f>INDEX(Прайс!B$5:B$108,$A28)</f>
        <v>0</v>
      </c>
      <c r="C28" s="8">
        <f>INDEX(Прайс!C$5:C$108,$A28)</f>
        <v>0</v>
      </c>
      <c r="D28" s="8">
        <f>INDEX(Прайс!D$5:D$108,$A28)</f>
        <v>0</v>
      </c>
      <c r="E28" s="8">
        <f>INDEX(Прайс!E$5:E$108,$A28)</f>
        <v>0</v>
      </c>
      <c r="F28" s="8">
        <f>INDEX(Прайс!F$5:F$108,$A28)</f>
        <v>0</v>
      </c>
      <c r="G28" s="38">
        <f>C28*E28/10000</f>
        <v>0</v>
      </c>
      <c r="H28" s="40" t="e">
        <f>F28/G28</f>
        <v>#DIV/0!</v>
      </c>
      <c r="I28" s="102"/>
      <c r="J28" s="38">
        <f>G28*I28</f>
        <v>0</v>
      </c>
      <c r="K28" s="38">
        <f>(C28*E28*D28)/1000000*I28</f>
        <v>0</v>
      </c>
      <c r="L28" s="38">
        <f>F28*I28</f>
        <v>0</v>
      </c>
      <c r="M28" s="8">
        <f>INDEX(Прайс!N$5:N$108,$A28)</f>
        <v>0</v>
      </c>
      <c r="N28" s="38">
        <f>M28*K28</f>
        <v>0</v>
      </c>
      <c r="O28" s="22" t="e">
        <f>H28*(100/D28)</f>
        <v>#DIV/0!</v>
      </c>
    </row>
    <row r="29" spans="1:15" s="7" customFormat="1" x14ac:dyDescent="0.25">
      <c r="A29" s="102"/>
      <c r="B29" s="8">
        <f>INDEX(Прайс!B$5:B$108,$A29)</f>
        <v>0</v>
      </c>
      <c r="C29" s="8">
        <f>INDEX(Прайс!C$5:C$108,$A29)</f>
        <v>0</v>
      </c>
      <c r="D29" s="8">
        <f>INDEX(Прайс!D$5:D$108,$A29)</f>
        <v>0</v>
      </c>
      <c r="E29" s="8">
        <f>INDEX(Прайс!E$5:E$108,$A29)</f>
        <v>0</v>
      </c>
      <c r="F29" s="8">
        <f>INDEX(Прайс!F$5:F$108,$A29)</f>
        <v>0</v>
      </c>
      <c r="G29" s="38">
        <f>C29*E29/10000</f>
        <v>0</v>
      </c>
      <c r="H29" s="40" t="e">
        <f>F29/G29</f>
        <v>#DIV/0!</v>
      </c>
      <c r="I29" s="102"/>
      <c r="J29" s="38">
        <f>G29*I29</f>
        <v>0</v>
      </c>
      <c r="K29" s="38">
        <f>(C29*E29*D29)/1000000*I29</f>
        <v>0</v>
      </c>
      <c r="L29" s="38">
        <f>F29*I29</f>
        <v>0</v>
      </c>
      <c r="M29" s="8">
        <f>INDEX(Прайс!N$5:N$108,$A29)</f>
        <v>0</v>
      </c>
      <c r="N29" s="38">
        <f>M29*K29</f>
        <v>0</v>
      </c>
      <c r="O29" s="22" t="e">
        <f>H29*(100/D29)</f>
        <v>#DIV/0!</v>
      </c>
    </row>
    <row r="30" spans="1:15" s="7" customFormat="1" x14ac:dyDescent="0.25">
      <c r="A30" s="102"/>
      <c r="B30" s="8">
        <f>INDEX(Прайс!B$5:B$108,$A30)</f>
        <v>0</v>
      </c>
      <c r="C30" s="8">
        <f>INDEX(Прайс!C$5:C$108,$A30)</f>
        <v>0</v>
      </c>
      <c r="D30" s="8">
        <f>INDEX(Прайс!D$5:D$108,$A30)</f>
        <v>0</v>
      </c>
      <c r="E30" s="8">
        <f>INDEX(Прайс!E$5:E$108,$A30)</f>
        <v>0</v>
      </c>
      <c r="F30" s="8">
        <f>INDEX(Прайс!F$5:F$108,$A30)</f>
        <v>0</v>
      </c>
      <c r="G30" s="38">
        <f>C30*E30/10000</f>
        <v>0</v>
      </c>
      <c r="H30" s="40" t="e">
        <f>F30/G30</f>
        <v>#DIV/0!</v>
      </c>
      <c r="I30" s="102"/>
      <c r="J30" s="38">
        <f>G30*I30</f>
        <v>0</v>
      </c>
      <c r="K30" s="38">
        <f>(C30*E30*D30)/1000000*I30</f>
        <v>0</v>
      </c>
      <c r="L30" s="38">
        <f>F30*I30</f>
        <v>0</v>
      </c>
      <c r="M30" s="8">
        <f>INDEX(Прайс!N$5:N$108,$A30)</f>
        <v>0</v>
      </c>
      <c r="N30" s="38">
        <f>M30*K30</f>
        <v>0</v>
      </c>
      <c r="O30" s="22" t="e">
        <f>H30*(100/D30)</f>
        <v>#DIV/0!</v>
      </c>
    </row>
    <row r="31" spans="1:15" s="7" customFormat="1" x14ac:dyDescent="0.25">
      <c r="A31" s="102"/>
      <c r="B31" s="8">
        <f>INDEX(Прайс!B$5:B$108,$A31)</f>
        <v>0</v>
      </c>
      <c r="C31" s="8">
        <f>INDEX(Прайс!C$5:C$108,$A31)</f>
        <v>0</v>
      </c>
      <c r="D31" s="8">
        <f>INDEX(Прайс!D$5:D$108,$A31)</f>
        <v>0</v>
      </c>
      <c r="E31" s="8">
        <f>INDEX(Прайс!E$5:E$108,$A31)</f>
        <v>0</v>
      </c>
      <c r="F31" s="8">
        <f>INDEX(Прайс!F$5:F$108,$A31)</f>
        <v>0</v>
      </c>
      <c r="G31" s="38">
        <f>C31*E31/10000</f>
        <v>0</v>
      </c>
      <c r="H31" s="40" t="e">
        <f>F31/G31</f>
        <v>#DIV/0!</v>
      </c>
      <c r="I31" s="102"/>
      <c r="J31" s="38">
        <f>G31*I31</f>
        <v>0</v>
      </c>
      <c r="K31" s="38">
        <f>(C31*E31*D31)/1000000*I31</f>
        <v>0</v>
      </c>
      <c r="L31" s="38">
        <f>F31*I31</f>
        <v>0</v>
      </c>
      <c r="M31" s="8">
        <f>INDEX(Прайс!N$5:N$108,$A31)</f>
        <v>0</v>
      </c>
      <c r="N31" s="38">
        <f>M31*K31</f>
        <v>0</v>
      </c>
      <c r="O31" s="22" t="e">
        <f>H31*(100/D31)</f>
        <v>#DIV/0!</v>
      </c>
    </row>
    <row r="32" spans="1:15" x14ac:dyDescent="0.25">
      <c r="A32" s="102"/>
      <c r="B32" s="8" t="s">
        <v>83</v>
      </c>
      <c r="C32" s="8"/>
      <c r="D32" s="8"/>
      <c r="E32" s="8"/>
      <c r="F32" s="8"/>
      <c r="G32" s="38"/>
      <c r="H32" s="40"/>
      <c r="I32" s="102"/>
      <c r="J32" s="38"/>
      <c r="K32" s="38"/>
      <c r="L32" s="38">
        <v>2000</v>
      </c>
      <c r="M32" s="34" t="s">
        <v>73</v>
      </c>
      <c r="N32" s="38">
        <v>5</v>
      </c>
      <c r="O32" s="22" t="e">
        <f>H32*(100/D32)</f>
        <v>#DIV/0!</v>
      </c>
    </row>
    <row r="33" spans="1:15" ht="15.75" x14ac:dyDescent="0.25">
      <c r="A33" s="53"/>
      <c r="B33" s="54" t="s">
        <v>82</v>
      </c>
      <c r="C33" s="55" t="s">
        <v>73</v>
      </c>
      <c r="D33" s="55" t="s">
        <v>73</v>
      </c>
      <c r="E33" s="55" t="s">
        <v>73</v>
      </c>
      <c r="F33" s="55" t="s">
        <v>73</v>
      </c>
      <c r="G33" s="54" t="s">
        <v>73</v>
      </c>
      <c r="H33" s="54" t="s">
        <v>73</v>
      </c>
      <c r="I33" s="56">
        <f>SUM(I28:I32)</f>
        <v>0</v>
      </c>
      <c r="J33" s="57">
        <f>SUM(J28:J32)</f>
        <v>0</v>
      </c>
      <c r="K33" s="57">
        <f>SUM(K28:K32)</f>
        <v>0</v>
      </c>
      <c r="L33" s="56">
        <f>SUM(L28:L32)</f>
        <v>2000</v>
      </c>
      <c r="M33" s="55" t="s">
        <v>73</v>
      </c>
      <c r="N33" s="56">
        <f>SUM(N28:N32)</f>
        <v>5</v>
      </c>
      <c r="O33" s="55" t="s">
        <v>73</v>
      </c>
    </row>
    <row r="35" spans="1:15" ht="21" x14ac:dyDescent="0.25">
      <c r="A35" s="8"/>
      <c r="B35" s="134" t="s">
        <v>93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8"/>
    </row>
    <row r="36" spans="1:15" ht="21" x14ac:dyDescent="0.25">
      <c r="A36" s="102"/>
      <c r="B36" s="76"/>
      <c r="C36" s="76"/>
      <c r="D36" s="76"/>
      <c r="E36" s="76"/>
      <c r="F36" s="76"/>
      <c r="G36" s="76"/>
      <c r="H36" s="76"/>
      <c r="I36" s="103"/>
      <c r="J36" s="76"/>
      <c r="K36" s="76"/>
      <c r="L36" s="76"/>
      <c r="M36" s="76"/>
      <c r="N36" s="76"/>
      <c r="O36" s="75"/>
    </row>
    <row r="37" spans="1:15" x14ac:dyDescent="0.25">
      <c r="A37" s="102"/>
      <c r="B37" s="8">
        <f>INDEX(Прайс!B$5:B$108,$A37)</f>
        <v>0</v>
      </c>
      <c r="C37" s="8">
        <f>INDEX(Прайс!C$5:C$108,$A37)</f>
        <v>0</v>
      </c>
      <c r="D37" s="8">
        <f>INDEX(Прайс!D$5:D$108,$A37)</f>
        <v>0</v>
      </c>
      <c r="E37" s="8">
        <f>INDEX(Прайс!E$5:E$108,$A37)</f>
        <v>0</v>
      </c>
      <c r="F37" s="8">
        <f>INDEX(Прайс!F$5:F$108,$A37)</f>
        <v>0</v>
      </c>
      <c r="G37" s="38">
        <f>C37*E37/10000</f>
        <v>0</v>
      </c>
      <c r="H37" s="40" t="e">
        <f>F37/G37</f>
        <v>#DIV/0!</v>
      </c>
      <c r="I37" s="102"/>
      <c r="J37" s="38">
        <f>G37*I37</f>
        <v>0</v>
      </c>
      <c r="K37" s="38">
        <f>(C37*E37*D37)/1000000*I37</f>
        <v>0</v>
      </c>
      <c r="L37" s="38">
        <f>F37*I37</f>
        <v>0</v>
      </c>
      <c r="M37" s="8">
        <f>INDEX(Прайс!N$5:N$108,$A37)</f>
        <v>0</v>
      </c>
      <c r="N37" s="38">
        <f>M37*K37</f>
        <v>0</v>
      </c>
      <c r="O37" s="22" t="e">
        <f>H37*(100/D37)</f>
        <v>#DIV/0!</v>
      </c>
    </row>
    <row r="38" spans="1:15" x14ac:dyDescent="0.25">
      <c r="A38" s="102"/>
      <c r="B38" s="8">
        <f>INDEX(Прайс!B$5:B$108,$A38)</f>
        <v>0</v>
      </c>
      <c r="C38" s="8">
        <f>INDEX(Прайс!C$5:C$108,$A38)</f>
        <v>0</v>
      </c>
      <c r="D38" s="8">
        <f>INDEX(Прайс!D$5:D$108,$A38)</f>
        <v>0</v>
      </c>
      <c r="E38" s="8">
        <f>INDEX(Прайс!E$5:E$108,$A38)</f>
        <v>0</v>
      </c>
      <c r="F38" s="8">
        <f>INDEX(Прайс!F$5:F$108,$A38)</f>
        <v>0</v>
      </c>
      <c r="G38" s="38">
        <f>C38*E38/10000</f>
        <v>0</v>
      </c>
      <c r="H38" s="40" t="e">
        <f>F38/G38</f>
        <v>#DIV/0!</v>
      </c>
      <c r="I38" s="102"/>
      <c r="J38" s="38">
        <f>G38*I38</f>
        <v>0</v>
      </c>
      <c r="K38" s="38">
        <f>(C38*E38*D38)/1000000*I38</f>
        <v>0</v>
      </c>
      <c r="L38" s="38">
        <f>F38*I38</f>
        <v>0</v>
      </c>
      <c r="M38" s="8">
        <f>INDEX(Прайс!N$5:N$108,$A38)</f>
        <v>0</v>
      </c>
      <c r="N38" s="38">
        <f>M38*K38</f>
        <v>0</v>
      </c>
      <c r="O38" s="22" t="e">
        <f>H38*(100/D38)</f>
        <v>#DIV/0!</v>
      </c>
    </row>
    <row r="39" spans="1:15" x14ac:dyDescent="0.25">
      <c r="A39" s="102"/>
      <c r="B39" s="8">
        <f>INDEX(Прайс!B$5:B$108,$A39)</f>
        <v>0</v>
      </c>
      <c r="C39" s="8">
        <f>INDEX(Прайс!C$5:C$108,$A39)</f>
        <v>0</v>
      </c>
      <c r="D39" s="8">
        <f>INDEX(Прайс!D$5:D$108,$A39)</f>
        <v>0</v>
      </c>
      <c r="E39" s="8">
        <f>INDEX(Прайс!E$5:E$108,$A39)</f>
        <v>0</v>
      </c>
      <c r="F39" s="8">
        <f>INDEX(Прайс!F$5:F$108,$A39)</f>
        <v>0</v>
      </c>
      <c r="G39" s="38">
        <f>C39*E39/10000</f>
        <v>0</v>
      </c>
      <c r="H39" s="40" t="e">
        <f>F39/G39</f>
        <v>#DIV/0!</v>
      </c>
      <c r="I39" s="102"/>
      <c r="J39" s="38">
        <f>G39*I39</f>
        <v>0</v>
      </c>
      <c r="K39" s="38">
        <f>(C39*E39*D39)/1000000*I39</f>
        <v>0</v>
      </c>
      <c r="L39" s="38">
        <f>F39*I39</f>
        <v>0</v>
      </c>
      <c r="M39" s="8">
        <f>INDEX(Прайс!N$5:N$108,$A39)</f>
        <v>0</v>
      </c>
      <c r="N39" s="40">
        <f>M39*K39</f>
        <v>0</v>
      </c>
      <c r="O39" s="22" t="e">
        <f>H39*(100/D39)</f>
        <v>#DIV/0!</v>
      </c>
    </row>
    <row r="40" spans="1:15" x14ac:dyDescent="0.25">
      <c r="A40" s="102"/>
      <c r="B40" s="8">
        <f>INDEX(Прайс!B$5:B$108,$A40)</f>
        <v>0</v>
      </c>
      <c r="C40" s="8">
        <f>INDEX(Прайс!C$5:C$108,$A40)</f>
        <v>0</v>
      </c>
      <c r="D40" s="8">
        <f>INDEX(Прайс!D$5:D$108,$A40)</f>
        <v>0</v>
      </c>
      <c r="E40" s="8">
        <f>INDEX(Прайс!E$5:E$108,$A40)</f>
        <v>0</v>
      </c>
      <c r="F40" s="8">
        <f>INDEX(Прайс!F$5:F$108,$A40)</f>
        <v>0</v>
      </c>
      <c r="G40" s="38">
        <f>C40*E40/10000</f>
        <v>0</v>
      </c>
      <c r="H40" s="40" t="e">
        <f>F40/G40</f>
        <v>#DIV/0!</v>
      </c>
      <c r="I40" s="102"/>
      <c r="J40" s="38">
        <f>G40*I40</f>
        <v>0</v>
      </c>
      <c r="K40" s="38">
        <f>(C40*E40*D40)/1000000*I40</f>
        <v>0</v>
      </c>
      <c r="L40" s="38">
        <f>F40*I40</f>
        <v>0</v>
      </c>
      <c r="M40" s="8">
        <f>INDEX(Прайс!N$5:N$108,$A40)</f>
        <v>0</v>
      </c>
      <c r="N40" s="38">
        <f>M40*K40</f>
        <v>0</v>
      </c>
      <c r="O40" s="22" t="e">
        <f>H40*(100/D40)</f>
        <v>#DIV/0!</v>
      </c>
    </row>
    <row r="41" spans="1:15" x14ac:dyDescent="0.25">
      <c r="A41" s="102"/>
      <c r="B41" s="8">
        <f>INDEX(Прайс!B$5:B$108,$A41)</f>
        <v>0</v>
      </c>
      <c r="C41" s="8">
        <f>INDEX(Прайс!C$5:C$108,$A41)</f>
        <v>0</v>
      </c>
      <c r="D41" s="8">
        <f>INDEX(Прайс!D$5:D$108,$A41)</f>
        <v>0</v>
      </c>
      <c r="E41" s="8">
        <f>INDEX(Прайс!E$5:E$108,$A41)</f>
        <v>0</v>
      </c>
      <c r="F41" s="8">
        <f>INDEX(Прайс!F$5:F$108,$A41)</f>
        <v>0</v>
      </c>
      <c r="G41" s="38">
        <f>C41*E41/10000</f>
        <v>0</v>
      </c>
      <c r="H41" s="40" t="e">
        <f>F41/G41</f>
        <v>#DIV/0!</v>
      </c>
      <c r="I41" s="102"/>
      <c r="J41" s="38">
        <f>G41*I41</f>
        <v>0</v>
      </c>
      <c r="K41" s="38">
        <f>(C41*E41*D41)/1000000*I41</f>
        <v>0</v>
      </c>
      <c r="L41" s="38">
        <f>F41*I41</f>
        <v>0</v>
      </c>
      <c r="M41" s="8">
        <f>INDEX(Прайс!N$5:N$108,$A41)</f>
        <v>0</v>
      </c>
      <c r="N41" s="38">
        <f>M41*K41</f>
        <v>0</v>
      </c>
      <c r="O41" s="22" t="e">
        <f>H41*(100/D41)</f>
        <v>#DIV/0!</v>
      </c>
    </row>
    <row r="42" spans="1:15" x14ac:dyDescent="0.25">
      <c r="A42" s="102"/>
      <c r="B42" s="8"/>
      <c r="C42" s="8"/>
      <c r="D42" s="8"/>
      <c r="E42" s="8"/>
      <c r="F42" s="8"/>
      <c r="G42" s="38"/>
      <c r="H42" s="38"/>
      <c r="I42" s="102"/>
      <c r="J42" s="39"/>
      <c r="K42" s="39"/>
      <c r="L42" s="39"/>
      <c r="M42" s="34"/>
      <c r="N42" s="39"/>
      <c r="O42" s="8"/>
    </row>
    <row r="43" spans="1:15" x14ac:dyDescent="0.25">
      <c r="A43" s="102"/>
      <c r="B43" s="8"/>
      <c r="C43" s="8"/>
      <c r="D43" s="8"/>
      <c r="E43" s="8"/>
      <c r="F43" s="8"/>
      <c r="G43" s="38"/>
      <c r="H43" s="38"/>
      <c r="I43" s="102"/>
      <c r="J43" s="39"/>
      <c r="K43" s="39"/>
      <c r="L43" s="39"/>
      <c r="M43" s="34"/>
      <c r="N43" s="39"/>
      <c r="O43" s="8"/>
    </row>
    <row r="44" spans="1:15" ht="15.75" x14ac:dyDescent="0.25">
      <c r="A44" s="12"/>
      <c r="B44" s="54" t="s">
        <v>82</v>
      </c>
      <c r="C44" s="55" t="s">
        <v>73</v>
      </c>
      <c r="D44" s="55" t="s">
        <v>73</v>
      </c>
      <c r="E44" s="55" t="s">
        <v>73</v>
      </c>
      <c r="F44" s="55" t="s">
        <v>73</v>
      </c>
      <c r="G44" s="54" t="s">
        <v>73</v>
      </c>
      <c r="H44" s="54" t="s">
        <v>73</v>
      </c>
      <c r="I44" s="56">
        <f>SUM(I35:I43)</f>
        <v>0</v>
      </c>
      <c r="J44" s="57">
        <f>SUM(J37:J43)</f>
        <v>0</v>
      </c>
      <c r="K44" s="57">
        <f>SUM(K37:K43)</f>
        <v>0</v>
      </c>
      <c r="L44" s="56">
        <f>SUM(L37:L43)</f>
        <v>0</v>
      </c>
      <c r="M44" s="55" t="s">
        <v>73</v>
      </c>
      <c r="N44" s="56">
        <f>SUM(N37:N43)</f>
        <v>0</v>
      </c>
      <c r="O44" s="55" t="s">
        <v>73</v>
      </c>
    </row>
    <row r="46" spans="1:15" ht="21" x14ac:dyDescent="0.25">
      <c r="A46" s="8"/>
      <c r="B46" s="134" t="s">
        <v>86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8"/>
    </row>
    <row r="47" spans="1:15" x14ac:dyDescent="0.25">
      <c r="A47" s="102">
        <v>6</v>
      </c>
      <c r="B47" s="8" t="str">
        <f>INDEX(Прайс!B$5:B$108,$A47)</f>
        <v>Доска 25*150</v>
      </c>
      <c r="C47" s="8">
        <f>INDEX(Прайс!C$5:C$108,$A47)</f>
        <v>15</v>
      </c>
      <c r="D47" s="8">
        <f>INDEX(Прайс!D$5:D$108,$A47)</f>
        <v>2.5</v>
      </c>
      <c r="E47" s="8">
        <f>INDEX(Прайс!E$5:E$108,$A47)</f>
        <v>400</v>
      </c>
      <c r="F47" s="8">
        <f>INDEX(Прайс!F$5:F$108,$A47)</f>
        <v>135</v>
      </c>
      <c r="G47" s="38">
        <f>C47*E47/10000</f>
        <v>0.6</v>
      </c>
      <c r="H47" s="40">
        <f>F47/G47</f>
        <v>225</v>
      </c>
      <c r="I47" s="102">
        <v>40</v>
      </c>
      <c r="J47" s="38">
        <f>G47*I47</f>
        <v>24</v>
      </c>
      <c r="K47" s="38">
        <f>(C47*E47*D47)/1000000*I47</f>
        <v>0.6</v>
      </c>
      <c r="L47" s="38">
        <f>F47*I47</f>
        <v>5400</v>
      </c>
      <c r="M47" s="8">
        <f>INDEX(Прайс!N$5:N$108,$A47)</f>
        <v>600</v>
      </c>
      <c r="N47" s="40">
        <f>M47*K47</f>
        <v>360</v>
      </c>
      <c r="O47" s="22">
        <f>H47*(100/D47)</f>
        <v>9000</v>
      </c>
    </row>
    <row r="48" spans="1:15" x14ac:dyDescent="0.25">
      <c r="A48" s="102">
        <v>7</v>
      </c>
      <c r="B48" s="8" t="str">
        <f>INDEX(Прайс!B$5:B$108,$A48)</f>
        <v>Доска 25*150 (3с)</v>
      </c>
      <c r="C48" s="8">
        <f>INDEX(Прайс!C$5:C$108,$A48)</f>
        <v>15</v>
      </c>
      <c r="D48" s="8">
        <f>INDEX(Прайс!D$5:D$108,$A48)</f>
        <v>2.5</v>
      </c>
      <c r="E48" s="8">
        <f>INDEX(Прайс!E$5:E$108,$A48)</f>
        <v>400</v>
      </c>
      <c r="F48" s="8">
        <f>INDEX(Прайс!F$5:F$108,$A48)</f>
        <v>100</v>
      </c>
      <c r="G48" s="38">
        <f>C48*E48/10000</f>
        <v>0.6</v>
      </c>
      <c r="H48" s="40">
        <f>F48/G48</f>
        <v>166.66666666666669</v>
      </c>
      <c r="I48" s="102">
        <v>30</v>
      </c>
      <c r="J48" s="38">
        <f>G48*I48</f>
        <v>18</v>
      </c>
      <c r="K48" s="38">
        <f>(C48*E48*D48)/1000000*I48</f>
        <v>0.44999999999999996</v>
      </c>
      <c r="L48" s="38">
        <f>F48*I48</f>
        <v>3000</v>
      </c>
      <c r="M48" s="8">
        <f>INDEX(Прайс!N$5:N$108,$A48)</f>
        <v>600</v>
      </c>
      <c r="N48" s="40">
        <f>M48*K48</f>
        <v>270</v>
      </c>
      <c r="O48" s="22">
        <f>H48*(100/D48)</f>
        <v>6666.6666666666679</v>
      </c>
    </row>
    <row r="49" spans="1:15" x14ac:dyDescent="0.25">
      <c r="A49" s="102">
        <v>3</v>
      </c>
      <c r="B49" s="8" t="str">
        <f>INDEX(Прайс!B$5:B$108,$A49)</f>
        <v>Брус 100*100</v>
      </c>
      <c r="C49" s="8">
        <f>INDEX(Прайс!C$5:C$108,$A49)</f>
        <v>10</v>
      </c>
      <c r="D49" s="8">
        <f>INDEX(Прайс!D$5:D$108,$A49)</f>
        <v>10</v>
      </c>
      <c r="E49" s="8">
        <f>INDEX(Прайс!E$5:E$108,$A49)</f>
        <v>400</v>
      </c>
      <c r="F49" s="8">
        <f>INDEX(Прайс!F$5:F$108,$A49)</f>
        <v>360</v>
      </c>
      <c r="G49" s="38">
        <f>C49*E49/10000</f>
        <v>0.4</v>
      </c>
      <c r="H49" s="40">
        <f>F49/G49</f>
        <v>900</v>
      </c>
      <c r="I49" s="102">
        <v>8</v>
      </c>
      <c r="J49" s="38">
        <f>G49*I49</f>
        <v>3.2</v>
      </c>
      <c r="K49" s="38">
        <f>(C49*E49*D49)/1000000*I49</f>
        <v>0.32</v>
      </c>
      <c r="L49" s="38">
        <f>F49*I49</f>
        <v>2880</v>
      </c>
      <c r="M49" s="8">
        <f>INDEX(Прайс!N$5:N$108,$A49)</f>
        <v>600</v>
      </c>
      <c r="N49" s="40">
        <f>M49*K49</f>
        <v>192</v>
      </c>
      <c r="O49" s="22">
        <f>H49*(100/D49)</f>
        <v>9000</v>
      </c>
    </row>
    <row r="50" spans="1:15" x14ac:dyDescent="0.25">
      <c r="A50" s="102"/>
      <c r="B50" s="8">
        <f>INDEX(Прайс!B$5:B$108,$A50)</f>
        <v>0</v>
      </c>
      <c r="C50" s="8">
        <f>INDEX(Прайс!C$5:C$108,$A50)</f>
        <v>0</v>
      </c>
      <c r="D50" s="8">
        <f>INDEX(Прайс!D$5:D$108,$A50)</f>
        <v>0</v>
      </c>
      <c r="E50" s="8">
        <f>INDEX(Прайс!E$5:E$108,$A50)</f>
        <v>0</v>
      </c>
      <c r="F50" s="8">
        <f>INDEX(Прайс!F$5:F$108,$A50)</f>
        <v>0</v>
      </c>
      <c r="G50" s="38">
        <f>C50*E50/10000</f>
        <v>0</v>
      </c>
      <c r="H50" s="40" t="e">
        <f>F50/G50</f>
        <v>#DIV/0!</v>
      </c>
      <c r="I50" s="102"/>
      <c r="J50" s="38">
        <f>G50*I50</f>
        <v>0</v>
      </c>
      <c r="K50" s="38">
        <f>(C50*E50*D50)/1000000*I50</f>
        <v>0</v>
      </c>
      <c r="L50" s="38">
        <f>F50*I50</f>
        <v>0</v>
      </c>
      <c r="M50" s="8">
        <f>INDEX(Прайс!N$5:N$108,$A50)</f>
        <v>0</v>
      </c>
      <c r="N50" s="38">
        <f>M50*K50</f>
        <v>0</v>
      </c>
      <c r="O50" s="22" t="e">
        <f>H50*(100/D50)</f>
        <v>#DIV/0!</v>
      </c>
    </row>
    <row r="51" spans="1:15" x14ac:dyDescent="0.25">
      <c r="A51" s="102"/>
      <c r="B51" s="8">
        <f>INDEX(Прайс!B$5:B$108,$A51)</f>
        <v>0</v>
      </c>
      <c r="C51" s="8">
        <f>INDEX(Прайс!C$5:C$108,$A51)</f>
        <v>0</v>
      </c>
      <c r="D51" s="8">
        <f>INDEX(Прайс!D$5:D$108,$A51)</f>
        <v>0</v>
      </c>
      <c r="E51" s="8">
        <f>INDEX(Прайс!E$5:E$108,$A51)</f>
        <v>0</v>
      </c>
      <c r="F51" s="8">
        <f>INDEX(Прайс!F$5:F$108,$A51)</f>
        <v>0</v>
      </c>
      <c r="G51" s="38">
        <f>C51*E51/10000</f>
        <v>0</v>
      </c>
      <c r="H51" s="40" t="e">
        <f>F51/G51</f>
        <v>#DIV/0!</v>
      </c>
      <c r="I51" s="102"/>
      <c r="J51" s="38">
        <f>G51*I51</f>
        <v>0</v>
      </c>
      <c r="K51" s="38">
        <f>(C51*E51*D51)/1000000*I51</f>
        <v>0</v>
      </c>
      <c r="L51" s="38">
        <f>F51*I51</f>
        <v>0</v>
      </c>
      <c r="M51" s="8">
        <f>INDEX(Прайс!N$5:N$108,$A51)</f>
        <v>0</v>
      </c>
      <c r="N51" s="38">
        <f>M51*K51</f>
        <v>0</v>
      </c>
      <c r="O51" s="22" t="e">
        <f>H51*(100/D51)</f>
        <v>#DIV/0!</v>
      </c>
    </row>
    <row r="52" spans="1:15" x14ac:dyDescent="0.25">
      <c r="A52" s="102"/>
      <c r="B52" s="8"/>
      <c r="C52" s="8"/>
      <c r="D52" s="8"/>
      <c r="E52" s="8"/>
      <c r="F52" s="8"/>
      <c r="G52" s="38"/>
      <c r="H52" s="38"/>
      <c r="I52" s="102"/>
      <c r="J52" s="39"/>
      <c r="K52" s="39"/>
      <c r="L52" s="39"/>
      <c r="M52" s="34"/>
      <c r="N52" s="39"/>
      <c r="O52" s="8"/>
    </row>
    <row r="53" spans="1:15" x14ac:dyDescent="0.25">
      <c r="A53" s="102"/>
      <c r="B53" s="8"/>
      <c r="C53" s="8"/>
      <c r="D53" s="8"/>
      <c r="E53" s="8"/>
      <c r="F53" s="8"/>
      <c r="G53" s="38"/>
      <c r="H53" s="38"/>
      <c r="I53" s="102"/>
      <c r="J53" s="39"/>
      <c r="K53" s="39"/>
      <c r="L53" s="39"/>
      <c r="M53" s="34"/>
      <c r="N53" s="39"/>
      <c r="O53" s="8"/>
    </row>
    <row r="54" spans="1:15" ht="15.75" x14ac:dyDescent="0.25">
      <c r="A54" s="12"/>
      <c r="B54" s="54" t="s">
        <v>82</v>
      </c>
      <c r="C54" s="55" t="s">
        <v>73</v>
      </c>
      <c r="D54" s="55" t="s">
        <v>73</v>
      </c>
      <c r="E54" s="55" t="s">
        <v>73</v>
      </c>
      <c r="F54" s="55" t="s">
        <v>73</v>
      </c>
      <c r="G54" s="54" t="s">
        <v>73</v>
      </c>
      <c r="H54" s="54" t="s">
        <v>73</v>
      </c>
      <c r="I54" s="56">
        <f>SUM(I46:I53)</f>
        <v>78</v>
      </c>
      <c r="J54" s="57">
        <f>SUM(J47:J53)</f>
        <v>45.2</v>
      </c>
      <c r="K54" s="57">
        <f>SUM(K47:K53)</f>
        <v>1.3699999999999999</v>
      </c>
      <c r="L54" s="56">
        <f>SUM(L47:L53)</f>
        <v>11280</v>
      </c>
      <c r="M54" s="55" t="s">
        <v>73</v>
      </c>
      <c r="N54" s="56">
        <f>SUM(N47:N53)</f>
        <v>822</v>
      </c>
      <c r="O54" s="55" t="s">
        <v>73</v>
      </c>
    </row>
  </sheetData>
  <dataConsolidate link="1"/>
  <mergeCells count="8">
    <mergeCell ref="B1:N1"/>
    <mergeCell ref="B35:N35"/>
    <mergeCell ref="A2:A3"/>
    <mergeCell ref="B46:N46"/>
    <mergeCell ref="I26:K26"/>
    <mergeCell ref="I2:K2"/>
    <mergeCell ref="B25:N25"/>
    <mergeCell ref="B24:N24"/>
  </mergeCells>
  <pageMargins left="0.7" right="0.7" top="0.75" bottom="0.75" header="0.3" footer="0.3"/>
  <pageSetup paperSize="9" scale="5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07A9-9F2C-494F-ACEA-D7C7917C3C81}">
  <dimension ref="A1:W37"/>
  <sheetViews>
    <sheetView workbookViewId="0">
      <selection activeCell="F23" sqref="F23"/>
    </sheetView>
  </sheetViews>
  <sheetFormatPr defaultRowHeight="15" x14ac:dyDescent="0.25"/>
  <cols>
    <col min="1" max="1" width="4.42578125" customWidth="1"/>
    <col min="2" max="2" width="19" customWidth="1"/>
    <col min="16" max="16" width="6.42578125" bestFit="1" customWidth="1"/>
    <col min="17" max="17" width="8.42578125" bestFit="1" customWidth="1"/>
    <col min="18" max="18" width="7.42578125" style="7" bestFit="1" customWidth="1"/>
    <col min="19" max="19" width="7.42578125" style="7" customWidth="1"/>
    <col min="20" max="20" width="9.5703125" style="106" bestFit="1" customWidth="1"/>
    <col min="21" max="21" width="7.5703125" bestFit="1" customWidth="1"/>
    <col min="22" max="22" width="9.140625" style="7"/>
  </cols>
  <sheetData>
    <row r="1" spans="1:23" ht="21.75" thickBot="1" x14ac:dyDescent="0.3">
      <c r="A1" s="7"/>
      <c r="B1" s="142" t="s">
        <v>88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9" t="s">
        <v>162</v>
      </c>
      <c r="Q1" s="149"/>
      <c r="R1" s="149"/>
      <c r="S1" s="149"/>
      <c r="T1" s="149"/>
      <c r="U1" s="149"/>
      <c r="W1" s="7"/>
    </row>
    <row r="2" spans="1:23" ht="45" x14ac:dyDescent="0.25">
      <c r="A2" s="143" t="s">
        <v>87</v>
      </c>
      <c r="B2" s="147"/>
      <c r="C2" s="47" t="s">
        <v>42</v>
      </c>
      <c r="D2" s="47" t="s">
        <v>44</v>
      </c>
      <c r="E2" s="47" t="s">
        <v>43</v>
      </c>
      <c r="F2" s="83" t="s">
        <v>75</v>
      </c>
      <c r="G2" s="42" t="s">
        <v>41</v>
      </c>
      <c r="H2" s="43" t="s">
        <v>37</v>
      </c>
      <c r="I2" s="145" t="s">
        <v>72</v>
      </c>
      <c r="J2" s="145"/>
      <c r="K2" s="145"/>
      <c r="L2" s="146"/>
      <c r="M2" s="83" t="s">
        <v>20</v>
      </c>
      <c r="N2" s="47" t="s">
        <v>81</v>
      </c>
      <c r="O2" s="90" t="s">
        <v>46</v>
      </c>
      <c r="P2" s="15" t="s">
        <v>156</v>
      </c>
      <c r="Q2" s="105" t="s">
        <v>157</v>
      </c>
      <c r="R2" s="105" t="s">
        <v>159</v>
      </c>
      <c r="S2" s="105" t="s">
        <v>183</v>
      </c>
      <c r="T2" s="105" t="s">
        <v>160</v>
      </c>
      <c r="U2" s="15" t="s">
        <v>161</v>
      </c>
      <c r="V2" s="105" t="s">
        <v>163</v>
      </c>
      <c r="W2" s="83" t="s">
        <v>89</v>
      </c>
    </row>
    <row r="3" spans="1:23" x14ac:dyDescent="0.25">
      <c r="A3" s="144"/>
      <c r="B3" s="148"/>
      <c r="C3" s="77"/>
      <c r="D3" s="77"/>
      <c r="E3" s="77"/>
      <c r="F3" s="23"/>
      <c r="G3" s="44" t="s">
        <v>77</v>
      </c>
      <c r="H3" s="45" t="s">
        <v>80</v>
      </c>
      <c r="I3" s="113" t="s">
        <v>76</v>
      </c>
      <c r="J3" s="120" t="s">
        <v>164</v>
      </c>
      <c r="K3" s="37" t="s">
        <v>77</v>
      </c>
      <c r="L3" s="37" t="s">
        <v>78</v>
      </c>
      <c r="M3" s="37" t="s">
        <v>65</v>
      </c>
      <c r="N3" s="15" t="s">
        <v>79</v>
      </c>
      <c r="O3" s="38" t="s">
        <v>79</v>
      </c>
      <c r="P3" s="111"/>
      <c r="Q3" s="111"/>
      <c r="R3" s="105">
        <v>10500</v>
      </c>
      <c r="S3" s="105"/>
      <c r="T3" s="112"/>
      <c r="U3" s="10"/>
      <c r="V3" s="108"/>
      <c r="W3" s="85" t="s">
        <v>90</v>
      </c>
    </row>
    <row r="4" spans="1:23" x14ac:dyDescent="0.25">
      <c r="A4" s="91"/>
      <c r="B4" s="35" t="s">
        <v>45</v>
      </c>
      <c r="C4" s="35"/>
      <c r="D4" s="35"/>
      <c r="E4" s="35"/>
      <c r="F4" s="84"/>
      <c r="G4" s="86"/>
      <c r="H4" s="87"/>
      <c r="I4" s="114"/>
      <c r="J4" s="114"/>
      <c r="K4" s="35"/>
      <c r="L4" s="35"/>
      <c r="M4" s="35"/>
      <c r="N4" s="109"/>
      <c r="O4" s="75"/>
      <c r="P4" s="111"/>
      <c r="Q4" s="111"/>
      <c r="R4" s="105"/>
      <c r="S4" s="105"/>
      <c r="T4" s="112"/>
      <c r="U4" s="10"/>
      <c r="V4" s="108"/>
      <c r="W4" s="85"/>
    </row>
    <row r="5" spans="1:23" x14ac:dyDescent="0.25">
      <c r="A5" s="91">
        <v>1</v>
      </c>
      <c r="B5" s="75" t="s">
        <v>36</v>
      </c>
      <c r="C5" s="75">
        <v>250</v>
      </c>
      <c r="D5" s="75">
        <v>0.9</v>
      </c>
      <c r="E5" s="75">
        <v>125</v>
      </c>
      <c r="F5" s="85">
        <v>1050</v>
      </c>
      <c r="G5" s="44">
        <f t="shared" ref="G5:G13" si="0">C5*E5/10000</f>
        <v>3.125</v>
      </c>
      <c r="H5" s="46">
        <f t="shared" ref="H5:H13" si="1">F5/G5</f>
        <v>336</v>
      </c>
      <c r="I5" s="115">
        <v>13</v>
      </c>
      <c r="J5" s="121">
        <f>(E5/100)*I5</f>
        <v>16.25</v>
      </c>
      <c r="K5" s="38">
        <f>G5*I5</f>
        <v>40.625</v>
      </c>
      <c r="L5" s="38">
        <f>(C5*E5*D5)/1000000*I5</f>
        <v>0.36562500000000003</v>
      </c>
      <c r="M5" s="38">
        <f>F5*I5</f>
        <v>13650</v>
      </c>
      <c r="N5" s="105">
        <v>650</v>
      </c>
      <c r="O5" s="40">
        <f t="shared" ref="O5:O36" si="2">N5*L5</f>
        <v>237.65625000000003</v>
      </c>
      <c r="P5" s="105">
        <v>750</v>
      </c>
      <c r="Q5" s="111"/>
      <c r="R5" s="105" t="s">
        <v>73</v>
      </c>
      <c r="S5" s="105"/>
      <c r="T5" s="112">
        <v>1050</v>
      </c>
      <c r="U5" s="10"/>
      <c r="V5" s="108">
        <v>1100</v>
      </c>
      <c r="W5" s="104">
        <f t="shared" ref="W5:W13" si="3">H5*(100/D5)</f>
        <v>37333.333333333336</v>
      </c>
    </row>
    <row r="6" spans="1:23" x14ac:dyDescent="0.25">
      <c r="A6" s="91">
        <v>2</v>
      </c>
      <c r="B6" s="105" t="s">
        <v>92</v>
      </c>
      <c r="C6" s="110">
        <v>5</v>
      </c>
      <c r="D6" s="110">
        <v>5</v>
      </c>
      <c r="E6" s="110">
        <v>400</v>
      </c>
      <c r="F6" s="117"/>
      <c r="G6" s="44">
        <f t="shared" ref="G6:G12" si="4">C6*E6/10000</f>
        <v>0.2</v>
      </c>
      <c r="H6" s="46">
        <f t="shared" ref="H6:H12" si="5">F6/G6</f>
        <v>0</v>
      </c>
      <c r="I6" s="116">
        <v>1</v>
      </c>
      <c r="J6" s="121">
        <f t="shared" ref="J6:J37" si="6">(E6/100)*I6</f>
        <v>4</v>
      </c>
      <c r="K6" s="38">
        <f t="shared" ref="K6:K13" si="7">G6*I6</f>
        <v>0.2</v>
      </c>
      <c r="L6" s="38">
        <f t="shared" ref="L6:L13" si="8">(C6*E6*D6)/1000000*I6</f>
        <v>0.01</v>
      </c>
      <c r="M6" s="38">
        <f t="shared" ref="M6:M13" si="9">F6*I6</f>
        <v>0</v>
      </c>
      <c r="N6" s="110">
        <v>600</v>
      </c>
      <c r="O6" s="38">
        <f t="shared" si="2"/>
        <v>6</v>
      </c>
      <c r="P6" s="105"/>
      <c r="Q6" s="111"/>
      <c r="R6" s="105">
        <f t="shared" ref="R6:R10" si="10">$R$3/(1/((C6*D6*E6)/1000000))</f>
        <v>105</v>
      </c>
      <c r="S6" s="105"/>
      <c r="T6" s="112"/>
      <c r="U6" s="10"/>
      <c r="V6" s="108"/>
      <c r="W6" s="119">
        <f t="shared" si="3"/>
        <v>0</v>
      </c>
    </row>
    <row r="7" spans="1:23" x14ac:dyDescent="0.25">
      <c r="A7" s="91">
        <v>3</v>
      </c>
      <c r="B7" s="105" t="s">
        <v>153</v>
      </c>
      <c r="C7" s="105">
        <v>10</v>
      </c>
      <c r="D7" s="105">
        <v>10</v>
      </c>
      <c r="E7" s="105">
        <v>400</v>
      </c>
      <c r="F7" s="118">
        <v>360</v>
      </c>
      <c r="G7" s="44">
        <f t="shared" si="4"/>
        <v>0.4</v>
      </c>
      <c r="H7" s="46">
        <f t="shared" si="5"/>
        <v>900</v>
      </c>
      <c r="I7" s="115"/>
      <c r="J7" s="121">
        <f t="shared" si="6"/>
        <v>0</v>
      </c>
      <c r="K7" s="38">
        <f t="shared" si="7"/>
        <v>0</v>
      </c>
      <c r="L7" s="38">
        <f t="shared" si="8"/>
        <v>0</v>
      </c>
      <c r="M7" s="38">
        <f t="shared" si="9"/>
        <v>0</v>
      </c>
      <c r="N7" s="105">
        <v>600</v>
      </c>
      <c r="O7" s="38">
        <f t="shared" si="2"/>
        <v>0</v>
      </c>
      <c r="P7" s="105">
        <v>420</v>
      </c>
      <c r="Q7" s="111"/>
      <c r="R7" s="105">
        <f t="shared" si="10"/>
        <v>420</v>
      </c>
      <c r="S7" s="105">
        <v>360</v>
      </c>
      <c r="T7" s="112"/>
      <c r="U7" s="10"/>
      <c r="V7" s="108"/>
      <c r="W7" s="119">
        <f t="shared" si="3"/>
        <v>9000</v>
      </c>
    </row>
    <row r="8" spans="1:23" x14ac:dyDescent="0.25">
      <c r="A8" s="91">
        <v>4</v>
      </c>
      <c r="B8" s="105" t="s">
        <v>153</v>
      </c>
      <c r="C8" s="105">
        <v>10</v>
      </c>
      <c r="D8" s="105">
        <v>10</v>
      </c>
      <c r="E8" s="105">
        <v>600</v>
      </c>
      <c r="F8" s="118">
        <v>960</v>
      </c>
      <c r="G8" s="44">
        <f t="shared" si="4"/>
        <v>0.6</v>
      </c>
      <c r="H8" s="46">
        <f t="shared" si="5"/>
        <v>1600</v>
      </c>
      <c r="I8" s="115"/>
      <c r="J8" s="121">
        <f t="shared" si="6"/>
        <v>0</v>
      </c>
      <c r="K8" s="38">
        <f t="shared" si="7"/>
        <v>0</v>
      </c>
      <c r="L8" s="38">
        <f t="shared" si="8"/>
        <v>0</v>
      </c>
      <c r="M8" s="38">
        <f t="shared" si="9"/>
        <v>0</v>
      </c>
      <c r="N8" s="105">
        <v>600</v>
      </c>
      <c r="O8" s="38">
        <f t="shared" si="2"/>
        <v>0</v>
      </c>
      <c r="P8" s="105">
        <v>960</v>
      </c>
      <c r="Q8" s="111"/>
      <c r="R8" s="105">
        <f t="shared" si="10"/>
        <v>630</v>
      </c>
      <c r="S8" s="105"/>
      <c r="T8" s="112"/>
      <c r="U8" s="10"/>
      <c r="V8" s="108"/>
      <c r="W8" s="119">
        <f t="shared" si="3"/>
        <v>16000</v>
      </c>
    </row>
    <row r="9" spans="1:23" x14ac:dyDescent="0.25">
      <c r="A9" s="91">
        <v>5</v>
      </c>
      <c r="B9" s="105" t="s">
        <v>91</v>
      </c>
      <c r="C9" s="105">
        <v>15</v>
      </c>
      <c r="D9" s="105">
        <v>15</v>
      </c>
      <c r="E9" s="105">
        <v>400</v>
      </c>
      <c r="F9" s="118">
        <v>945</v>
      </c>
      <c r="G9" s="44">
        <f t="shared" si="4"/>
        <v>0.6</v>
      </c>
      <c r="H9" s="46">
        <f t="shared" si="5"/>
        <v>1575</v>
      </c>
      <c r="I9" s="115"/>
      <c r="J9" s="121">
        <f t="shared" si="6"/>
        <v>0</v>
      </c>
      <c r="K9" s="38">
        <f t="shared" si="7"/>
        <v>0</v>
      </c>
      <c r="L9" s="38">
        <f t="shared" si="8"/>
        <v>0</v>
      </c>
      <c r="M9" s="38">
        <f t="shared" si="9"/>
        <v>0</v>
      </c>
      <c r="N9" s="105">
        <v>600</v>
      </c>
      <c r="O9" s="38">
        <f t="shared" si="2"/>
        <v>0</v>
      </c>
      <c r="P9" s="105">
        <v>945</v>
      </c>
      <c r="Q9" s="111"/>
      <c r="R9" s="105">
        <f t="shared" si="10"/>
        <v>945</v>
      </c>
      <c r="S9" s="105"/>
      <c r="T9" s="112"/>
      <c r="U9" s="10"/>
      <c r="V9" s="108"/>
      <c r="W9" s="119">
        <f t="shared" si="3"/>
        <v>10500</v>
      </c>
    </row>
    <row r="10" spans="1:23" x14ac:dyDescent="0.25">
      <c r="A10" s="91">
        <v>6</v>
      </c>
      <c r="B10" s="105" t="s">
        <v>155</v>
      </c>
      <c r="C10" s="105">
        <v>15</v>
      </c>
      <c r="D10" s="105">
        <v>2.5</v>
      </c>
      <c r="E10" s="105">
        <v>400</v>
      </c>
      <c r="F10" s="118">
        <v>135</v>
      </c>
      <c r="G10" s="44">
        <f t="shared" si="4"/>
        <v>0.6</v>
      </c>
      <c r="H10" s="46">
        <f t="shared" si="5"/>
        <v>225</v>
      </c>
      <c r="I10" s="115">
        <v>54</v>
      </c>
      <c r="J10" s="121">
        <f t="shared" si="6"/>
        <v>216</v>
      </c>
      <c r="K10" s="38">
        <f t="shared" si="7"/>
        <v>32.4</v>
      </c>
      <c r="L10" s="38">
        <f t="shared" si="8"/>
        <v>0.80999999999999994</v>
      </c>
      <c r="M10" s="38">
        <f t="shared" si="9"/>
        <v>7290</v>
      </c>
      <c r="N10" s="105">
        <v>600</v>
      </c>
      <c r="O10" s="38">
        <f t="shared" si="2"/>
        <v>485.99999999999994</v>
      </c>
      <c r="P10" s="105">
        <v>155</v>
      </c>
      <c r="Q10" s="111"/>
      <c r="R10" s="105">
        <f t="shared" si="10"/>
        <v>157.5</v>
      </c>
      <c r="S10" s="105">
        <v>135</v>
      </c>
      <c r="T10" s="112"/>
      <c r="U10" s="10"/>
      <c r="V10" s="108"/>
      <c r="W10" s="119">
        <f t="shared" si="3"/>
        <v>9000</v>
      </c>
    </row>
    <row r="11" spans="1:23" x14ac:dyDescent="0.25">
      <c r="A11" s="91">
        <v>7</v>
      </c>
      <c r="B11" s="105" t="s">
        <v>193</v>
      </c>
      <c r="C11" s="105">
        <v>15</v>
      </c>
      <c r="D11" s="105">
        <v>2.5</v>
      </c>
      <c r="E11" s="105">
        <v>400</v>
      </c>
      <c r="F11" s="118">
        <v>100</v>
      </c>
      <c r="G11" s="44">
        <f t="shared" si="4"/>
        <v>0.6</v>
      </c>
      <c r="H11" s="46">
        <f t="shared" si="5"/>
        <v>166.66666666666669</v>
      </c>
      <c r="I11" s="115">
        <v>54</v>
      </c>
      <c r="J11" s="121">
        <f t="shared" si="6"/>
        <v>216</v>
      </c>
      <c r="K11" s="38">
        <f t="shared" si="7"/>
        <v>32.4</v>
      </c>
      <c r="L11" s="38">
        <f t="shared" si="8"/>
        <v>0.80999999999999994</v>
      </c>
      <c r="M11" s="38">
        <f t="shared" si="9"/>
        <v>5400</v>
      </c>
      <c r="N11" s="105">
        <v>600</v>
      </c>
      <c r="O11" s="38">
        <f t="shared" si="2"/>
        <v>485.99999999999994</v>
      </c>
      <c r="P11" s="105">
        <v>360</v>
      </c>
      <c r="Q11" s="111"/>
      <c r="R11" s="105">
        <f>$R$3/(1/((C11*D11*E11)/1000000))</f>
        <v>157.5</v>
      </c>
      <c r="S11" s="105"/>
      <c r="T11" s="112"/>
      <c r="U11" s="10"/>
      <c r="V11" s="108"/>
      <c r="W11" s="119">
        <f t="shared" si="3"/>
        <v>6666.6666666666679</v>
      </c>
    </row>
    <row r="12" spans="1:23" x14ac:dyDescent="0.25">
      <c r="A12" s="91">
        <v>8</v>
      </c>
      <c r="B12" s="105" t="s">
        <v>158</v>
      </c>
      <c r="C12" s="105">
        <v>10</v>
      </c>
      <c r="D12" s="105">
        <v>5</v>
      </c>
      <c r="E12" s="105">
        <v>600</v>
      </c>
      <c r="F12" s="117">
        <v>720</v>
      </c>
      <c r="G12" s="44">
        <f t="shared" si="4"/>
        <v>0.6</v>
      </c>
      <c r="H12" s="46">
        <f t="shared" si="5"/>
        <v>1200</v>
      </c>
      <c r="I12" s="116"/>
      <c r="J12" s="121">
        <f t="shared" si="6"/>
        <v>0</v>
      </c>
      <c r="K12" s="38">
        <f t="shared" si="7"/>
        <v>0</v>
      </c>
      <c r="L12" s="38">
        <f t="shared" si="8"/>
        <v>0</v>
      </c>
      <c r="M12" s="38">
        <f t="shared" si="9"/>
        <v>0</v>
      </c>
      <c r="N12" s="110">
        <v>600</v>
      </c>
      <c r="O12" s="38">
        <f t="shared" si="2"/>
        <v>0</v>
      </c>
      <c r="P12" s="111"/>
      <c r="Q12" s="111"/>
      <c r="R12" s="105"/>
      <c r="S12" s="105"/>
      <c r="T12" s="112"/>
      <c r="U12" s="10"/>
      <c r="V12" s="108"/>
      <c r="W12" s="119">
        <f t="shared" si="3"/>
        <v>24000</v>
      </c>
    </row>
    <row r="13" spans="1:23" x14ac:dyDescent="0.25">
      <c r="A13" s="91">
        <v>9</v>
      </c>
      <c r="B13" s="105" t="s">
        <v>63</v>
      </c>
      <c r="C13" s="105">
        <v>50</v>
      </c>
      <c r="D13" s="105">
        <v>7.5</v>
      </c>
      <c r="E13" s="105">
        <v>100</v>
      </c>
      <c r="F13" s="118">
        <v>1115</v>
      </c>
      <c r="G13" s="44">
        <f t="shared" si="0"/>
        <v>0.5</v>
      </c>
      <c r="H13" s="46">
        <f t="shared" si="1"/>
        <v>2230</v>
      </c>
      <c r="I13" s="115"/>
      <c r="J13" s="121">
        <f t="shared" si="6"/>
        <v>0</v>
      </c>
      <c r="K13" s="38">
        <f t="shared" si="7"/>
        <v>0</v>
      </c>
      <c r="L13" s="38">
        <f t="shared" si="8"/>
        <v>0</v>
      </c>
      <c r="M13" s="38">
        <f t="shared" si="9"/>
        <v>0</v>
      </c>
      <c r="N13" s="110">
        <v>600</v>
      </c>
      <c r="O13" s="48">
        <f t="shared" si="2"/>
        <v>0</v>
      </c>
      <c r="P13" s="111"/>
      <c r="Q13" s="111"/>
      <c r="R13" s="105"/>
      <c r="S13" s="105"/>
      <c r="T13" s="112"/>
      <c r="U13" s="10"/>
      <c r="V13" s="108"/>
      <c r="W13" s="119">
        <f t="shared" si="3"/>
        <v>29733.333333333336</v>
      </c>
    </row>
    <row r="14" spans="1:23" x14ac:dyDescent="0.25">
      <c r="A14" s="91">
        <v>10</v>
      </c>
      <c r="B14" s="97"/>
      <c r="C14" s="97"/>
      <c r="D14" s="97"/>
      <c r="E14" s="97"/>
      <c r="F14" s="85"/>
      <c r="G14" s="44">
        <f t="shared" ref="G14:G36" si="11">C14*E14/10000</f>
        <v>0</v>
      </c>
      <c r="H14" s="46" t="e">
        <f t="shared" ref="H14:H36" si="12">F14/G14</f>
        <v>#DIV/0!</v>
      </c>
      <c r="I14" s="115"/>
      <c r="J14" s="121">
        <f t="shared" si="6"/>
        <v>0</v>
      </c>
      <c r="K14" s="48">
        <f t="shared" ref="K14:K18" si="13">G14*I14</f>
        <v>0</v>
      </c>
      <c r="L14" s="48">
        <f t="shared" ref="L14:L18" si="14">(C14*E14*D14)/1000000*I14</f>
        <v>0</v>
      </c>
      <c r="M14" s="48">
        <f t="shared" ref="M14:M18" si="15">F14*I14</f>
        <v>0</v>
      </c>
      <c r="N14" s="105"/>
      <c r="O14" s="48">
        <f t="shared" si="2"/>
        <v>0</v>
      </c>
      <c r="P14" s="111"/>
      <c r="Q14" s="111"/>
      <c r="R14" s="105"/>
      <c r="S14" s="105"/>
      <c r="T14" s="112"/>
      <c r="U14" s="10"/>
      <c r="V14" s="108"/>
      <c r="W14" s="119"/>
    </row>
    <row r="15" spans="1:23" x14ac:dyDescent="0.25">
      <c r="A15" s="91">
        <v>11</v>
      </c>
      <c r="B15" s="97"/>
      <c r="C15" s="97"/>
      <c r="D15" s="97"/>
      <c r="E15" s="97"/>
      <c r="F15" s="85"/>
      <c r="G15" s="44">
        <f t="shared" si="11"/>
        <v>0</v>
      </c>
      <c r="H15" s="46" t="e">
        <f t="shared" si="12"/>
        <v>#DIV/0!</v>
      </c>
      <c r="I15" s="41"/>
      <c r="J15" s="121">
        <f t="shared" si="6"/>
        <v>0</v>
      </c>
      <c r="K15" s="48">
        <f t="shared" si="13"/>
        <v>0</v>
      </c>
      <c r="L15" s="48">
        <f t="shared" si="14"/>
        <v>0</v>
      </c>
      <c r="M15" s="48">
        <f t="shared" si="15"/>
        <v>0</v>
      </c>
      <c r="N15" s="105"/>
      <c r="O15" s="48">
        <f t="shared" si="2"/>
        <v>0</v>
      </c>
      <c r="P15" s="111"/>
      <c r="Q15" s="111"/>
      <c r="R15" s="105"/>
      <c r="S15" s="105"/>
      <c r="T15" s="112"/>
      <c r="U15" s="10"/>
      <c r="V15" s="108"/>
      <c r="W15" s="119"/>
    </row>
    <row r="16" spans="1:23" x14ac:dyDescent="0.25">
      <c r="A16" s="91">
        <v>12</v>
      </c>
      <c r="B16" s="97"/>
      <c r="C16" s="97"/>
      <c r="D16" s="97"/>
      <c r="E16" s="97"/>
      <c r="F16" s="85"/>
      <c r="G16" s="44">
        <f t="shared" si="11"/>
        <v>0</v>
      </c>
      <c r="H16" s="46" t="e">
        <f t="shared" si="12"/>
        <v>#DIV/0!</v>
      </c>
      <c r="I16" s="41"/>
      <c r="J16" s="121">
        <f t="shared" si="6"/>
        <v>0</v>
      </c>
      <c r="K16" s="48">
        <f t="shared" si="13"/>
        <v>0</v>
      </c>
      <c r="L16" s="48">
        <f t="shared" si="14"/>
        <v>0</v>
      </c>
      <c r="M16" s="48">
        <f t="shared" si="15"/>
        <v>0</v>
      </c>
      <c r="N16" s="105"/>
      <c r="O16" s="48">
        <f t="shared" si="2"/>
        <v>0</v>
      </c>
      <c r="P16" s="111"/>
      <c r="Q16" s="111"/>
      <c r="R16" s="105"/>
      <c r="S16" s="105"/>
      <c r="T16" s="112"/>
      <c r="U16" s="10"/>
      <c r="V16" s="108"/>
      <c r="W16" s="119"/>
    </row>
    <row r="17" spans="1:23" x14ac:dyDescent="0.25">
      <c r="A17" s="91">
        <v>13</v>
      </c>
      <c r="B17" s="97"/>
      <c r="C17" s="97"/>
      <c r="D17" s="97"/>
      <c r="E17" s="97"/>
      <c r="F17" s="85"/>
      <c r="G17" s="44">
        <f t="shared" si="11"/>
        <v>0</v>
      </c>
      <c r="H17" s="46" t="e">
        <f t="shared" si="12"/>
        <v>#DIV/0!</v>
      </c>
      <c r="I17" s="41"/>
      <c r="J17" s="121">
        <f t="shared" si="6"/>
        <v>0</v>
      </c>
      <c r="K17" s="48">
        <f t="shared" si="13"/>
        <v>0</v>
      </c>
      <c r="L17" s="48">
        <f t="shared" si="14"/>
        <v>0</v>
      </c>
      <c r="M17" s="48">
        <f t="shared" si="15"/>
        <v>0</v>
      </c>
      <c r="N17" s="105"/>
      <c r="O17" s="48">
        <f t="shared" si="2"/>
        <v>0</v>
      </c>
      <c r="P17" s="111"/>
      <c r="Q17" s="111"/>
      <c r="R17" s="105"/>
      <c r="S17" s="105"/>
      <c r="T17" s="112"/>
      <c r="U17" s="10"/>
      <c r="V17" s="108"/>
      <c r="W17" s="119"/>
    </row>
    <row r="18" spans="1:23" x14ac:dyDescent="0.25">
      <c r="A18" s="91">
        <v>14</v>
      </c>
      <c r="B18" s="82" t="s">
        <v>148</v>
      </c>
      <c r="C18" s="75"/>
      <c r="D18" s="75"/>
      <c r="E18" s="75"/>
      <c r="F18" s="85"/>
      <c r="G18" s="44">
        <f t="shared" si="11"/>
        <v>0</v>
      </c>
      <c r="H18" s="46" t="e">
        <f t="shared" si="12"/>
        <v>#DIV/0!</v>
      </c>
      <c r="I18" s="41"/>
      <c r="J18" s="121">
        <f t="shared" si="6"/>
        <v>0</v>
      </c>
      <c r="K18" s="48">
        <f t="shared" si="13"/>
        <v>0</v>
      </c>
      <c r="L18" s="48">
        <f t="shared" si="14"/>
        <v>0</v>
      </c>
      <c r="M18" s="48">
        <f t="shared" si="15"/>
        <v>0</v>
      </c>
      <c r="N18" s="105"/>
      <c r="O18" s="48">
        <f t="shared" si="2"/>
        <v>0</v>
      </c>
      <c r="P18" s="10"/>
      <c r="Q18" s="10"/>
      <c r="R18" s="107"/>
      <c r="S18" s="108"/>
      <c r="T18" s="34"/>
      <c r="U18" s="10"/>
      <c r="V18" s="108"/>
      <c r="W18" s="104"/>
    </row>
    <row r="19" spans="1:23" x14ac:dyDescent="0.25">
      <c r="A19" s="91">
        <v>15</v>
      </c>
      <c r="B19" s="75" t="s">
        <v>149</v>
      </c>
      <c r="C19" s="75">
        <v>11</v>
      </c>
      <c r="D19" s="75"/>
      <c r="E19" s="75">
        <v>200</v>
      </c>
      <c r="F19" s="85">
        <v>570</v>
      </c>
      <c r="G19" s="44">
        <f t="shared" si="11"/>
        <v>0.22</v>
      </c>
      <c r="H19" s="46">
        <f t="shared" si="12"/>
        <v>2590.909090909091</v>
      </c>
      <c r="I19" s="41"/>
      <c r="J19" s="121">
        <f t="shared" si="6"/>
        <v>0</v>
      </c>
      <c r="K19" s="48">
        <f>G19*I19</f>
        <v>0</v>
      </c>
      <c r="L19" s="48">
        <f>(C19*E19*D19)/1000000*I19</f>
        <v>0</v>
      </c>
      <c r="M19" s="48">
        <f>F19*I19</f>
        <v>0</v>
      </c>
      <c r="N19" s="75"/>
      <c r="O19" s="48">
        <f t="shared" si="2"/>
        <v>0</v>
      </c>
      <c r="P19" s="10"/>
      <c r="Q19" s="10"/>
      <c r="R19" s="107"/>
      <c r="S19" s="108"/>
      <c r="T19" s="34">
        <v>404</v>
      </c>
      <c r="U19" s="10">
        <v>414</v>
      </c>
      <c r="V19" s="108"/>
      <c r="W19" s="104"/>
    </row>
    <row r="20" spans="1:23" x14ac:dyDescent="0.25">
      <c r="A20" s="91">
        <v>16</v>
      </c>
      <c r="B20" s="107" t="s">
        <v>149</v>
      </c>
      <c r="C20" s="107">
        <v>11</v>
      </c>
      <c r="D20" s="107"/>
      <c r="E20" s="107">
        <v>300</v>
      </c>
      <c r="F20" s="85">
        <v>570</v>
      </c>
      <c r="G20" s="44">
        <f t="shared" ref="G20" si="16">C20*E20/10000</f>
        <v>0.33</v>
      </c>
      <c r="H20" s="46">
        <f t="shared" ref="H20" si="17">F20/G20</f>
        <v>1727.2727272727273</v>
      </c>
      <c r="I20" s="41"/>
      <c r="J20" s="121">
        <f t="shared" si="6"/>
        <v>0</v>
      </c>
      <c r="K20" s="48">
        <f t="shared" ref="K20" si="18">G20*I20</f>
        <v>0</v>
      </c>
      <c r="L20" s="48">
        <f t="shared" ref="L20" si="19">(C20*E20*D20)/1000000*I20</f>
        <v>0</v>
      </c>
      <c r="M20" s="48">
        <f t="shared" ref="M20" si="20">F20*I20</f>
        <v>0</v>
      </c>
      <c r="N20" s="107"/>
      <c r="O20" s="48">
        <f t="shared" ref="O20" si="21">N20*L20</f>
        <v>0</v>
      </c>
      <c r="P20" s="10"/>
      <c r="Q20" s="10"/>
      <c r="R20" s="107"/>
      <c r="S20" s="108"/>
      <c r="T20" s="34">
        <v>570</v>
      </c>
      <c r="U20" s="10">
        <v>530</v>
      </c>
      <c r="V20" s="108"/>
      <c r="W20" s="104"/>
    </row>
    <row r="21" spans="1:23" x14ac:dyDescent="0.25">
      <c r="A21" s="91">
        <v>17</v>
      </c>
      <c r="B21" s="75" t="s">
        <v>150</v>
      </c>
      <c r="C21" s="75"/>
      <c r="D21" s="75"/>
      <c r="E21" s="75"/>
      <c r="F21" s="85"/>
      <c r="G21" s="44">
        <f t="shared" si="11"/>
        <v>0</v>
      </c>
      <c r="H21" s="46" t="e">
        <f t="shared" si="12"/>
        <v>#DIV/0!</v>
      </c>
      <c r="I21" s="41"/>
      <c r="J21" s="121">
        <f t="shared" si="6"/>
        <v>0</v>
      </c>
      <c r="K21" s="48">
        <f t="shared" ref="K21:K36" si="22">G21*I21</f>
        <v>0</v>
      </c>
      <c r="L21" s="48">
        <f t="shared" ref="L21:L36" si="23">(C21*E21*D21)/1000000*I21</f>
        <v>0</v>
      </c>
      <c r="M21" s="48">
        <f t="shared" ref="M21:M36" si="24">F21*I21</f>
        <v>0</v>
      </c>
      <c r="N21" s="75"/>
      <c r="O21" s="48">
        <f t="shared" si="2"/>
        <v>0</v>
      </c>
      <c r="P21" s="10"/>
      <c r="Q21" s="10"/>
      <c r="R21" s="107"/>
      <c r="S21" s="108"/>
      <c r="T21" s="34"/>
      <c r="U21" s="10"/>
      <c r="V21" s="108"/>
      <c r="W21" s="104"/>
    </row>
    <row r="22" spans="1:23" x14ac:dyDescent="0.25">
      <c r="A22" s="91">
        <v>18</v>
      </c>
      <c r="B22" s="75" t="s">
        <v>151</v>
      </c>
      <c r="C22" s="75"/>
      <c r="D22" s="75"/>
      <c r="E22" s="75"/>
      <c r="F22" s="85"/>
      <c r="G22" s="44">
        <f t="shared" si="11"/>
        <v>0</v>
      </c>
      <c r="H22" s="46" t="e">
        <f t="shared" si="12"/>
        <v>#DIV/0!</v>
      </c>
      <c r="I22" s="41"/>
      <c r="J22" s="121">
        <f t="shared" si="6"/>
        <v>0</v>
      </c>
      <c r="K22" s="48">
        <f t="shared" si="22"/>
        <v>0</v>
      </c>
      <c r="L22" s="48">
        <f t="shared" si="23"/>
        <v>0</v>
      </c>
      <c r="M22" s="48">
        <f t="shared" si="24"/>
        <v>0</v>
      </c>
      <c r="N22" s="75"/>
      <c r="O22" s="48">
        <f t="shared" si="2"/>
        <v>0</v>
      </c>
      <c r="P22" s="10"/>
      <c r="Q22" s="10"/>
      <c r="R22" s="107"/>
      <c r="S22" s="108"/>
      <c r="T22" s="34"/>
      <c r="U22" s="10"/>
      <c r="V22" s="108"/>
      <c r="W22" s="104"/>
    </row>
    <row r="23" spans="1:23" x14ac:dyDescent="0.25">
      <c r="A23" s="91">
        <v>19</v>
      </c>
      <c r="B23" s="75" t="s">
        <v>147</v>
      </c>
      <c r="C23" s="75"/>
      <c r="D23" s="75"/>
      <c r="E23" s="75"/>
      <c r="F23" s="85">
        <v>440</v>
      </c>
      <c r="G23" s="44">
        <f t="shared" si="11"/>
        <v>0</v>
      </c>
      <c r="H23" s="46" t="e">
        <f t="shared" si="12"/>
        <v>#DIV/0!</v>
      </c>
      <c r="I23" s="41"/>
      <c r="J23" s="121">
        <f t="shared" si="6"/>
        <v>0</v>
      </c>
      <c r="K23" s="48">
        <f t="shared" si="22"/>
        <v>0</v>
      </c>
      <c r="L23" s="48">
        <f t="shared" si="23"/>
        <v>0</v>
      </c>
      <c r="M23" s="48">
        <f t="shared" si="24"/>
        <v>0</v>
      </c>
      <c r="N23" s="75"/>
      <c r="O23" s="48">
        <f t="shared" si="2"/>
        <v>0</v>
      </c>
      <c r="P23" s="10"/>
      <c r="Q23" s="10"/>
      <c r="R23" s="107"/>
      <c r="S23" s="108"/>
      <c r="T23" s="34"/>
      <c r="U23" s="10"/>
      <c r="V23" s="108"/>
      <c r="W23" s="104"/>
    </row>
    <row r="24" spans="1:23" x14ac:dyDescent="0.25">
      <c r="A24" s="91">
        <v>20</v>
      </c>
      <c r="B24" s="75" t="s">
        <v>182</v>
      </c>
      <c r="C24" s="75">
        <v>100</v>
      </c>
      <c r="D24" s="75"/>
      <c r="E24" s="75">
        <v>1000</v>
      </c>
      <c r="F24" s="85">
        <v>465</v>
      </c>
      <c r="G24" s="44">
        <f t="shared" si="11"/>
        <v>10</v>
      </c>
      <c r="H24" s="46">
        <f t="shared" si="12"/>
        <v>46.5</v>
      </c>
      <c r="I24" s="41"/>
      <c r="J24" s="121">
        <f t="shared" si="6"/>
        <v>0</v>
      </c>
      <c r="K24" s="48">
        <f t="shared" si="22"/>
        <v>0</v>
      </c>
      <c r="L24" s="48">
        <f t="shared" si="23"/>
        <v>0</v>
      </c>
      <c r="M24" s="48">
        <f t="shared" si="24"/>
        <v>0</v>
      </c>
      <c r="N24" s="75"/>
      <c r="O24" s="48">
        <f t="shared" si="2"/>
        <v>0</v>
      </c>
      <c r="P24" s="10"/>
      <c r="Q24" s="10"/>
      <c r="R24" s="107"/>
      <c r="S24" s="108"/>
      <c r="T24" s="34">
        <v>465</v>
      </c>
      <c r="U24" s="10"/>
      <c r="V24" s="108"/>
      <c r="W24" s="104"/>
    </row>
    <row r="25" spans="1:23" x14ac:dyDescent="0.25">
      <c r="A25" s="91">
        <v>21</v>
      </c>
      <c r="B25" s="75"/>
      <c r="C25" s="75"/>
      <c r="D25" s="75"/>
      <c r="E25" s="75"/>
      <c r="F25" s="85"/>
      <c r="G25" s="44">
        <f t="shared" si="11"/>
        <v>0</v>
      </c>
      <c r="H25" s="46" t="e">
        <f t="shared" si="12"/>
        <v>#DIV/0!</v>
      </c>
      <c r="I25" s="41"/>
      <c r="J25" s="121">
        <f t="shared" si="6"/>
        <v>0</v>
      </c>
      <c r="K25" s="48">
        <f t="shared" si="22"/>
        <v>0</v>
      </c>
      <c r="L25" s="48">
        <f t="shared" si="23"/>
        <v>0</v>
      </c>
      <c r="M25" s="48">
        <f t="shared" si="24"/>
        <v>0</v>
      </c>
      <c r="N25" s="75"/>
      <c r="O25" s="48">
        <f t="shared" si="2"/>
        <v>0</v>
      </c>
      <c r="P25" s="10"/>
      <c r="Q25" s="10"/>
      <c r="R25" s="107"/>
      <c r="S25" s="108"/>
      <c r="T25" s="34"/>
      <c r="U25" s="10"/>
      <c r="V25" s="108"/>
      <c r="W25" s="104"/>
    </row>
    <row r="26" spans="1:23" x14ac:dyDescent="0.25">
      <c r="A26" s="91">
        <v>22</v>
      </c>
      <c r="B26" s="75" t="s">
        <v>205</v>
      </c>
      <c r="C26" s="75"/>
      <c r="D26" s="75"/>
      <c r="E26" s="75"/>
      <c r="F26" s="85"/>
      <c r="G26" s="44">
        <f t="shared" si="11"/>
        <v>0</v>
      </c>
      <c r="H26" s="46" t="e">
        <f t="shared" si="12"/>
        <v>#DIV/0!</v>
      </c>
      <c r="I26" s="41"/>
      <c r="J26" s="121">
        <f t="shared" si="6"/>
        <v>0</v>
      </c>
      <c r="K26" s="48">
        <f t="shared" si="22"/>
        <v>0</v>
      </c>
      <c r="L26" s="48">
        <f t="shared" si="23"/>
        <v>0</v>
      </c>
      <c r="M26" s="48">
        <f t="shared" si="24"/>
        <v>0</v>
      </c>
      <c r="N26" s="75"/>
      <c r="O26" s="48">
        <f t="shared" si="2"/>
        <v>0</v>
      </c>
      <c r="P26" s="10"/>
      <c r="Q26" s="10"/>
      <c r="R26" s="107"/>
      <c r="S26" s="108"/>
      <c r="T26" s="34"/>
      <c r="U26" s="10"/>
      <c r="V26" s="108"/>
      <c r="W26" s="104"/>
    </row>
    <row r="27" spans="1:23" x14ac:dyDescent="0.25">
      <c r="A27" s="91">
        <v>23</v>
      </c>
      <c r="B27" s="75"/>
      <c r="C27" s="75"/>
      <c r="D27" s="75"/>
      <c r="E27" s="75"/>
      <c r="F27" s="85"/>
      <c r="G27" s="44">
        <f t="shared" si="11"/>
        <v>0</v>
      </c>
      <c r="H27" s="46" t="e">
        <f t="shared" si="12"/>
        <v>#DIV/0!</v>
      </c>
      <c r="I27" s="41"/>
      <c r="J27" s="121">
        <f t="shared" si="6"/>
        <v>0</v>
      </c>
      <c r="K27" s="48">
        <f t="shared" si="22"/>
        <v>0</v>
      </c>
      <c r="L27" s="48">
        <f t="shared" si="23"/>
        <v>0</v>
      </c>
      <c r="M27" s="48">
        <f t="shared" si="24"/>
        <v>0</v>
      </c>
      <c r="N27" s="75"/>
      <c r="O27" s="48">
        <f t="shared" si="2"/>
        <v>0</v>
      </c>
      <c r="P27" s="10"/>
      <c r="Q27" s="10"/>
      <c r="R27" s="107"/>
      <c r="S27" s="108"/>
      <c r="T27" s="34"/>
      <c r="U27" s="10"/>
      <c r="V27" s="108"/>
      <c r="W27" s="104"/>
    </row>
    <row r="28" spans="1:23" x14ac:dyDescent="0.25">
      <c r="A28" s="91">
        <v>24</v>
      </c>
      <c r="B28" s="75"/>
      <c r="C28" s="75"/>
      <c r="D28" s="75"/>
      <c r="E28" s="75"/>
      <c r="F28" s="85"/>
      <c r="G28" s="44">
        <f t="shared" si="11"/>
        <v>0</v>
      </c>
      <c r="H28" s="46" t="e">
        <f t="shared" si="12"/>
        <v>#DIV/0!</v>
      </c>
      <c r="I28" s="41"/>
      <c r="J28" s="121">
        <f t="shared" si="6"/>
        <v>0</v>
      </c>
      <c r="K28" s="48">
        <f t="shared" si="22"/>
        <v>0</v>
      </c>
      <c r="L28" s="48">
        <f t="shared" si="23"/>
        <v>0</v>
      </c>
      <c r="M28" s="48">
        <f t="shared" si="24"/>
        <v>0</v>
      </c>
      <c r="N28" s="75"/>
      <c r="O28" s="48">
        <f t="shared" si="2"/>
        <v>0</v>
      </c>
      <c r="P28" s="10"/>
      <c r="Q28" s="10"/>
      <c r="R28" s="107"/>
      <c r="S28" s="108"/>
      <c r="T28" s="34"/>
      <c r="U28" s="10"/>
      <c r="V28" s="108"/>
      <c r="W28" s="104"/>
    </row>
    <row r="29" spans="1:23" x14ac:dyDescent="0.25">
      <c r="A29" s="91">
        <v>25</v>
      </c>
      <c r="B29" s="75"/>
      <c r="C29" s="75"/>
      <c r="D29" s="75"/>
      <c r="E29" s="75"/>
      <c r="F29" s="85"/>
      <c r="G29" s="44">
        <f t="shared" si="11"/>
        <v>0</v>
      </c>
      <c r="H29" s="46" t="e">
        <f t="shared" si="12"/>
        <v>#DIV/0!</v>
      </c>
      <c r="I29" s="41"/>
      <c r="J29" s="121">
        <f t="shared" si="6"/>
        <v>0</v>
      </c>
      <c r="K29" s="48">
        <f t="shared" si="22"/>
        <v>0</v>
      </c>
      <c r="L29" s="48">
        <f t="shared" si="23"/>
        <v>0</v>
      </c>
      <c r="M29" s="48">
        <f t="shared" si="24"/>
        <v>0</v>
      </c>
      <c r="N29" s="75"/>
      <c r="O29" s="48">
        <f t="shared" si="2"/>
        <v>0</v>
      </c>
      <c r="P29" s="10"/>
      <c r="Q29" s="10"/>
      <c r="R29" s="107"/>
      <c r="S29" s="108"/>
      <c r="T29" s="34"/>
      <c r="U29" s="10"/>
      <c r="V29" s="108"/>
      <c r="W29" s="104"/>
    </row>
    <row r="30" spans="1:23" x14ac:dyDescent="0.25">
      <c r="A30" s="91">
        <v>26</v>
      </c>
      <c r="B30" s="75"/>
      <c r="C30" s="75"/>
      <c r="D30" s="75"/>
      <c r="E30" s="75"/>
      <c r="F30" s="85"/>
      <c r="G30" s="44">
        <f t="shared" si="11"/>
        <v>0</v>
      </c>
      <c r="H30" s="46" t="e">
        <f t="shared" si="12"/>
        <v>#DIV/0!</v>
      </c>
      <c r="I30" s="41"/>
      <c r="J30" s="121">
        <f t="shared" si="6"/>
        <v>0</v>
      </c>
      <c r="K30" s="48">
        <f t="shared" si="22"/>
        <v>0</v>
      </c>
      <c r="L30" s="48">
        <f t="shared" si="23"/>
        <v>0</v>
      </c>
      <c r="M30" s="48">
        <f t="shared" si="24"/>
        <v>0</v>
      </c>
      <c r="N30" s="75"/>
      <c r="O30" s="48">
        <f t="shared" si="2"/>
        <v>0</v>
      </c>
      <c r="P30" s="10"/>
      <c r="Q30" s="10"/>
      <c r="R30" s="107"/>
      <c r="S30" s="108"/>
      <c r="T30" s="34"/>
      <c r="U30" s="10"/>
      <c r="V30" s="108"/>
      <c r="W30" s="104"/>
    </row>
    <row r="31" spans="1:23" x14ac:dyDescent="0.25">
      <c r="A31" s="91">
        <v>27</v>
      </c>
      <c r="B31" s="75"/>
      <c r="C31" s="75"/>
      <c r="D31" s="75"/>
      <c r="E31" s="75"/>
      <c r="F31" s="85"/>
      <c r="G31" s="44">
        <f t="shared" si="11"/>
        <v>0</v>
      </c>
      <c r="H31" s="46" t="e">
        <f t="shared" si="12"/>
        <v>#DIV/0!</v>
      </c>
      <c r="I31" s="41"/>
      <c r="J31" s="121">
        <f t="shared" si="6"/>
        <v>0</v>
      </c>
      <c r="K31" s="48">
        <f t="shared" si="22"/>
        <v>0</v>
      </c>
      <c r="L31" s="48">
        <f t="shared" si="23"/>
        <v>0</v>
      </c>
      <c r="M31" s="48">
        <f t="shared" si="24"/>
        <v>0</v>
      </c>
      <c r="N31" s="75"/>
      <c r="O31" s="48">
        <f t="shared" si="2"/>
        <v>0</v>
      </c>
      <c r="P31" s="10"/>
      <c r="Q31" s="10"/>
      <c r="R31" s="107"/>
      <c r="S31" s="108"/>
      <c r="T31" s="34"/>
      <c r="U31" s="10"/>
      <c r="V31" s="108"/>
      <c r="W31" s="104"/>
    </row>
    <row r="32" spans="1:23" x14ac:dyDescent="0.25">
      <c r="A32" s="91">
        <v>28</v>
      </c>
      <c r="B32" s="75"/>
      <c r="C32" s="75"/>
      <c r="D32" s="75"/>
      <c r="E32" s="75"/>
      <c r="F32" s="85"/>
      <c r="G32" s="44">
        <f t="shared" si="11"/>
        <v>0</v>
      </c>
      <c r="H32" s="46" t="e">
        <f t="shared" si="12"/>
        <v>#DIV/0!</v>
      </c>
      <c r="I32" s="41"/>
      <c r="J32" s="121">
        <f t="shared" si="6"/>
        <v>0</v>
      </c>
      <c r="K32" s="48">
        <f t="shared" si="22"/>
        <v>0</v>
      </c>
      <c r="L32" s="48">
        <f t="shared" si="23"/>
        <v>0</v>
      </c>
      <c r="M32" s="48">
        <f t="shared" si="24"/>
        <v>0</v>
      </c>
      <c r="N32" s="75"/>
      <c r="O32" s="48">
        <f t="shared" si="2"/>
        <v>0</v>
      </c>
      <c r="P32" s="10"/>
      <c r="Q32" s="10"/>
      <c r="R32" s="107"/>
      <c r="S32" s="108"/>
      <c r="T32" s="34"/>
      <c r="U32" s="10"/>
      <c r="V32" s="108"/>
      <c r="W32" s="104"/>
    </row>
    <row r="33" spans="1:23" x14ac:dyDescent="0.25">
      <c r="A33" s="91">
        <v>29</v>
      </c>
      <c r="B33" s="75"/>
      <c r="C33" s="75"/>
      <c r="D33" s="75"/>
      <c r="E33" s="75"/>
      <c r="F33" s="85"/>
      <c r="G33" s="44">
        <f t="shared" si="11"/>
        <v>0</v>
      </c>
      <c r="H33" s="46" t="e">
        <f t="shared" si="12"/>
        <v>#DIV/0!</v>
      </c>
      <c r="I33" s="41"/>
      <c r="J33" s="121">
        <f t="shared" si="6"/>
        <v>0</v>
      </c>
      <c r="K33" s="48">
        <f t="shared" si="22"/>
        <v>0</v>
      </c>
      <c r="L33" s="48">
        <f t="shared" si="23"/>
        <v>0</v>
      </c>
      <c r="M33" s="48">
        <f t="shared" si="24"/>
        <v>0</v>
      </c>
      <c r="N33" s="75"/>
      <c r="O33" s="48">
        <f t="shared" si="2"/>
        <v>0</v>
      </c>
      <c r="P33" s="10"/>
      <c r="Q33" s="10"/>
      <c r="R33" s="107"/>
      <c r="S33" s="108"/>
      <c r="T33" s="34"/>
      <c r="U33" s="10"/>
      <c r="V33" s="108"/>
      <c r="W33" s="104"/>
    </row>
    <row r="34" spans="1:23" x14ac:dyDescent="0.25">
      <c r="A34" s="91">
        <v>30</v>
      </c>
      <c r="B34" s="75"/>
      <c r="C34" s="75"/>
      <c r="D34" s="75"/>
      <c r="E34" s="75"/>
      <c r="F34" s="85"/>
      <c r="G34" s="44">
        <f t="shared" si="11"/>
        <v>0</v>
      </c>
      <c r="H34" s="46" t="e">
        <f t="shared" si="12"/>
        <v>#DIV/0!</v>
      </c>
      <c r="I34" s="41"/>
      <c r="J34" s="121">
        <f t="shared" si="6"/>
        <v>0</v>
      </c>
      <c r="K34" s="48">
        <f t="shared" si="22"/>
        <v>0</v>
      </c>
      <c r="L34" s="48">
        <f t="shared" si="23"/>
        <v>0</v>
      </c>
      <c r="M34" s="48">
        <f t="shared" si="24"/>
        <v>0</v>
      </c>
      <c r="N34" s="75"/>
      <c r="O34" s="48">
        <f t="shared" si="2"/>
        <v>0</v>
      </c>
      <c r="P34" s="10"/>
      <c r="Q34" s="10"/>
      <c r="R34" s="107"/>
      <c r="S34" s="108"/>
      <c r="T34" s="34"/>
      <c r="U34" s="10"/>
      <c r="V34" s="108"/>
      <c r="W34" s="104"/>
    </row>
    <row r="35" spans="1:23" x14ac:dyDescent="0.25">
      <c r="A35" s="91"/>
      <c r="B35" s="75"/>
      <c r="C35" s="75"/>
      <c r="D35" s="75"/>
      <c r="E35" s="75"/>
      <c r="F35" s="85"/>
      <c r="G35" s="44">
        <f t="shared" si="11"/>
        <v>0</v>
      </c>
      <c r="H35" s="46" t="e">
        <f t="shared" si="12"/>
        <v>#DIV/0!</v>
      </c>
      <c r="I35" s="41"/>
      <c r="J35" s="121">
        <f t="shared" si="6"/>
        <v>0</v>
      </c>
      <c r="K35" s="48">
        <f t="shared" si="22"/>
        <v>0</v>
      </c>
      <c r="L35" s="48">
        <f t="shared" si="23"/>
        <v>0</v>
      </c>
      <c r="M35" s="48">
        <f t="shared" si="24"/>
        <v>0</v>
      </c>
      <c r="N35" s="75"/>
      <c r="O35" s="48">
        <f t="shared" si="2"/>
        <v>0</v>
      </c>
      <c r="P35" s="10"/>
      <c r="Q35" s="10"/>
      <c r="R35" s="107"/>
      <c r="S35" s="108"/>
      <c r="T35" s="34"/>
      <c r="U35" s="10"/>
      <c r="V35" s="108"/>
      <c r="W35" s="104"/>
    </row>
    <row r="36" spans="1:23" x14ac:dyDescent="0.25">
      <c r="A36" s="91"/>
      <c r="B36" s="75"/>
      <c r="C36" s="75"/>
      <c r="D36" s="75"/>
      <c r="E36" s="75"/>
      <c r="F36" s="85"/>
      <c r="G36" s="44">
        <f t="shared" si="11"/>
        <v>0</v>
      </c>
      <c r="H36" s="46" t="e">
        <f t="shared" si="12"/>
        <v>#DIV/0!</v>
      </c>
      <c r="I36" s="41"/>
      <c r="J36" s="121">
        <f t="shared" si="6"/>
        <v>0</v>
      </c>
      <c r="K36" s="48">
        <f t="shared" si="22"/>
        <v>0</v>
      </c>
      <c r="L36" s="48">
        <f t="shared" si="23"/>
        <v>0</v>
      </c>
      <c r="M36" s="48">
        <f t="shared" si="24"/>
        <v>0</v>
      </c>
      <c r="N36" s="75"/>
      <c r="O36" s="48">
        <f t="shared" si="2"/>
        <v>0</v>
      </c>
      <c r="P36" s="10"/>
      <c r="Q36" s="10"/>
      <c r="R36" s="107"/>
      <c r="S36" s="108"/>
      <c r="T36" s="34"/>
      <c r="U36" s="10"/>
      <c r="V36" s="108"/>
      <c r="W36" s="85"/>
    </row>
    <row r="37" spans="1:23" ht="15.75" thickBot="1" x14ac:dyDescent="0.3">
      <c r="A37" s="92"/>
      <c r="B37" s="93"/>
      <c r="C37" s="93"/>
      <c r="D37" s="93"/>
      <c r="E37" s="93"/>
      <c r="F37" s="94"/>
      <c r="G37" s="88"/>
      <c r="H37" s="89"/>
      <c r="I37" s="95"/>
      <c r="J37" s="121">
        <f t="shared" si="6"/>
        <v>0</v>
      </c>
      <c r="K37" s="96"/>
      <c r="L37" s="96"/>
      <c r="M37" s="96"/>
      <c r="N37" s="93"/>
      <c r="O37" s="96"/>
      <c r="P37" s="10"/>
      <c r="Q37" s="10"/>
      <c r="R37" s="107"/>
      <c r="S37" s="108"/>
      <c r="T37" s="34"/>
      <c r="U37" s="10"/>
      <c r="V37" s="108"/>
      <c r="W37" s="94"/>
    </row>
  </sheetData>
  <mergeCells count="5">
    <mergeCell ref="B1:O1"/>
    <mergeCell ref="A2:A3"/>
    <mergeCell ref="I2:L2"/>
    <mergeCell ref="B2:B3"/>
    <mergeCell ref="P1:U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NRF24</vt:lpstr>
      <vt:lpstr>Доход Расход</vt:lpstr>
      <vt:lpstr>Электроэнергия</vt:lpstr>
      <vt:lpstr>Дерево</vt:lpstr>
      <vt:lpstr>Солнечная панель</vt:lpstr>
      <vt:lpstr>Размер и стоимость</vt:lpstr>
      <vt:lpstr>Прайс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2020-05-09T03:11:35Z</dcterms:modified>
</cp:coreProperties>
</file>