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17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<sst xmlns="http://schemas.openxmlformats.org/spreadsheetml/2006/main" count="546" uniqueCount="183">
  <si>
    <t>Employee_name</t>
  </si>
  <si>
    <t>Year</t>
  </si>
  <si>
    <t>Profit</t>
  </si>
  <si>
    <t>Single Sheets</t>
  </si>
  <si>
    <t>Multiple sheets</t>
  </si>
  <si>
    <t>Arfas</t>
  </si>
  <si>
    <t>Sum</t>
  </si>
  <si>
    <t>sum</t>
  </si>
  <si>
    <t>count(alphabetics)</t>
  </si>
  <si>
    <t>Khan</t>
  </si>
  <si>
    <t>Avg</t>
  </si>
  <si>
    <t>counta</t>
  </si>
  <si>
    <t>Hari</t>
  </si>
  <si>
    <t>Min</t>
  </si>
  <si>
    <t xml:space="preserve">Min </t>
  </si>
  <si>
    <t>count blank</t>
  </si>
  <si>
    <t>priya</t>
  </si>
  <si>
    <t>Max</t>
  </si>
  <si>
    <t>countif</t>
  </si>
  <si>
    <t>Ashika</t>
  </si>
  <si>
    <t>Count</t>
  </si>
  <si>
    <t>Farveen</t>
  </si>
  <si>
    <t>AK</t>
  </si>
  <si>
    <t>Employee_id</t>
  </si>
  <si>
    <t>Joined_year</t>
  </si>
  <si>
    <t>Rating</t>
  </si>
  <si>
    <t>Salary</t>
  </si>
  <si>
    <t>Comission</t>
  </si>
  <si>
    <t>Total_salary</t>
  </si>
  <si>
    <t>Bonus</t>
  </si>
  <si>
    <t>Bonus_IFS</t>
  </si>
  <si>
    <t>Commsion_fixed</t>
  </si>
  <si>
    <t>Bonus_fixed</t>
  </si>
  <si>
    <t>Rating_</t>
  </si>
  <si>
    <t>Item_no</t>
  </si>
  <si>
    <t>Item_count</t>
  </si>
  <si>
    <t>Item_price</t>
  </si>
  <si>
    <t>Tax</t>
  </si>
  <si>
    <t>Total_price(Bef tax)</t>
  </si>
  <si>
    <t>Total_price(Aft Tax)</t>
  </si>
  <si>
    <t>Rate</t>
  </si>
  <si>
    <t>if item price less than 5000 ,Tax 1000 ,else Tax is 1500</t>
  </si>
  <si>
    <t>Tax_amount</t>
  </si>
  <si>
    <t>Counts</t>
  </si>
  <si>
    <t>Average of tax</t>
  </si>
  <si>
    <t>Minimum price</t>
  </si>
  <si>
    <t>Maximum price</t>
  </si>
  <si>
    <t>Total price Before tax</t>
  </si>
  <si>
    <t>Total price after tax</t>
  </si>
  <si>
    <t>If Total price after tax is lesser than average of Total price after tax ,then "Reasonable" else "High".</t>
  </si>
  <si>
    <t>count of items</t>
  </si>
  <si>
    <t>Minimum items price</t>
  </si>
  <si>
    <t>Maximum item price</t>
  </si>
  <si>
    <t>Location</t>
  </si>
  <si>
    <t>Nagercoil</t>
  </si>
  <si>
    <t>Trivandrum</t>
  </si>
  <si>
    <t>Tirunelveli</t>
  </si>
  <si>
    <t>Chennai</t>
  </si>
  <si>
    <t>Mumbai</t>
  </si>
  <si>
    <t>Red Dragon</t>
  </si>
  <si>
    <t>Location_</t>
  </si>
  <si>
    <t>MAXIFS(loaction should be nagercoil and must be joined after 2021.</t>
  </si>
  <si>
    <t>MAXIFS(loaction should be nagercoil and rating should be 5 .</t>
  </si>
  <si>
    <t>MAXIFS(loaction should be nagercoil, rating should be 5 and commision less the 700 .</t>
  </si>
  <si>
    <t>MINIFS(loaction should be nagercoil and must be joined after 2021.</t>
  </si>
  <si>
    <t>MINIFS(loaction should be nagercoil and rating should be 5 .</t>
  </si>
  <si>
    <t>MINIFS(loaction should be nagercoil, rating should be 5 and commision greater the 7</t>
  </si>
  <si>
    <t>SUMIFS(loaction should be nagercoil and must be joined after 2021.</t>
  </si>
  <si>
    <t>SUMIFS(loaction should be nagercoil and rating should be 5 .</t>
  </si>
  <si>
    <t>SUMIFS(loaction should be nagercoil, rating should be 5 and commision less the 700 .</t>
  </si>
  <si>
    <t>COUNTIFS(loaction should be nagercoil and must be joined after 2021.</t>
  </si>
  <si>
    <t>COUNTIFS(loaction should be nagercoil and rating should be 5 .</t>
  </si>
  <si>
    <t>COUNTIFS(loaction should be nagercoil, rating should be 5 and commision less the 700 .</t>
  </si>
  <si>
    <t>IFERROR</t>
  </si>
  <si>
    <t>IFNA = IFNA(IF(....,......),0)</t>
  </si>
  <si>
    <t>ID</t>
  </si>
  <si>
    <t>Name</t>
  </si>
  <si>
    <t>John</t>
  </si>
  <si>
    <t>Mary</t>
  </si>
  <si>
    <t>Alex</t>
  </si>
  <si>
    <t>Sara</t>
  </si>
  <si>
    <t>Salary of ID no 107 using vlookup</t>
  </si>
  <si>
    <t>Salary of Id no 104 using xlookup</t>
  </si>
  <si>
    <t>Salary of ID no 108 using hlookup</t>
  </si>
  <si>
    <t>Area Code</t>
  </si>
  <si>
    <t>Product</t>
  </si>
  <si>
    <t>Product Type</t>
  </si>
  <si>
    <t>State</t>
  </si>
  <si>
    <t>Territory</t>
  </si>
  <si>
    <t>Target Profit</t>
  </si>
  <si>
    <t>Marked Price</t>
  </si>
  <si>
    <t>Decaf Irish Cream</t>
  </si>
  <si>
    <t>Colorado</t>
  </si>
  <si>
    <t>Central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</si>
  <si>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</si>
  <si>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</si>
  <si>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</si>
  <si>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</si>
  <si>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</si>
  <si>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</si>
  <si>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</si>
  <si>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</si>
  <si>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</si>
  <si>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Amaretto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</si>
  <si>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</si>
  <si>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</si>
  <si>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</si>
  <si>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</si>
  <si>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</si>
  <si>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</si>
  <si>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</si>
  <si>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</si>
  <si>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</si>
  <si>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</si>
  <si>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</si>
  <si>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</si>
  <si>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</si>
  <si>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</si>
  <si>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</si>
  <si>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</si>
  <si>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</si>
  <si>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</si>
  <si>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</si>
  <si>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Lemon</t>
  </si>
  <si>
    <t>Mint</t>
  </si>
  <si>
    <t>Coffee</t>
  </si>
  <si>
    <t>Espresso</t>
  </si>
  <si>
    <t>Herbal Tea</t>
  </si>
  <si>
    <t>Darjeeling</t>
  </si>
  <si>
    <t>Tea</t>
  </si>
  <si>
    <t>Earl Grey</t>
  </si>
  <si>
    <t>Green Tea</t>
  </si>
  <si>
    <t>Selling Price</t>
  </si>
  <si>
    <t>TAX Rate</t>
  </si>
  <si>
    <t>Lower End</t>
  </si>
  <si>
    <t>Higher End</t>
  </si>
  <si>
    <t>VAT</t>
  </si>
  <si>
    <t>Lower End Higher End VAT</t>
  </si>
  <si>
    <t>above</t>
  </si>
  <si>
    <t>VLOOKUP</t>
  </si>
  <si>
    <t>XLOOKUP</t>
  </si>
  <si>
    <t>Quarter1</t>
  </si>
  <si>
    <t>Quarter2</t>
  </si>
  <si>
    <t>Quarter3</t>
  </si>
  <si>
    <t>Regular Expresso</t>
  </si>
  <si>
    <t>$ 1,234</t>
  </si>
  <si>
    <t>$ 731</t>
  </si>
  <si>
    <t>$ 5,678</t>
  </si>
  <si>
    <t>$ 8,976</t>
  </si>
  <si>
    <t>$ 8,765</t>
  </si>
  <si>
    <t>$ 6,709</t>
  </si>
  <si>
    <t>$ 4,567</t>
  </si>
  <si>
    <t>$ 4,367</t>
  </si>
  <si>
    <t>$ 7,509</t>
  </si>
  <si>
    <t>$ 7,896</t>
  </si>
  <si>
    <t>$ 9,823</t>
  </si>
  <si>
    <t>$ 3,456</t>
  </si>
  <si>
    <t>$ 4,587</t>
  </si>
  <si>
    <t>$ 7,623</t>
  </si>
  <si>
    <t>$ 6,543</t>
  </si>
  <si>
    <t>$ 2,458</t>
  </si>
  <si>
    <t>$ 1,348</t>
  </si>
  <si>
    <t>Decaf Expresso</t>
  </si>
  <si>
    <t>$ 3,679</t>
  </si>
  <si>
    <t>$ 9,875</t>
  </si>
  <si>
    <t>$ 9,876</t>
  </si>
  <si>
    <t>Darjelling</t>
  </si>
  <si>
    <t>$ 8,734</t>
  </si>
  <si>
    <t>$ 3,568</t>
  </si>
  <si>
    <t>$ 5,634</t>
  </si>
  <si>
    <t>$ 2,567</t>
  </si>
  <si>
    <t>$ 9,865</t>
  </si>
  <si>
    <t>$ 5,687</t>
  </si>
  <si>
    <t>$ 8,632</t>
  </si>
  <si>
    <t>$ 4,689</t>
  </si>
  <si>
    <t>$ 6,534</t>
  </si>
  <si>
    <t>$ 6,790</t>
  </si>
  <si>
    <t>$ 278</t>
  </si>
  <si>
    <t>$ 2,578</t>
  </si>
  <si>
    <t>$ 5,320</t>
  </si>
  <si>
    <t>$ 1,789</t>
  </si>
  <si>
    <t>$ 7,801</t>
  </si>
  <si>
    <t>$ 9,845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</si>
</sst>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_(&quot;$&quot;* #,##0_);_(&quot;$&quot;* \(#,##0\);_(&quot;$&quot;* &quot;-&quot;??_);_(@_)"/>
  </numFmts>
  <fonts count="27">
    <font>
      <sz val="11"/>
      <color theme="1"/>
      <name val="Calibri"/>
      <charset val="134"/>
      <scheme val="minor"/>
    </font>
    <font>
      <sz val="20"/>
      <color theme="1"/>
      <name val="Calibri"/>
      <charset val="134"/>
    </font>
    <font>
      <sz val="10"/>
      <color theme="1"/>
      <name val="Arial"/>
      <charset val="134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</font>
    <font>
      <sz val="16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ADB9C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9" fontId="1" fillId="0" borderId="4" xfId="0" applyNumberFormat="1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9" fontId="1" fillId="0" borderId="3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10" fontId="2" fillId="0" borderId="4" xfId="0" applyNumberFormat="1" applyFont="1" applyBorder="1" applyAlignment="1">
      <alignment wrapText="1"/>
    </xf>
    <xf numFmtId="0" fontId="3" fillId="5" borderId="9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wrapText="1"/>
    </xf>
    <xf numFmtId="0" fontId="4" fillId="6" borderId="3" xfId="0" applyFont="1" applyFill="1" applyBorder="1" applyAlignment="1">
      <alignment horizontal="right" wrapText="1"/>
    </xf>
    <xf numFmtId="0" fontId="4" fillId="7" borderId="10" xfId="0" applyFont="1" applyFill="1" applyBorder="1" applyAlignment="1">
      <alignment wrapText="1"/>
    </xf>
    <xf numFmtId="0" fontId="4" fillId="7" borderId="3" xfId="0" applyFont="1" applyFill="1" applyBorder="1" applyAlignment="1">
      <alignment horizontal="right" wrapText="1"/>
    </xf>
    <xf numFmtId="0" fontId="4" fillId="8" borderId="11" xfId="0" applyFont="1" applyFill="1" applyBorder="1" applyAlignment="1">
      <alignment wrapText="1"/>
    </xf>
    <xf numFmtId="0" fontId="4" fillId="8" borderId="4" xfId="0" applyFont="1" applyFill="1" applyBorder="1" applyAlignment="1">
      <alignment horizontal="right" wrapText="1"/>
    </xf>
    <xf numFmtId="0" fontId="1" fillId="3" borderId="12" xfId="0" applyFont="1" applyFill="1" applyBorder="1" applyAlignment="1">
      <alignment wrapText="1"/>
    </xf>
    <xf numFmtId="0" fontId="1" fillId="3" borderId="12" xfId="0" applyFont="1" applyFill="1" applyBorder="1" applyAlignment="1">
      <alignment vertical="center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5" fillId="9" borderId="12" xfId="0" applyFont="1" applyFill="1" applyBorder="1" applyAlignment="1">
      <alignment horizontal="center" wrapText="1"/>
    </xf>
    <xf numFmtId="0" fontId="3" fillId="9" borderId="12" xfId="0" applyFont="1" applyFill="1" applyBorder="1"/>
    <xf numFmtId="0" fontId="5" fillId="9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right" wrapText="1"/>
    </xf>
    <xf numFmtId="0" fontId="6" fillId="0" borderId="12" xfId="0" applyFont="1" applyBorder="1" applyAlignment="1">
      <alignment wrapText="1"/>
    </xf>
    <xf numFmtId="0" fontId="0" fillId="0" borderId="12" xfId="0" applyBorder="1"/>
    <xf numFmtId="0" fontId="6" fillId="0" borderId="12" xfId="0" applyFont="1" applyBorder="1" applyAlignment="1">
      <alignment vertic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7" fillId="0" borderId="12" xfId="0" applyFont="1" applyBorder="1"/>
    <xf numFmtId="0" fontId="7" fillId="0" borderId="12" xfId="0" applyFont="1" applyBorder="1" applyAlignment="1">
      <alignment horizontal="center"/>
    </xf>
    <xf numFmtId="6" fontId="7" fillId="0" borderId="12" xfId="0" applyNumberFormat="1" applyFont="1" applyBorder="1"/>
    <xf numFmtId="178" fontId="7" fillId="0" borderId="12" xfId="2" applyNumberFormat="1" applyFont="1" applyBorder="1" applyAlignment="1">
      <alignment horizontal="center"/>
    </xf>
    <xf numFmtId="6" fontId="0" fillId="0" borderId="12" xfId="0" applyNumberFormat="1" applyBorder="1"/>
    <xf numFmtId="178" fontId="0" fillId="0" borderId="12" xfId="2" applyNumberFormat="1" applyBorder="1" applyAlignment="1"/>
    <xf numFmtId="8" fontId="0" fillId="0" borderId="12" xfId="0" applyNumberFormat="1" applyBorder="1"/>
    <xf numFmtId="9" fontId="0" fillId="0" borderId="12" xfId="0" applyNumberFormat="1" applyBorder="1"/>
    <xf numFmtId="8" fontId="0" fillId="0" borderId="0" xfId="0" applyNumberFormat="1"/>
    <xf numFmtId="6" fontId="0" fillId="0" borderId="0" xfId="0" applyNumberFormat="1"/>
    <xf numFmtId="9" fontId="0" fillId="0" borderId="0" xfId="0" applyNumberFormat="1"/>
    <xf numFmtId="178" fontId="0" fillId="0" borderId="12" xfId="0" applyNumberFormat="1" applyBorder="1"/>
    <xf numFmtId="179" fontId="0" fillId="0" borderId="0" xfId="2" applyNumberFormat="1" applyAlignment="1"/>
    <xf numFmtId="179" fontId="7" fillId="0" borderId="12" xfId="2" applyNumberFormat="1" applyFont="1" applyBorder="1" applyAlignment="1">
      <alignment horizontal="center"/>
    </xf>
    <xf numFmtId="179" fontId="0" fillId="0" borderId="12" xfId="2" applyNumberFormat="1" applyBorder="1" applyAlignment="1"/>
    <xf numFmtId="0" fontId="0" fillId="0" borderId="0" xfId="0" applyAlignment="1">
      <alignment horizontal="right"/>
    </xf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7" tint="0.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"/>
  <sheetViews>
    <sheetView workbookViewId="0">
      <selection activeCell="L5" sqref="L5"/>
    </sheetView>
  </sheetViews>
  <sheetFormatPr defaultColWidth="9" defaultRowHeight="15" outlineLevelRow="7"/>
  <cols>
    <col min="4" max="4" width="12.8571428571429" style="55"/>
    <col min="6" max="6" width="10"/>
    <col min="9" max="9" width="12.8571428571429"/>
  </cols>
  <sheetData>
    <row r="1" spans="2:8">
      <c r="B1" s="39" t="s">
        <v>0</v>
      </c>
      <c r="C1" s="44" t="s">
        <v>1</v>
      </c>
      <c r="D1" s="56" t="s">
        <v>2</v>
      </c>
      <c r="E1" t="s">
        <v>3</v>
      </c>
      <c r="H1" t="s">
        <v>4</v>
      </c>
    </row>
    <row r="2" spans="2:12">
      <c r="B2" s="39" t="s">
        <v>5</v>
      </c>
      <c r="C2" s="39">
        <v>2020</v>
      </c>
      <c r="D2" s="57">
        <v>10000</v>
      </c>
      <c r="E2" s="58" t="s">
        <v>6</v>
      </c>
      <c r="F2" s="59">
        <f>SUM(D2:D7)</f>
        <v>135000</v>
      </c>
      <c r="H2" t="s">
        <v>7</v>
      </c>
      <c r="I2" s="59">
        <f>SUM(D2:D3,Sheet2!A2:A7)</f>
        <v>116300</v>
      </c>
      <c r="K2" t="s">
        <v>8</v>
      </c>
      <c r="L2">
        <f>COUNT(B2:B7)</f>
        <v>0</v>
      </c>
    </row>
    <row r="3" spans="2:12">
      <c r="B3" s="39" t="s">
        <v>9</v>
      </c>
      <c r="C3" s="39">
        <v>2021</v>
      </c>
      <c r="D3" s="57">
        <v>15000</v>
      </c>
      <c r="E3" s="58" t="s">
        <v>10</v>
      </c>
      <c r="F3">
        <f>AVERAGE(D2:D7)</f>
        <v>22500</v>
      </c>
      <c r="H3" t="s">
        <v>10</v>
      </c>
      <c r="I3">
        <f>AVERAGE(D2:D7,Sheet2!A2:A7)</f>
        <v>18858.3333333333</v>
      </c>
      <c r="K3" t="s">
        <v>11</v>
      </c>
      <c r="L3">
        <f>COUNTA(B2:B7)</f>
        <v>6</v>
      </c>
    </row>
    <row r="4" spans="2:12">
      <c r="B4" s="39" t="s">
        <v>12</v>
      </c>
      <c r="C4" s="39">
        <v>2022</v>
      </c>
      <c r="D4" s="57">
        <v>20000</v>
      </c>
      <c r="E4" s="58" t="s">
        <v>13</v>
      </c>
      <c r="F4">
        <f>MIN(D2:D7)</f>
        <v>10000</v>
      </c>
      <c r="H4" t="s">
        <v>14</v>
      </c>
      <c r="I4">
        <f>MIN(D2:D7,Sheet2!A2:A7)</f>
        <v>10000</v>
      </c>
      <c r="K4" t="s">
        <v>15</v>
      </c>
      <c r="L4">
        <f>COUNTBLANK(B2:D8)</f>
        <v>1</v>
      </c>
    </row>
    <row r="5" spans="2:12">
      <c r="B5" s="39" t="s">
        <v>16</v>
      </c>
      <c r="C5" s="39">
        <v>2023</v>
      </c>
      <c r="D5" s="57">
        <v>25000</v>
      </c>
      <c r="E5" s="58" t="s">
        <v>17</v>
      </c>
      <c r="F5">
        <f>MAX(D2:D7)</f>
        <v>35000</v>
      </c>
      <c r="H5" t="s">
        <v>17</v>
      </c>
      <c r="I5">
        <f>MAX(D2:D7,Sheet2!A2:A7)</f>
        <v>35000</v>
      </c>
      <c r="K5" t="s">
        <v>18</v>
      </c>
      <c r="L5">
        <f>COUNTIF(D2:D8,"&gt;20000")</f>
        <v>3</v>
      </c>
    </row>
    <row r="6" spans="2:9">
      <c r="B6" s="39" t="s">
        <v>19</v>
      </c>
      <c r="C6" s="39">
        <v>2024</v>
      </c>
      <c r="D6" s="57">
        <v>30000</v>
      </c>
      <c r="E6" s="58" t="s">
        <v>20</v>
      </c>
      <c r="F6">
        <f>COUNT(D2:D7)</f>
        <v>6</v>
      </c>
      <c r="H6" t="s">
        <v>20</v>
      </c>
      <c r="I6">
        <f>COUNT(D2:D7,Sheet2!A2:A7)</f>
        <v>12</v>
      </c>
    </row>
    <row r="7" spans="2:4">
      <c r="B7" s="39" t="s">
        <v>21</v>
      </c>
      <c r="C7" s="39">
        <v>2025</v>
      </c>
      <c r="D7" s="57">
        <v>35000</v>
      </c>
    </row>
    <row r="8" spans="2:4">
      <c r="B8" s="39" t="s">
        <v>22</v>
      </c>
      <c r="C8" s="39">
        <v>2025</v>
      </c>
      <c r="D8" s="5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$1:A$1048576"/>
    </sheetView>
  </sheetViews>
  <sheetFormatPr defaultColWidth="9.14285714285714" defaultRowHeight="15" outlineLevelRow="6"/>
  <cols>
    <col min="1" max="1" width="11.2857142857143" style="51"/>
  </cols>
  <sheetData>
    <row r="1" spans="1:1">
      <c r="A1" s="51" t="s">
        <v>2</v>
      </c>
    </row>
    <row r="2" spans="1:1">
      <c r="A2" s="51">
        <v>10000</v>
      </c>
    </row>
    <row r="3" spans="1:1">
      <c r="A3" s="51">
        <v>10000</v>
      </c>
    </row>
    <row r="4" spans="1:1">
      <c r="A4" s="51">
        <v>12000</v>
      </c>
    </row>
    <row r="5" spans="1:1">
      <c r="A5" s="51">
        <v>32000</v>
      </c>
    </row>
    <row r="6" spans="1:1">
      <c r="A6" s="51">
        <v>12300</v>
      </c>
    </row>
    <row r="7" spans="1:1">
      <c r="A7" s="51">
        <v>15000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F12" sqref="F12"/>
    </sheetView>
  </sheetViews>
  <sheetFormatPr defaultColWidth="9.14285714285714" defaultRowHeight="15"/>
  <cols>
    <col min="2" max="2" width="21.5714285714286" customWidth="1"/>
    <col min="3" max="3" width="32" customWidth="1"/>
    <col min="4" max="4" width="11.2857142857143" style="52"/>
    <col min="5" max="5" width="9.14285714285714" style="51"/>
    <col min="6" max="6" width="27.7142857142857" style="52" customWidth="1"/>
    <col min="7" max="7" width="13.4285714285714" style="52" customWidth="1"/>
    <col min="8" max="8" width="13" style="52" customWidth="1"/>
    <col min="9" max="9" width="15.2857142857143" style="52" customWidth="1"/>
    <col min="10" max="10" width="9.14285714285714" style="52"/>
  </cols>
  <sheetData>
    <row r="1" spans="1:10">
      <c r="A1" s="43" t="s">
        <v>23</v>
      </c>
      <c r="B1" s="43" t="s">
        <v>0</v>
      </c>
      <c r="C1" s="44" t="s">
        <v>24</v>
      </c>
      <c r="D1" s="45" t="s">
        <v>2</v>
      </c>
      <c r="E1" s="46" t="s">
        <v>25</v>
      </c>
      <c r="F1" s="45" t="s">
        <v>26</v>
      </c>
      <c r="G1" s="45" t="s">
        <v>27</v>
      </c>
      <c r="H1" s="45" t="s">
        <v>28</v>
      </c>
      <c r="I1" s="45" t="s">
        <v>29</v>
      </c>
      <c r="J1" s="45" t="s">
        <v>30</v>
      </c>
    </row>
    <row r="2" spans="1:10">
      <c r="A2" s="39">
        <v>1</v>
      </c>
      <c r="B2" s="39" t="s">
        <v>5</v>
      </c>
      <c r="C2" s="39">
        <v>2022</v>
      </c>
      <c r="D2" s="47">
        <v>20000</v>
      </c>
      <c r="E2" s="48">
        <v>4</v>
      </c>
      <c r="F2" s="47">
        <v>25000</v>
      </c>
      <c r="G2" s="47">
        <f>D2*$B$12</f>
        <v>400</v>
      </c>
      <c r="H2" s="47">
        <f>SUM(F2,G2)</f>
        <v>25400</v>
      </c>
      <c r="I2" s="47">
        <f>IF(E2=5,$C$12,IF(E2=4,$C$13,IF(E2=3,$C$14,IF(E2=2,$C$15,IF(E2=1,$C$16)))))</f>
        <v>4000</v>
      </c>
      <c r="J2" s="47" cm="1">
        <f t="array" ref="J2">_xlfn.IFS(E2=5,$C$12,E2=4,$C$13,E2=3,$C$14,E2=2,$C$15,E2=1,$C$16)</f>
        <v>4000</v>
      </c>
    </row>
    <row r="3" spans="1:10">
      <c r="A3" s="39">
        <v>2</v>
      </c>
      <c r="B3" s="39" t="s">
        <v>9</v>
      </c>
      <c r="C3" s="39">
        <v>2021</v>
      </c>
      <c r="D3" s="47">
        <v>25000</v>
      </c>
      <c r="E3" s="48">
        <v>2</v>
      </c>
      <c r="F3" s="47">
        <v>20000</v>
      </c>
      <c r="G3" s="47">
        <f>D3*$B$12</f>
        <v>500</v>
      </c>
      <c r="H3" s="47">
        <f t="shared" ref="H3:H8" si="0">SUM(F3,G3)</f>
        <v>20500</v>
      </c>
      <c r="I3" s="47">
        <f t="shared" ref="I3:I8" si="1">IF(E3=5,$C$12,IF(E3=4,$C$13,IF(E3=3,$C$14,IF(E3=2,$C$15,IF(E3=1,$C$16)))))</f>
        <v>1000</v>
      </c>
      <c r="J3" s="47" cm="1">
        <f t="array" ref="J3">_xlfn.IFS(E3=5,$C$12,E3=4,$C$13,E3=3,$C$14,E3=2,$C$15,E3=1,$C$16)</f>
        <v>1000</v>
      </c>
    </row>
    <row r="4" spans="1:10">
      <c r="A4" s="39">
        <v>3</v>
      </c>
      <c r="B4" s="39" t="s">
        <v>12</v>
      </c>
      <c r="C4" s="39">
        <v>2023</v>
      </c>
      <c r="D4" s="47">
        <v>30000</v>
      </c>
      <c r="E4" s="48">
        <v>5</v>
      </c>
      <c r="F4" s="47">
        <v>25000</v>
      </c>
      <c r="G4" s="47">
        <f t="shared" ref="G3:G8" si="2">D4*$B$12</f>
        <v>600</v>
      </c>
      <c r="H4" s="47">
        <f t="shared" si="0"/>
        <v>25600</v>
      </c>
      <c r="I4" s="47">
        <f t="shared" si="1"/>
        <v>5000</v>
      </c>
      <c r="J4" s="47" cm="1">
        <f t="array" ref="J4">_xlfn.IFS(E4=5,$C$12,E4=4,$C$13,E4=3,$C$14,E4=2,$C$15,E4=1,$C$16)</f>
        <v>5000</v>
      </c>
    </row>
    <row r="5" spans="1:10">
      <c r="A5" s="39">
        <v>4</v>
      </c>
      <c r="B5" s="39" t="s">
        <v>16</v>
      </c>
      <c r="C5" s="39">
        <v>2024</v>
      </c>
      <c r="D5" s="47">
        <v>36444</v>
      </c>
      <c r="E5" s="48">
        <v>3</v>
      </c>
      <c r="F5" s="47">
        <v>25000</v>
      </c>
      <c r="G5" s="47">
        <f t="shared" si="2"/>
        <v>728.88</v>
      </c>
      <c r="H5" s="47">
        <f t="shared" si="0"/>
        <v>25728.88</v>
      </c>
      <c r="I5" s="47">
        <f t="shared" si="1"/>
        <v>3000</v>
      </c>
      <c r="J5" s="47" cm="1">
        <f t="array" ref="J5">_xlfn.IFS(E5=5,$C$12,E5=4,$C$13,E5=3,$C$14,E5=2,$C$15,E5=1,$C$16)</f>
        <v>3000</v>
      </c>
    </row>
    <row r="6" spans="1:10">
      <c r="A6" s="39">
        <v>5</v>
      </c>
      <c r="B6" s="39" t="s">
        <v>19</v>
      </c>
      <c r="C6" s="39">
        <v>2020</v>
      </c>
      <c r="D6" s="47">
        <v>64565</v>
      </c>
      <c r="E6" s="48">
        <v>5</v>
      </c>
      <c r="F6" s="47">
        <v>30000</v>
      </c>
      <c r="G6" s="47">
        <f t="shared" si="2"/>
        <v>1291.3</v>
      </c>
      <c r="H6" s="47">
        <f t="shared" si="0"/>
        <v>31291.3</v>
      </c>
      <c r="I6" s="47">
        <f t="shared" si="1"/>
        <v>5000</v>
      </c>
      <c r="J6" s="47" cm="1">
        <f t="array" ref="J6">_xlfn.IFS(E6=5,$C$12,E6=4,$C$13,E6=3,$C$14,E6=2,$C$15,E6=1,$C$16)</f>
        <v>5000</v>
      </c>
    </row>
    <row r="7" spans="1:10">
      <c r="A7" s="39">
        <v>6</v>
      </c>
      <c r="B7" s="39" t="s">
        <v>21</v>
      </c>
      <c r="C7" s="39">
        <v>2021</v>
      </c>
      <c r="D7" s="47">
        <v>65345</v>
      </c>
      <c r="E7" s="48">
        <v>2</v>
      </c>
      <c r="F7" s="47">
        <v>25000</v>
      </c>
      <c r="G7" s="47">
        <f t="shared" si="2"/>
        <v>1306.9</v>
      </c>
      <c r="H7" s="47">
        <f t="shared" si="0"/>
        <v>26306.9</v>
      </c>
      <c r="I7" s="47">
        <f t="shared" si="1"/>
        <v>1000</v>
      </c>
      <c r="J7" s="47" cm="1">
        <f t="array" ref="J7">_xlfn.IFS(E7=5,$C$12,E7=4,$C$13,E7=3,$C$14,E7=2,$C$15,E7=1,$C$16)</f>
        <v>1000</v>
      </c>
    </row>
    <row r="8" spans="1:10">
      <c r="A8" s="39">
        <v>7</v>
      </c>
      <c r="B8" s="39" t="s">
        <v>22</v>
      </c>
      <c r="C8" s="39">
        <v>2021</v>
      </c>
      <c r="D8" s="47">
        <v>78654</v>
      </c>
      <c r="E8" s="48">
        <v>3</v>
      </c>
      <c r="F8" s="47">
        <v>30000</v>
      </c>
      <c r="G8" s="47">
        <f t="shared" si="2"/>
        <v>1573.08</v>
      </c>
      <c r="H8" s="47">
        <f t="shared" si="0"/>
        <v>31573.08</v>
      </c>
      <c r="I8" s="47">
        <f t="shared" si="1"/>
        <v>3000</v>
      </c>
      <c r="J8" s="47" cm="1">
        <f t="array" ref="J8">_xlfn.IFS(E8=5,$C$12,E8=4,$C$13,E8=3,$C$14,E8=2,$C$15,E8=1,$C$16)</f>
        <v>3000</v>
      </c>
    </row>
    <row r="11" spans="2:4">
      <c r="B11" t="s">
        <v>31</v>
      </c>
      <c r="C11" s="39" t="s">
        <v>32</v>
      </c>
      <c r="D11" s="47" t="s">
        <v>33</v>
      </c>
    </row>
    <row r="12" spans="2:4">
      <c r="B12" s="53">
        <v>0.02</v>
      </c>
      <c r="C12" s="47">
        <v>5000</v>
      </c>
      <c r="D12" s="54">
        <v>5</v>
      </c>
    </row>
    <row r="13" spans="3:4">
      <c r="C13" s="47">
        <v>4000</v>
      </c>
      <c r="D13" s="54">
        <v>4</v>
      </c>
    </row>
    <row r="14" spans="3:4">
      <c r="C14" s="47">
        <v>3000</v>
      </c>
      <c r="D14" s="54">
        <v>3</v>
      </c>
    </row>
    <row r="15" spans="3:4">
      <c r="C15" s="47">
        <v>1000</v>
      </c>
      <c r="D15" s="54">
        <v>2</v>
      </c>
    </row>
    <row r="16" spans="3:4">
      <c r="C16" s="47">
        <v>500</v>
      </c>
      <c r="D16" s="5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I12" sqref="I12"/>
    </sheetView>
  </sheetViews>
  <sheetFormatPr defaultColWidth="9.14285714285714" defaultRowHeight="15"/>
  <cols>
    <col min="2" max="2" width="13.5714285714286" customWidth="1"/>
    <col min="3" max="3" width="13.4285714285714" style="52" customWidth="1"/>
    <col min="4" max="4" width="17.1428571428571" style="52" customWidth="1"/>
    <col min="5" max="5" width="23.4285714285714" style="52" customWidth="1"/>
    <col min="6" max="6" width="21.5714285714286" style="52" customWidth="1"/>
    <col min="7" max="7" width="22.7142857142857" style="51" customWidth="1"/>
    <col min="8" max="8" width="15.4285714285714" customWidth="1"/>
    <col min="9" max="9" width="12.8571428571429"/>
  </cols>
  <sheetData>
    <row r="1" spans="1:7">
      <c r="A1" s="39" t="s">
        <v>34</v>
      </c>
      <c r="B1" s="39" t="s">
        <v>35</v>
      </c>
      <c r="C1" s="47" t="s">
        <v>36</v>
      </c>
      <c r="D1" s="47" t="s">
        <v>37</v>
      </c>
      <c r="E1" s="47" t="s">
        <v>38</v>
      </c>
      <c r="F1" s="47" t="s">
        <v>39</v>
      </c>
      <c r="G1" s="49" t="s">
        <v>40</v>
      </c>
    </row>
    <row r="2" spans="1:7">
      <c r="A2" s="39">
        <v>1</v>
      </c>
      <c r="B2" s="39">
        <v>443</v>
      </c>
      <c r="C2" s="47">
        <v>2009</v>
      </c>
      <c r="D2" s="47" cm="1">
        <f t="array" ref="D2">_xlfn.IFS(C2&lt;5000,$F$17,TRUE,$F$18)</f>
        <v>1000</v>
      </c>
      <c r="E2" s="47">
        <f>B2*C2</f>
        <v>889987</v>
      </c>
      <c r="F2" s="47">
        <f>SUM(E2,B2*D2)</f>
        <v>1332987</v>
      </c>
      <c r="G2" s="49" t="str">
        <f>IF(F2&lt;AVERAGE(F2:F13),"Reasonable","High")</f>
        <v>Reasonable</v>
      </c>
    </row>
    <row r="3" spans="1:7">
      <c r="A3" s="39">
        <v>2</v>
      </c>
      <c r="B3" s="39">
        <v>533</v>
      </c>
      <c r="C3" s="47">
        <v>3455</v>
      </c>
      <c r="D3" s="47" cm="1">
        <f t="array" ref="D3">_xlfn.IFS(C3&lt;5000,$F$17,TRUE,$F$18)</f>
        <v>1000</v>
      </c>
      <c r="E3" s="47">
        <f t="shared" ref="E3:E13" si="0">B3*C3</f>
        <v>1841515</v>
      </c>
      <c r="F3" s="47">
        <f t="shared" ref="F3:F13" si="1">SUM(E3,B3*D3)</f>
        <v>2374515</v>
      </c>
      <c r="G3" s="49" t="str">
        <f t="shared" ref="G3:G13" si="2">IF(F3&lt;AVERAGE(F3:F14),"Reasonable","High")</f>
        <v>Reasonable</v>
      </c>
    </row>
    <row r="4" spans="1:7">
      <c r="A4" s="39">
        <v>3</v>
      </c>
      <c r="B4" s="39">
        <v>2432</v>
      </c>
      <c r="C4" s="47">
        <v>4632</v>
      </c>
      <c r="D4" s="47" cm="1">
        <f t="array" ref="D4">_xlfn.IFS(C4&lt;5000,$F$17,TRUE,$F$18)</f>
        <v>1000</v>
      </c>
      <c r="E4" s="47">
        <f t="shared" si="0"/>
        <v>11265024</v>
      </c>
      <c r="F4" s="47">
        <f t="shared" si="1"/>
        <v>13697024</v>
      </c>
      <c r="G4" s="49" t="str">
        <f t="shared" si="2"/>
        <v>Reasonable</v>
      </c>
    </row>
    <row r="5" spans="1:7">
      <c r="A5" s="39">
        <v>4</v>
      </c>
      <c r="B5" s="39">
        <v>235</v>
      </c>
      <c r="C5" s="47">
        <v>7453</v>
      </c>
      <c r="D5" s="47" cm="1">
        <f t="array" ref="D5">_xlfn.IFS(C5&lt;5000,$F$17,TRUE,$F$18)</f>
        <v>1500</v>
      </c>
      <c r="E5" s="47">
        <f t="shared" si="0"/>
        <v>1751455</v>
      </c>
      <c r="F5" s="47">
        <f t="shared" si="1"/>
        <v>2103955</v>
      </c>
      <c r="G5" s="49" t="str">
        <f t="shared" si="2"/>
        <v>Reasonable</v>
      </c>
    </row>
    <row r="6" spans="1:7">
      <c r="A6" s="39">
        <v>5</v>
      </c>
      <c r="B6" s="39">
        <v>5223</v>
      </c>
      <c r="C6" s="47">
        <v>3463</v>
      </c>
      <c r="D6" s="47" cm="1">
        <f t="array" ref="D6">_xlfn.IFS(C6&lt;5000,$F$17,TRUE,$F$18)</f>
        <v>1000</v>
      </c>
      <c r="E6" s="47">
        <f t="shared" si="0"/>
        <v>18087249</v>
      </c>
      <c r="F6" s="47">
        <f t="shared" si="1"/>
        <v>23310249</v>
      </c>
      <c r="G6" s="49" t="str">
        <f t="shared" si="2"/>
        <v>High</v>
      </c>
    </row>
    <row r="7" spans="1:7">
      <c r="A7" s="39">
        <v>6</v>
      </c>
      <c r="B7" s="39">
        <v>643</v>
      </c>
      <c r="C7" s="47">
        <v>5732</v>
      </c>
      <c r="D7" s="47" cm="1">
        <f t="array" ref="D7">_xlfn.IFS(C7&lt;5000,$F$17,TRUE,$F$18)</f>
        <v>1500</v>
      </c>
      <c r="E7" s="47">
        <f t="shared" si="0"/>
        <v>3685676</v>
      </c>
      <c r="F7" s="47">
        <f t="shared" si="1"/>
        <v>4650176</v>
      </c>
      <c r="G7" s="49" t="str">
        <f t="shared" si="2"/>
        <v>Reasonable</v>
      </c>
    </row>
    <row r="8" spans="1:7">
      <c r="A8" s="39">
        <v>7</v>
      </c>
      <c r="B8" s="39">
        <v>634</v>
      </c>
      <c r="C8" s="47">
        <v>6346</v>
      </c>
      <c r="D8" s="47" cm="1">
        <f t="array" ref="D8">_xlfn.IFS(C8&lt;5000,$F$17,TRUE,$F$18)</f>
        <v>1500</v>
      </c>
      <c r="E8" s="47">
        <f t="shared" si="0"/>
        <v>4023364</v>
      </c>
      <c r="F8" s="47">
        <f t="shared" si="1"/>
        <v>4974364</v>
      </c>
      <c r="G8" s="49" t="str">
        <f t="shared" si="2"/>
        <v>Reasonable</v>
      </c>
    </row>
    <row r="9" spans="1:7">
      <c r="A9" s="39">
        <v>8</v>
      </c>
      <c r="B9" s="39">
        <v>634</v>
      </c>
      <c r="C9" s="47">
        <v>7434</v>
      </c>
      <c r="D9" s="47" cm="1">
        <f t="array" ref="D9">_xlfn.IFS(C9&lt;5000,$F$17,TRUE,$F$18)</f>
        <v>1500</v>
      </c>
      <c r="E9" s="47">
        <f t="shared" si="0"/>
        <v>4713156</v>
      </c>
      <c r="F9" s="47">
        <f t="shared" si="1"/>
        <v>5664156</v>
      </c>
      <c r="G9" s="49" t="str">
        <f t="shared" si="2"/>
        <v>Reasonable</v>
      </c>
    </row>
    <row r="10" spans="1:7">
      <c r="A10" s="39">
        <v>9</v>
      </c>
      <c r="B10" s="39">
        <v>6433</v>
      </c>
      <c r="C10" s="47">
        <v>2525</v>
      </c>
      <c r="D10" s="47" cm="1">
        <f t="array" ref="D10">_xlfn.IFS(C10&lt;5000,$F$17,TRUE,$F$18)</f>
        <v>1000</v>
      </c>
      <c r="E10" s="47">
        <f t="shared" si="0"/>
        <v>16243325</v>
      </c>
      <c r="F10" s="47">
        <f t="shared" si="1"/>
        <v>22676325</v>
      </c>
      <c r="G10" s="49" t="str">
        <f t="shared" si="2"/>
        <v>Reasonable</v>
      </c>
    </row>
    <row r="11" spans="1:7">
      <c r="A11" s="39">
        <v>10</v>
      </c>
      <c r="B11" s="39">
        <v>6322</v>
      </c>
      <c r="C11" s="47">
        <v>6342</v>
      </c>
      <c r="D11" s="47" cm="1">
        <f t="array" ref="D11">_xlfn.IFS(C11&lt;5000,$F$17,TRUE,$F$18)</f>
        <v>1500</v>
      </c>
      <c r="E11" s="47">
        <f t="shared" si="0"/>
        <v>40094124</v>
      </c>
      <c r="F11" s="47">
        <f t="shared" si="1"/>
        <v>49577124</v>
      </c>
      <c r="G11" s="49" t="str">
        <f t="shared" si="2"/>
        <v>High</v>
      </c>
    </row>
    <row r="12" spans="1:7">
      <c r="A12" s="39">
        <v>11</v>
      </c>
      <c r="B12" s="39">
        <v>634</v>
      </c>
      <c r="C12" s="47">
        <v>7453</v>
      </c>
      <c r="D12" s="47" cm="1">
        <f t="array" ref="D12">_xlfn.IFS(C12&lt;5000,$F$17,TRUE,$F$18)</f>
        <v>1500</v>
      </c>
      <c r="E12" s="47">
        <f t="shared" si="0"/>
        <v>4725202</v>
      </c>
      <c r="F12" s="47">
        <f t="shared" si="1"/>
        <v>5676202</v>
      </c>
      <c r="G12" s="49" t="str">
        <f t="shared" si="2"/>
        <v>Reasonable</v>
      </c>
    </row>
    <row r="13" spans="1:7">
      <c r="A13" s="39">
        <v>12</v>
      </c>
      <c r="B13" s="39">
        <v>7344</v>
      </c>
      <c r="C13" s="47">
        <v>6432</v>
      </c>
      <c r="D13" s="47" cm="1">
        <f t="array" ref="D13">_xlfn.IFS(C13&lt;5000,$F$17,TRUE,$F$18)</f>
        <v>1500</v>
      </c>
      <c r="E13" s="47">
        <f t="shared" si="0"/>
        <v>47236608</v>
      </c>
      <c r="F13" s="47">
        <f t="shared" si="1"/>
        <v>58252608</v>
      </c>
      <c r="G13" s="49" t="str">
        <f t="shared" si="2"/>
        <v>High</v>
      </c>
    </row>
    <row r="16" spans="1:9">
      <c r="A16">
        <v>1</v>
      </c>
      <c r="B16" t="s">
        <v>41</v>
      </c>
      <c r="F16" s="47" t="s">
        <v>42</v>
      </c>
      <c r="H16" t="s">
        <v>43</v>
      </c>
      <c r="I16">
        <f>COUNTA(A2:A13)</f>
        <v>12</v>
      </c>
    </row>
    <row r="17" spans="6:9">
      <c r="F17" s="47">
        <v>1000</v>
      </c>
      <c r="H17" t="s">
        <v>44</v>
      </c>
      <c r="I17" s="52">
        <f>AVERAGE(D2:D13)</f>
        <v>1291.66666666667</v>
      </c>
    </row>
    <row r="18" spans="4:9">
      <c r="D18" s="52">
        <f>AVERAGE(F2:F13)</f>
        <v>16190807.0833333</v>
      </c>
      <c r="F18" s="47">
        <v>1500</v>
      </c>
      <c r="H18" t="s">
        <v>45</v>
      </c>
      <c r="I18" s="52">
        <f>MIN(C2:C13)</f>
        <v>2009</v>
      </c>
    </row>
    <row r="19" spans="8:9">
      <c r="H19" t="s">
        <v>46</v>
      </c>
      <c r="I19" s="52">
        <f>MAX(C2:C13)</f>
        <v>7453</v>
      </c>
    </row>
    <row r="21" spans="1:2">
      <c r="A21">
        <v>2</v>
      </c>
      <c r="B21" t="s">
        <v>47</v>
      </c>
    </row>
    <row r="22" spans="1:2">
      <c r="A22">
        <v>3</v>
      </c>
      <c r="B22" t="s">
        <v>48</v>
      </c>
    </row>
    <row r="23" spans="1:2">
      <c r="A23">
        <v>4</v>
      </c>
      <c r="B23" t="s">
        <v>49</v>
      </c>
    </row>
    <row r="24" spans="1:2">
      <c r="A24">
        <v>5</v>
      </c>
      <c r="B24" t="s">
        <v>50</v>
      </c>
    </row>
    <row r="25" spans="1:2">
      <c r="A25">
        <v>6</v>
      </c>
      <c r="B25" t="s">
        <v>44</v>
      </c>
    </row>
    <row r="26" spans="1:2">
      <c r="A26">
        <v>7</v>
      </c>
      <c r="B26" t="s">
        <v>51</v>
      </c>
    </row>
    <row r="27" spans="1:2">
      <c r="A27">
        <v>8</v>
      </c>
      <c r="B27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opLeftCell="B8" workbookViewId="0">
      <selection activeCell="C27" sqref="C27"/>
    </sheetView>
  </sheetViews>
  <sheetFormatPr defaultColWidth="9.14285714285714" defaultRowHeight="15"/>
  <cols>
    <col min="1" max="1" width="15.5714285714286" customWidth="1"/>
    <col min="2" max="2" width="23.5714285714286" customWidth="1"/>
    <col min="3" max="3" width="76.2857142857143" customWidth="1"/>
    <col min="4" max="5" width="16" customWidth="1"/>
    <col min="7" max="8" width="16.7142857142857" customWidth="1"/>
    <col min="9" max="9" width="15" customWidth="1"/>
  </cols>
  <sheetData>
    <row r="1" spans="1:9">
      <c r="A1" s="43" t="s">
        <v>23</v>
      </c>
      <c r="B1" s="43" t="s">
        <v>0</v>
      </c>
      <c r="C1" s="44" t="s">
        <v>24</v>
      </c>
      <c r="D1" s="43" t="s">
        <v>53</v>
      </c>
      <c r="E1" s="45" t="s">
        <v>2</v>
      </c>
      <c r="F1" s="46" t="s">
        <v>25</v>
      </c>
      <c r="G1" s="45" t="s">
        <v>26</v>
      </c>
      <c r="H1" s="45" t="s">
        <v>27</v>
      </c>
      <c r="I1" s="45" t="s">
        <v>28</v>
      </c>
    </row>
    <row r="2" spans="1:9">
      <c r="A2" s="39">
        <v>1</v>
      </c>
      <c r="B2" s="39" t="s">
        <v>5</v>
      </c>
      <c r="C2" s="39">
        <v>2022</v>
      </c>
      <c r="D2" s="39" t="s">
        <v>54</v>
      </c>
      <c r="E2" s="47">
        <v>20000</v>
      </c>
      <c r="F2" s="48">
        <v>4</v>
      </c>
      <c r="G2" s="47">
        <v>25000</v>
      </c>
      <c r="H2" s="47">
        <f t="shared" ref="H2:H8" si="0">E2*$B$12</f>
        <v>400</v>
      </c>
      <c r="I2" s="47">
        <f>SUM(G2,H2)</f>
        <v>25400</v>
      </c>
    </row>
    <row r="3" spans="1:9">
      <c r="A3" s="39">
        <v>2</v>
      </c>
      <c r="B3" s="39" t="s">
        <v>9</v>
      </c>
      <c r="C3" s="39">
        <v>2021</v>
      </c>
      <c r="D3" s="39" t="s">
        <v>55</v>
      </c>
      <c r="E3" s="47">
        <v>25000</v>
      </c>
      <c r="F3" s="48">
        <v>2</v>
      </c>
      <c r="G3" s="47">
        <v>20000</v>
      </c>
      <c r="H3" s="47">
        <f t="shared" si="0"/>
        <v>500</v>
      </c>
      <c r="I3" s="47">
        <f t="shared" ref="I2:I8" si="1">SUM(G3,H3)</f>
        <v>20500</v>
      </c>
    </row>
    <row r="4" spans="1:9">
      <c r="A4" s="39">
        <v>3</v>
      </c>
      <c r="B4" s="39" t="s">
        <v>12</v>
      </c>
      <c r="C4" s="39">
        <v>2023</v>
      </c>
      <c r="D4" s="39" t="s">
        <v>54</v>
      </c>
      <c r="E4" s="47">
        <v>30000</v>
      </c>
      <c r="F4" s="48">
        <v>5</v>
      </c>
      <c r="G4" s="47">
        <v>25000</v>
      </c>
      <c r="H4" s="47">
        <f t="shared" si="0"/>
        <v>600</v>
      </c>
      <c r="I4" s="47">
        <f t="shared" si="1"/>
        <v>25600</v>
      </c>
    </row>
    <row r="5" spans="1:9">
      <c r="A5" s="39">
        <v>4</v>
      </c>
      <c r="B5" s="39" t="s">
        <v>16</v>
      </c>
      <c r="C5" s="39">
        <v>2024</v>
      </c>
      <c r="D5" s="39" t="s">
        <v>56</v>
      </c>
      <c r="E5" s="47">
        <v>36444</v>
      </c>
      <c r="F5" s="48">
        <v>3</v>
      </c>
      <c r="G5" s="47">
        <v>25000</v>
      </c>
      <c r="H5" s="47">
        <f t="shared" si="0"/>
        <v>728.88</v>
      </c>
      <c r="I5" s="47">
        <f t="shared" si="1"/>
        <v>25728.88</v>
      </c>
    </row>
    <row r="6" spans="1:9">
      <c r="A6" s="39">
        <v>5</v>
      </c>
      <c r="B6" s="39" t="s">
        <v>19</v>
      </c>
      <c r="C6" s="39">
        <v>2020</v>
      </c>
      <c r="D6" s="39" t="s">
        <v>54</v>
      </c>
      <c r="E6" s="47">
        <v>64565</v>
      </c>
      <c r="F6" s="48">
        <v>5</v>
      </c>
      <c r="G6" s="47">
        <v>30000</v>
      </c>
      <c r="H6" s="47">
        <f t="shared" si="0"/>
        <v>1291.3</v>
      </c>
      <c r="I6" s="47">
        <f t="shared" si="1"/>
        <v>31291.3</v>
      </c>
    </row>
    <row r="7" spans="1:9">
      <c r="A7" s="39">
        <v>6</v>
      </c>
      <c r="B7" s="39" t="s">
        <v>21</v>
      </c>
      <c r="C7" s="39">
        <v>2021</v>
      </c>
      <c r="D7" s="39" t="s">
        <v>57</v>
      </c>
      <c r="E7" s="47">
        <v>65345</v>
      </c>
      <c r="F7" s="48">
        <v>2</v>
      </c>
      <c r="G7" s="47">
        <v>25000</v>
      </c>
      <c r="H7" s="47">
        <f t="shared" si="0"/>
        <v>1306.9</v>
      </c>
      <c r="I7" s="47">
        <f t="shared" si="1"/>
        <v>26306.9</v>
      </c>
    </row>
    <row r="8" spans="1:9">
      <c r="A8" s="39">
        <v>7</v>
      </c>
      <c r="B8" s="39" t="s">
        <v>22</v>
      </c>
      <c r="C8" s="39">
        <v>2021</v>
      </c>
      <c r="D8" s="39" t="s">
        <v>58</v>
      </c>
      <c r="E8" s="47">
        <v>78654</v>
      </c>
      <c r="F8" s="48">
        <v>3</v>
      </c>
      <c r="G8" s="47">
        <v>30000</v>
      </c>
      <c r="H8" s="47">
        <f t="shared" si="0"/>
        <v>1573.08</v>
      </c>
      <c r="I8" s="47">
        <f t="shared" si="1"/>
        <v>31573.08</v>
      </c>
    </row>
    <row r="9" spans="1:9">
      <c r="A9" s="39">
        <v>8</v>
      </c>
      <c r="B9" s="39" t="s">
        <v>59</v>
      </c>
      <c r="C9" s="39">
        <v>2025</v>
      </c>
      <c r="D9" s="39" t="s">
        <v>57</v>
      </c>
      <c r="E9" s="49">
        <v>0</v>
      </c>
      <c r="F9" s="39">
        <v>2</v>
      </c>
      <c r="G9" s="49">
        <v>15000</v>
      </c>
      <c r="H9" s="49" t="e">
        <v>#N/A</v>
      </c>
      <c r="I9" s="49">
        <v>15000</v>
      </c>
    </row>
    <row r="11" spans="2:4">
      <c r="B11" s="39" t="s">
        <v>31</v>
      </c>
      <c r="D11" s="39" t="s">
        <v>60</v>
      </c>
    </row>
    <row r="12" spans="2:4">
      <c r="B12" s="50">
        <v>0.02</v>
      </c>
      <c r="D12" s="39" t="s">
        <v>54</v>
      </c>
    </row>
    <row r="14" spans="2:5">
      <c r="B14">
        <v>1</v>
      </c>
      <c r="C14" t="s">
        <v>61</v>
      </c>
      <c r="D14" s="51">
        <f>_xlfn.MAXIFS(I2:I8,D1:D7,D12,C2:C8,"&gt;2021")</f>
        <v>25728.88</v>
      </c>
      <c r="E14">
        <f>_xlfn.MAXIFS(I2:I9,D2:D9,D12,C2:C9,"&gt;2021")</f>
        <v>25600</v>
      </c>
    </row>
    <row r="15" spans="2:5">
      <c r="B15">
        <v>2</v>
      </c>
      <c r="C15" t="s">
        <v>62</v>
      </c>
      <c r="D15" s="51">
        <f>_xlfn.MAXIFS(I2:I8,D2:D8,D12,F2:F8,"=5")</f>
        <v>31291.3</v>
      </c>
      <c r="E15">
        <f>_xlfn.MAXIFS(I2:I9,D2:D9,D12,F2:F9,"5")</f>
        <v>31291.3</v>
      </c>
    </row>
    <row r="16" spans="2:5">
      <c r="B16">
        <v>3</v>
      </c>
      <c r="C16" t="s">
        <v>63</v>
      </c>
      <c r="D16" s="51">
        <f>_xlfn.MAXIFS(I2:I8,D2:D8,D12,F2:F8,"=5",H2:H8,"&lt;700")</f>
        <v>25600</v>
      </c>
      <c r="E16">
        <f>_xlfn.MAXIFS(I2:I9,D2:D9,D12,F2:F9,"5",H2:H9,"&lt;700")</f>
        <v>25600</v>
      </c>
    </row>
    <row r="17" spans="2:5">
      <c r="B17">
        <v>4</v>
      </c>
      <c r="C17" t="s">
        <v>64</v>
      </c>
      <c r="D17" s="51">
        <f>_xlfn.MINIFS(I2:I8,D2:D8,D12,C2:C8,"&gt;2021")</f>
        <v>25400</v>
      </c>
      <c r="E17">
        <f>_xlfn.MINIFS(I2:I9,D2:D9,D12,C2:C9,"&gt;2021")</f>
        <v>25400</v>
      </c>
    </row>
    <row r="18" spans="2:5">
      <c r="B18">
        <v>5</v>
      </c>
      <c r="C18" t="s">
        <v>65</v>
      </c>
      <c r="D18" s="51">
        <f>_xlfn.MINIFS(I2:I8,D2:D8,D12,F2:F8,"=5")</f>
        <v>25600</v>
      </c>
      <c r="E18">
        <f>_xlfn.MINIFS(I2:I9,D2:D9,D12,F2:F9,"5")</f>
        <v>25600</v>
      </c>
    </row>
    <row r="19" spans="2:5">
      <c r="B19">
        <v>6</v>
      </c>
      <c r="C19" t="s">
        <v>66</v>
      </c>
      <c r="D19" s="51">
        <f>_xlfn.MINIFS(I2:I8,D2:D8,D12,F2:F8,"=5",H2:H8,"&gt;700")</f>
        <v>31291.3</v>
      </c>
      <c r="E19">
        <f>_xlfn.MINIFS(I2:I9,D2:D9,D12,F2:F9,"&lt;5",H2:H9,"&lt;700")</f>
        <v>25400</v>
      </c>
    </row>
    <row r="20" spans="2:5">
      <c r="B20">
        <v>7</v>
      </c>
      <c r="C20" t="s">
        <v>67</v>
      </c>
      <c r="D20" s="51">
        <f>SUMIFS(I2:I8,D2:D8,D12,C2:C8,"&gt;2021")</f>
        <v>51000</v>
      </c>
      <c r="E20">
        <f>SUMIFS(I2:I9,D2:D9,D12,C2:C9,"&gt;2021")</f>
        <v>51000</v>
      </c>
    </row>
    <row r="21" spans="2:4">
      <c r="B21">
        <v>8</v>
      </c>
      <c r="C21" t="s">
        <v>68</v>
      </c>
      <c r="D21" s="51">
        <f>SUMIFS(I2:I8,D2:D8,D12,F2:F8,"=5")</f>
        <v>56891.3</v>
      </c>
    </row>
    <row r="22" spans="2:4">
      <c r="B22">
        <v>9</v>
      </c>
      <c r="C22" t="s">
        <v>69</v>
      </c>
      <c r="D22" s="51">
        <f>SUMIFS(I2:I8,D2:D8,D12,F2:F8,"=5",H2:H8,"&lt;700")</f>
        <v>25600</v>
      </c>
    </row>
    <row r="23" spans="2:5">
      <c r="B23">
        <v>10</v>
      </c>
      <c r="C23" t="s">
        <v>70</v>
      </c>
      <c r="D23">
        <f>COUNTIFS(D2:D8,D12,C2:C8,"&gt;2021")</f>
        <v>2</v>
      </c>
      <c r="E23">
        <f>COUNTIFS(D2:D9,D12,C2:C9,"&gt;2021")</f>
        <v>2</v>
      </c>
    </row>
    <row r="24" spans="2:4">
      <c r="B24">
        <v>11</v>
      </c>
      <c r="C24" t="s">
        <v>71</v>
      </c>
      <c r="D24">
        <f>COUNTIFS(D2:D8,D12,F2:F8,"=5")</f>
        <v>2</v>
      </c>
    </row>
    <row r="25" spans="2:5">
      <c r="B25">
        <v>12</v>
      </c>
      <c r="C25" t="s">
        <v>72</v>
      </c>
      <c r="D25">
        <f>COUNTIFS(D2:D8,D12,F2:F8,"=5",H2:H8,"&lt;700")</f>
        <v>1</v>
      </c>
      <c r="E25">
        <f>COUNTIFS(D2:D9,D12,F2:F9,"5",H2:H9,"&lt;700")</f>
        <v>1</v>
      </c>
    </row>
    <row r="26" spans="2:4">
      <c r="B26">
        <v>13</v>
      </c>
      <c r="C26" t="s">
        <v>73</v>
      </c>
      <c r="D26" t="str">
        <f>IFERROR(G9/E9,"Not Divisble by 0")</f>
        <v>Not Divisble by 0</v>
      </c>
    </row>
    <row r="27" spans="2:3">
      <c r="B27">
        <v>14</v>
      </c>
      <c r="C27" t="s">
        <v>74</v>
      </c>
    </row>
    <row r="30" spans="3:3">
      <c r="C30">
        <f>_xlfn.MAXIFS(G2:G8,D2:D8,D12)</f>
        <v>30000</v>
      </c>
    </row>
    <row r="31" spans="3:3">
      <c r="C31">
        <f>_xlfn.MINIFS(G2:G9,D2:D9,D12)</f>
        <v>25000</v>
      </c>
    </row>
  </sheetData>
  <conditionalFormatting sqref="E1">
    <cfRule type="aboveAverage" dxfId="0" priority="8"/>
  </conditionalFormatting>
  <conditionalFormatting sqref="D$1:D$1048576">
    <cfRule type="duplicateValues" priority="6"/>
    <cfRule type="expression" dxfId="1" priority="5">
      <formula>$D2</formula>
    </cfRule>
    <cfRule type="containsText" dxfId="2" priority="1" operator="between" text="Nagercoil">
      <formula>NOT(ISERROR(SEARCH("Nagercoil",D1)))</formula>
    </cfRule>
  </conditionalFormatting>
  <conditionalFormatting sqref="E$1:E$1048576">
    <cfRule type="aboveAverage" dxfId="0" priority="7"/>
  </conditionalFormatting>
  <conditionalFormatting sqref="I$1:I$1048576">
    <cfRule type="cellIs" dxfId="3" priority="14" operator="greaterThan">
      <formula>30000</formula>
    </cfRule>
    <cfRule type="cellIs" dxfId="4" priority="13" operator="lessThan">
      <formula>25000</formula>
    </cfRule>
    <cfRule type="cellIs" dxfId="5" priority="12" operator="lessThan">
      <formula>25000</formula>
    </cfRule>
    <cfRule type="cellIs" dxfId="6" priority="11" operator="between">
      <formula>25000</formula>
      <formula>30000</formula>
    </cfRule>
    <cfRule type="expression" priority="10">
      <formula>$I$2</formula>
    </cfRule>
    <cfRule type="top10" dxfId="0" priority="9" rank="10"/>
  </conditionalFormatting>
  <conditionalFormatting sqref="A1:I9">
    <cfRule type="expression" dxfId="7" priority="4">
      <formula>$G2</formula>
    </cfRule>
    <cfRule type="expression" priority="3">
      <formula>$G2</formula>
    </cfRule>
    <cfRule type="expression" dxfId="8" priority="2">
      <formula>$G2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F11" sqref="F11"/>
    </sheetView>
  </sheetViews>
  <sheetFormatPr defaultColWidth="9.14285714285714" defaultRowHeight="15"/>
  <cols>
    <col min="5" max="5" width="34.5714285714286" customWidth="1"/>
  </cols>
  <sheetData>
    <row r="1" spans="1:3">
      <c r="A1" s="41" t="s">
        <v>75</v>
      </c>
      <c r="B1" s="41" t="s">
        <v>76</v>
      </c>
      <c r="C1" s="41" t="s">
        <v>26</v>
      </c>
    </row>
    <row r="2" spans="1:3">
      <c r="A2" s="42">
        <v>101</v>
      </c>
      <c r="B2" s="42" t="s">
        <v>77</v>
      </c>
      <c r="C2" s="42">
        <v>5000</v>
      </c>
    </row>
    <row r="3" spans="1:3">
      <c r="A3" s="42">
        <v>102</v>
      </c>
      <c r="B3" s="42" t="s">
        <v>78</v>
      </c>
      <c r="C3" s="42">
        <v>6000</v>
      </c>
    </row>
    <row r="4" spans="1:3">
      <c r="A4" s="42">
        <v>103</v>
      </c>
      <c r="B4" s="42" t="s">
        <v>79</v>
      </c>
      <c r="C4" s="42">
        <v>7000</v>
      </c>
    </row>
    <row r="5" spans="1:6">
      <c r="A5" s="42">
        <v>104</v>
      </c>
      <c r="B5" s="42" t="s">
        <v>80</v>
      </c>
      <c r="C5" s="42">
        <v>8000</v>
      </c>
      <c r="E5" t="s">
        <v>81</v>
      </c>
      <c r="F5">
        <f>VLOOKUP(A8,A1:C12,3,FALSE)</f>
        <v>11000</v>
      </c>
    </row>
    <row r="6" spans="1:3">
      <c r="A6" s="42">
        <v>105</v>
      </c>
      <c r="B6" s="42" t="s">
        <v>77</v>
      </c>
      <c r="C6" s="42">
        <v>9000</v>
      </c>
    </row>
    <row r="7" spans="1:6">
      <c r="A7" s="42">
        <v>106</v>
      </c>
      <c r="B7" s="42" t="s">
        <v>78</v>
      </c>
      <c r="C7" s="42">
        <v>10000</v>
      </c>
      <c r="E7" t="s">
        <v>82</v>
      </c>
      <c r="F7">
        <f>_xlfn.XLOOKUP(A5,A1:A12,C1:C12,"Not Found",0)</f>
        <v>8000</v>
      </c>
    </row>
    <row r="8" spans="1:3">
      <c r="A8" s="42">
        <v>107</v>
      </c>
      <c r="B8" s="42" t="s">
        <v>79</v>
      </c>
      <c r="C8" s="42">
        <v>11000</v>
      </c>
    </row>
    <row r="9" spans="1:3">
      <c r="A9" s="42">
        <v>108</v>
      </c>
      <c r="B9" s="42" t="s">
        <v>80</v>
      </c>
      <c r="C9" s="42">
        <v>12000</v>
      </c>
    </row>
    <row r="10" spans="1:6">
      <c r="A10" s="42">
        <v>109</v>
      </c>
      <c r="B10" s="42" t="s">
        <v>77</v>
      </c>
      <c r="C10" s="42">
        <v>13000</v>
      </c>
      <c r="F10">
        <f>MATCH("Alex",B2:B12,0)</f>
        <v>3</v>
      </c>
    </row>
    <row r="11" spans="1:3">
      <c r="A11" s="42">
        <v>110</v>
      </c>
      <c r="B11" s="42" t="s">
        <v>78</v>
      </c>
      <c r="C11" s="42">
        <v>14000</v>
      </c>
    </row>
    <row r="12" spans="1:3">
      <c r="A12" s="42">
        <v>111</v>
      </c>
      <c r="B12" s="42" t="s">
        <v>79</v>
      </c>
      <c r="C12" s="42">
        <v>15000</v>
      </c>
    </row>
    <row r="15" spans="1:12">
      <c r="A15" t="s">
        <v>75</v>
      </c>
      <c r="B15">
        <v>101</v>
      </c>
      <c r="C15">
        <v>102</v>
      </c>
      <c r="D15">
        <v>103</v>
      </c>
      <c r="E15">
        <v>104</v>
      </c>
      <c r="F15">
        <v>105</v>
      </c>
      <c r="G15">
        <v>106</v>
      </c>
      <c r="H15">
        <v>107</v>
      </c>
      <c r="I15">
        <v>108</v>
      </c>
      <c r="J15">
        <v>109</v>
      </c>
      <c r="K15">
        <v>110</v>
      </c>
      <c r="L15">
        <v>111</v>
      </c>
    </row>
    <row r="16" spans="1:12">
      <c r="A16" t="s">
        <v>76</v>
      </c>
      <c r="B16" t="s">
        <v>77</v>
      </c>
      <c r="C16" t="s">
        <v>78</v>
      </c>
      <c r="D16" t="s">
        <v>79</v>
      </c>
      <c r="E16" t="s">
        <v>77</v>
      </c>
      <c r="F16" t="s">
        <v>78</v>
      </c>
      <c r="G16" t="s">
        <v>79</v>
      </c>
      <c r="H16" t="s">
        <v>77</v>
      </c>
      <c r="I16" t="s">
        <v>78</v>
      </c>
      <c r="J16" t="s">
        <v>79</v>
      </c>
      <c r="K16" t="s">
        <v>77</v>
      </c>
      <c r="L16" t="s">
        <v>78</v>
      </c>
    </row>
    <row r="17" spans="1:12">
      <c r="A17" t="s">
        <v>26</v>
      </c>
      <c r="B17">
        <v>5000</v>
      </c>
      <c r="C17">
        <v>6000</v>
      </c>
      <c r="D17">
        <v>7000</v>
      </c>
      <c r="E17">
        <v>8000</v>
      </c>
      <c r="F17">
        <v>9000</v>
      </c>
      <c r="G17">
        <v>10000</v>
      </c>
      <c r="H17">
        <v>11000</v>
      </c>
      <c r="I17">
        <v>12000</v>
      </c>
      <c r="J17">
        <v>13000</v>
      </c>
      <c r="K17">
        <v>14000</v>
      </c>
      <c r="L17">
        <v>15000</v>
      </c>
    </row>
    <row r="19" spans="5:6">
      <c r="E19" t="s">
        <v>83</v>
      </c>
      <c r="F19">
        <f>HLOOKUP(I15,A15:L17,3,FALSE)</f>
        <v>12000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C2" sqref="C2:C101"/>
    </sheetView>
  </sheetViews>
  <sheetFormatPr defaultColWidth="22.7142857142857" defaultRowHeight="25" customHeight="1" outlineLevelCol="7"/>
  <cols>
    <col min="1" max="16384" width="22.7142857142857" customWidth="1"/>
  </cols>
  <sheetData>
    <row r="1" customHeight="1" spans="1:8">
      <c r="A1" s="34" t="s">
        <v>84</v>
      </c>
      <c r="B1" s="34" t="s">
        <v>85</v>
      </c>
      <c r="C1" s="35" t="s">
        <v>86</v>
      </c>
      <c r="D1" s="34" t="s">
        <v>87</v>
      </c>
      <c r="E1" s="34" t="s">
        <v>88</v>
      </c>
      <c r="F1" s="34" t="s">
        <v>89</v>
      </c>
      <c r="G1" s="34" t="s">
        <v>2</v>
      </c>
      <c r="H1" s="36" t="s">
        <v>90</v>
      </c>
    </row>
    <row r="2" customHeight="1" spans="1:8">
      <c r="A2" s="37">
        <v>970</v>
      </c>
      <c r="B2" s="38" t="s">
        <v>91</v>
      </c>
      <c r="C2" s="39" t="str">
        <f>VLOOKUP(B2,Sheet8!$A$1:$B$14,2,FALSE)</f>
        <v>Coffee</v>
      </c>
      <c r="D2" s="38" t="s">
        <v>92</v>
      </c>
      <c r="E2" s="38" t="s">
        <v>93</v>
      </c>
      <c r="F2" s="37">
        <v>110</v>
      </c>
      <c r="G2" s="37">
        <v>101</v>
      </c>
      <c r="H2" s="37">
        <v>234</v>
      </c>
    </row>
    <row r="3" customHeight="1" spans="1:8">
      <c r="A3" s="37">
        <v>309</v>
      </c>
      <c r="B3" s="38" t="s">
        <v>91</v>
      </c>
      <c r="C3" s="39" t="str">
        <f>VLOOKUP(B3,Sheet8!$A$1:$B$14,2,FALSE)</f>
        <v>Coffee</v>
      </c>
      <c r="D3" s="38" t="s">
        <v>94</v>
      </c>
      <c r="E3" s="38" t="s">
        <v>93</v>
      </c>
      <c r="F3" s="37">
        <v>100</v>
      </c>
      <c r="G3" s="37">
        <v>87</v>
      </c>
      <c r="H3" s="37">
        <v>234</v>
      </c>
    </row>
    <row r="4" customHeight="1" spans="1:8">
      <c r="A4" s="37">
        <v>614</v>
      </c>
      <c r="B4" s="38" t="s">
        <v>91</v>
      </c>
      <c r="C4" s="39" t="str">
        <f>VLOOKUP(B4,Sheet8!$A$1:$B$14,2,FALSE)</f>
        <v>Coffee</v>
      </c>
      <c r="D4" s="38" t="s">
        <v>95</v>
      </c>
      <c r="E4" s="38" t="s">
        <v>93</v>
      </c>
      <c r="F4" s="37">
        <v>20</v>
      </c>
      <c r="G4" s="37">
        <v>0</v>
      </c>
      <c r="H4" s="37">
        <v>150</v>
      </c>
    </row>
    <row r="5" customHeight="1" spans="1:8">
      <c r="A5" s="37">
        <v>754</v>
      </c>
      <c r="B5" s="38" t="s">
        <v>91</v>
      </c>
      <c r="C5" s="39" t="str">
        <f>VLOOKUP(B5,Sheet8!$A$1:$B$14,2,FALSE)</f>
        <v>Coffee</v>
      </c>
      <c r="D5" s="38" t="s">
        <v>96</v>
      </c>
      <c r="E5" s="38" t="s">
        <v>97</v>
      </c>
      <c r="F5" s="37">
        <v>70</v>
      </c>
      <c r="G5" s="37">
        <v>67</v>
      </c>
      <c r="H5" s="37">
        <v>200</v>
      </c>
    </row>
    <row r="6" customHeight="1" spans="1:8">
      <c r="A6" s="37">
        <v>325</v>
      </c>
      <c r="B6" s="38" t="s">
        <v>91</v>
      </c>
      <c r="C6" s="39" t="str">
        <f>VLOOKUP(B6,Sheet8!$A$1:$B$14,2,FALSE)</f>
        <v>Coffee</v>
      </c>
      <c r="D6" s="38" t="s">
        <v>98</v>
      </c>
      <c r="E6" s="38" t="s">
        <v>99</v>
      </c>
      <c r="F6" s="37">
        <v>100</v>
      </c>
      <c r="G6" s="37">
        <v>68</v>
      </c>
      <c r="H6" s="37">
        <v>190</v>
      </c>
    </row>
    <row r="7" customHeight="1" spans="1:8">
      <c r="A7" s="37">
        <v>650</v>
      </c>
      <c r="B7" s="38" t="s">
        <v>91</v>
      </c>
      <c r="C7" s="39" t="str">
        <f>VLOOKUP(B7,Sheet8!$A$1:$B$14,2,FALSE)</f>
        <v>Coffee</v>
      </c>
      <c r="D7" s="38" t="s">
        <v>100</v>
      </c>
      <c r="E7" s="38" t="s">
        <v>101</v>
      </c>
      <c r="F7" s="37">
        <v>120</v>
      </c>
      <c r="G7" s="37">
        <v>117</v>
      </c>
      <c r="H7" s="37">
        <v>118</v>
      </c>
    </row>
    <row r="8" customHeight="1" spans="1:8">
      <c r="A8" s="37">
        <v>720</v>
      </c>
      <c r="B8" s="40" t="s">
        <v>102</v>
      </c>
      <c r="C8" s="39" t="str">
        <f>VLOOKUP(B8,Sheet8!$A$1:$B$14,2,FALSE)</f>
        <v>Espresso</v>
      </c>
      <c r="D8" s="38" t="s">
        <v>92</v>
      </c>
      <c r="E8" s="38" t="s">
        <v>93</v>
      </c>
      <c r="F8" s="37">
        <v>80</v>
      </c>
      <c r="G8" s="37">
        <v>53</v>
      </c>
      <c r="H8" s="37">
        <v>180</v>
      </c>
    </row>
    <row r="9" customHeight="1" spans="1:8">
      <c r="A9" s="37">
        <v>630</v>
      </c>
      <c r="B9" s="40" t="s">
        <v>102</v>
      </c>
      <c r="C9" s="39" t="str">
        <f>VLOOKUP(B9,Sheet8!$A$1:$B$14,2,FALSE)</f>
        <v>Espresso</v>
      </c>
      <c r="D9" s="38" t="s">
        <v>94</v>
      </c>
      <c r="E9" s="38" t="s">
        <v>93</v>
      </c>
      <c r="F9" s="37">
        <v>180</v>
      </c>
      <c r="G9" s="37">
        <v>140</v>
      </c>
      <c r="H9" s="37">
        <v>456</v>
      </c>
    </row>
    <row r="10" customHeight="1" spans="1:8">
      <c r="A10" s="37">
        <v>614</v>
      </c>
      <c r="B10" s="40" t="s">
        <v>102</v>
      </c>
      <c r="C10" s="39" t="str">
        <f>VLOOKUP(B10,Sheet8!$A$1:$B$14,2,FALSE)</f>
        <v>Espresso</v>
      </c>
      <c r="D10" s="38" t="s">
        <v>95</v>
      </c>
      <c r="E10" s="38" t="s">
        <v>93</v>
      </c>
      <c r="F10" s="37">
        <v>40</v>
      </c>
      <c r="G10" s="37">
        <v>16</v>
      </c>
      <c r="H10" s="37">
        <v>130</v>
      </c>
    </row>
    <row r="11" customHeight="1" spans="1:8">
      <c r="A11" s="37">
        <v>754</v>
      </c>
      <c r="B11" s="40" t="s">
        <v>102</v>
      </c>
      <c r="C11" s="39" t="str">
        <f>VLOOKUP(B11,Sheet8!$A$1:$B$14,2,FALSE)</f>
        <v>Espresso</v>
      </c>
      <c r="D11" s="38" t="s">
        <v>96</v>
      </c>
      <c r="E11" s="38" t="s">
        <v>97</v>
      </c>
      <c r="F11" s="37">
        <v>60</v>
      </c>
      <c r="G11" s="37">
        <v>50</v>
      </c>
      <c r="H11" s="37">
        <v>180</v>
      </c>
    </row>
    <row r="12" customHeight="1" spans="1:8">
      <c r="A12" s="37">
        <v>956</v>
      </c>
      <c r="B12" s="40" t="s">
        <v>102</v>
      </c>
      <c r="C12" s="39" t="str">
        <f>VLOOKUP(B12,Sheet8!$A$1:$B$14,2,FALSE)</f>
        <v>Espresso</v>
      </c>
      <c r="D12" s="38" t="s">
        <v>98</v>
      </c>
      <c r="E12" s="38" t="s">
        <v>99</v>
      </c>
      <c r="F12" s="37">
        <v>60</v>
      </c>
      <c r="G12" s="37">
        <v>54</v>
      </c>
      <c r="H12" s="37">
        <v>134</v>
      </c>
    </row>
    <row r="13" customHeight="1" spans="1:8">
      <c r="A13" s="37">
        <v>213</v>
      </c>
      <c r="B13" s="40" t="s">
        <v>102</v>
      </c>
      <c r="C13" s="39" t="str">
        <f>VLOOKUP(B13,Sheet8!$A$1:$B$14,2,FALSE)</f>
        <v>Espresso</v>
      </c>
      <c r="D13" s="38" t="s">
        <v>100</v>
      </c>
      <c r="E13" s="38" t="s">
        <v>101</v>
      </c>
      <c r="F13" s="37">
        <v>200</v>
      </c>
      <c r="G13" s="37">
        <v>203</v>
      </c>
      <c r="H13" s="37">
        <v>546</v>
      </c>
    </row>
    <row r="14" customHeight="1" spans="1:8">
      <c r="A14" s="37">
        <v>719</v>
      </c>
      <c r="B14" s="38" t="s">
        <v>103</v>
      </c>
      <c r="C14" s="39" t="str">
        <f>VLOOKUP(B14,Sheet8!$A$1:$B$14,2,FALSE)</f>
        <v>Coffee</v>
      </c>
      <c r="D14" s="38" t="s">
        <v>92</v>
      </c>
      <c r="E14" s="38" t="s">
        <v>93</v>
      </c>
      <c r="F14" s="37">
        <v>100</v>
      </c>
      <c r="G14" s="37">
        <v>94</v>
      </c>
      <c r="H14" s="37">
        <v>219</v>
      </c>
    </row>
    <row r="15" customHeight="1" spans="1:8">
      <c r="A15" s="37">
        <v>740</v>
      </c>
      <c r="B15" s="38" t="s">
        <v>103</v>
      </c>
      <c r="C15" s="39" t="str">
        <f>VLOOKUP(B15,Sheet8!$A$1:$B$14,2,FALSE)</f>
        <v>Coffee</v>
      </c>
      <c r="D15" s="38" t="s">
        <v>95</v>
      </c>
      <c r="E15" s="38" t="s">
        <v>93</v>
      </c>
      <c r="F15" s="37">
        <v>50</v>
      </c>
      <c r="G15" s="37">
        <v>34</v>
      </c>
      <c r="H15" s="37">
        <v>140</v>
      </c>
    </row>
    <row r="16" customHeight="1" spans="1:8">
      <c r="A16" s="37">
        <v>970</v>
      </c>
      <c r="B16" s="38" t="s">
        <v>104</v>
      </c>
      <c r="C16" s="39" t="str">
        <f>VLOOKUP(B16,Sheet8!$A$1:$B$14,2,FALSE)</f>
        <v>Coffee</v>
      </c>
      <c r="D16" s="38" t="s">
        <v>92</v>
      </c>
      <c r="E16" s="38" t="s">
        <v>93</v>
      </c>
      <c r="F16" s="37">
        <v>80</v>
      </c>
      <c r="G16" s="37">
        <v>68</v>
      </c>
      <c r="H16" s="37">
        <v>190</v>
      </c>
    </row>
    <row r="17" customHeight="1" spans="1:8">
      <c r="A17" s="37">
        <v>217</v>
      </c>
      <c r="B17" s="38" t="s">
        <v>104</v>
      </c>
      <c r="C17" s="39" t="str">
        <f>VLOOKUP(B17,Sheet8!$A$1:$B$14,2,FALSE)</f>
        <v>Coffee</v>
      </c>
      <c r="D17" s="38" t="s">
        <v>94</v>
      </c>
      <c r="E17" s="38" t="s">
        <v>93</v>
      </c>
      <c r="F17" s="37">
        <v>130</v>
      </c>
      <c r="G17" s="37">
        <v>111</v>
      </c>
      <c r="H17" s="37">
        <v>345</v>
      </c>
    </row>
    <row r="18" customHeight="1" spans="1:8">
      <c r="A18" s="37">
        <v>614</v>
      </c>
      <c r="B18" s="38" t="s">
        <v>104</v>
      </c>
      <c r="C18" s="39" t="str">
        <f>VLOOKUP(B18,Sheet8!$A$1:$B$14,2,FALSE)</f>
        <v>Coffee</v>
      </c>
      <c r="D18" s="38" t="s">
        <v>95</v>
      </c>
      <c r="E18" s="38" t="s">
        <v>93</v>
      </c>
      <c r="F18" s="37">
        <v>50</v>
      </c>
      <c r="G18" s="37">
        <v>42</v>
      </c>
      <c r="H18" s="37">
        <v>140</v>
      </c>
    </row>
    <row r="19" customHeight="1" spans="1:8">
      <c r="A19" s="37">
        <v>954</v>
      </c>
      <c r="B19" s="38" t="s">
        <v>104</v>
      </c>
      <c r="C19" s="39" t="str">
        <f>VLOOKUP(B19,Sheet8!$A$1:$B$14,2,FALSE)</f>
        <v>Coffee</v>
      </c>
      <c r="D19" s="38" t="s">
        <v>96</v>
      </c>
      <c r="E19" s="38" t="s">
        <v>97</v>
      </c>
      <c r="F19" s="37">
        <v>70</v>
      </c>
      <c r="G19" s="37">
        <v>68</v>
      </c>
      <c r="H19" s="37">
        <v>210</v>
      </c>
    </row>
    <row r="20" customHeight="1" spans="1:8">
      <c r="A20" s="37">
        <v>413</v>
      </c>
      <c r="B20" s="38" t="s">
        <v>104</v>
      </c>
      <c r="C20" s="39" t="str">
        <f>VLOOKUP(B20,Sheet8!$A$1:$B$14,2,FALSE)</f>
        <v>Coffee</v>
      </c>
      <c r="D20" s="38" t="s">
        <v>105</v>
      </c>
      <c r="E20" s="38" t="s">
        <v>97</v>
      </c>
      <c r="F20" s="37">
        <v>360</v>
      </c>
      <c r="G20" s="37">
        <v>367</v>
      </c>
      <c r="H20" s="37">
        <v>494</v>
      </c>
    </row>
    <row r="21" customHeight="1" spans="1:8">
      <c r="A21" s="37">
        <v>716</v>
      </c>
      <c r="B21" s="38" t="s">
        <v>104</v>
      </c>
      <c r="C21" s="39" t="str">
        <f>VLOOKUP(B21,Sheet8!$A$1:$B$14,2,FALSE)</f>
        <v>Coffee</v>
      </c>
      <c r="D21" s="38" t="s">
        <v>106</v>
      </c>
      <c r="E21" s="38" t="s">
        <v>97</v>
      </c>
      <c r="F21" s="37">
        <v>260</v>
      </c>
      <c r="G21" s="37">
        <v>262</v>
      </c>
      <c r="H21" s="37">
        <v>678</v>
      </c>
    </row>
    <row r="22" customHeight="1" spans="1:8">
      <c r="A22" s="37">
        <v>409</v>
      </c>
      <c r="B22" s="38" t="s">
        <v>104</v>
      </c>
      <c r="C22" s="39" t="str">
        <f>VLOOKUP(B22,Sheet8!$A$1:$B$14,2,FALSE)</f>
        <v>Coffee</v>
      </c>
      <c r="D22" s="38" t="s">
        <v>98</v>
      </c>
      <c r="E22" s="38" t="s">
        <v>99</v>
      </c>
      <c r="F22" s="37">
        <v>220</v>
      </c>
      <c r="G22" s="37">
        <v>159</v>
      </c>
      <c r="H22" s="37">
        <v>452</v>
      </c>
    </row>
    <row r="23" customHeight="1" spans="1:8">
      <c r="A23" s="37">
        <v>916</v>
      </c>
      <c r="B23" s="38" t="s">
        <v>103</v>
      </c>
      <c r="C23" s="39" t="str">
        <f>VLOOKUP(B23,Sheet8!$A$1:$B$14,2,FALSE)</f>
        <v>Coffee</v>
      </c>
      <c r="D23" s="38" t="s">
        <v>100</v>
      </c>
      <c r="E23" s="38" t="s">
        <v>101</v>
      </c>
      <c r="F23" s="37">
        <v>30</v>
      </c>
      <c r="G23" s="37">
        <v>2</v>
      </c>
      <c r="H23" s="37">
        <v>145</v>
      </c>
    </row>
    <row r="24" customHeight="1" spans="1:8">
      <c r="A24" s="37">
        <v>559</v>
      </c>
      <c r="B24" s="38" t="s">
        <v>104</v>
      </c>
      <c r="C24" s="39" t="str">
        <f>VLOOKUP(B24,Sheet8!$A$1:$B$14,2,FALSE)</f>
        <v>Coffee</v>
      </c>
      <c r="D24" s="38" t="s">
        <v>100</v>
      </c>
      <c r="E24" s="38" t="s">
        <v>101</v>
      </c>
      <c r="F24" s="37">
        <v>370</v>
      </c>
      <c r="G24" s="37">
        <v>262</v>
      </c>
      <c r="H24" s="37">
        <v>678</v>
      </c>
    </row>
    <row r="25" customHeight="1" spans="1:8">
      <c r="A25" s="37">
        <v>303</v>
      </c>
      <c r="B25" s="40" t="s">
        <v>107</v>
      </c>
      <c r="C25" s="39" t="str">
        <f>VLOOKUP(B25,Sheet8!$A$1:$B$14,2,FALSE)</f>
        <v>Espresso</v>
      </c>
      <c r="D25" s="38" t="s">
        <v>92</v>
      </c>
      <c r="E25" s="38" t="s">
        <v>93</v>
      </c>
      <c r="F25" s="37">
        <v>70</v>
      </c>
      <c r="G25" s="37">
        <v>54</v>
      </c>
      <c r="H25" s="37">
        <v>134</v>
      </c>
    </row>
    <row r="26" customHeight="1" spans="1:8">
      <c r="A26" s="37">
        <v>309</v>
      </c>
      <c r="B26" s="40" t="s">
        <v>107</v>
      </c>
      <c r="C26" s="39" t="str">
        <f>VLOOKUP(B26,Sheet8!$A$1:$B$14,2,FALSE)</f>
        <v>Espresso</v>
      </c>
      <c r="D26" s="38" t="s">
        <v>94</v>
      </c>
      <c r="E26" s="38" t="s">
        <v>93</v>
      </c>
      <c r="F26" s="37">
        <v>260</v>
      </c>
      <c r="G26" s="37">
        <v>203</v>
      </c>
      <c r="H26" s="37">
        <v>546</v>
      </c>
    </row>
    <row r="27" customHeight="1" spans="1:8">
      <c r="A27" s="37">
        <v>614</v>
      </c>
      <c r="B27" s="40" t="s">
        <v>107</v>
      </c>
      <c r="C27" s="39" t="str">
        <f>VLOOKUP(B27,Sheet8!$A$1:$B$14,2,FALSE)</f>
        <v>Espresso</v>
      </c>
      <c r="D27" s="38" t="s">
        <v>95</v>
      </c>
      <c r="E27" s="38" t="s">
        <v>93</v>
      </c>
      <c r="F27" s="37">
        <v>140</v>
      </c>
      <c r="G27" s="37">
        <v>99</v>
      </c>
      <c r="H27" s="37">
        <v>341</v>
      </c>
    </row>
    <row r="28" customHeight="1" spans="1:8">
      <c r="A28" s="37">
        <v>239</v>
      </c>
      <c r="B28" s="40" t="s">
        <v>107</v>
      </c>
      <c r="C28" s="39" t="str">
        <f>VLOOKUP(B28,Sheet8!$A$1:$B$14,2,FALSE)</f>
        <v>Espresso</v>
      </c>
      <c r="D28" s="38" t="s">
        <v>96</v>
      </c>
      <c r="E28" s="38" t="s">
        <v>97</v>
      </c>
      <c r="F28" s="37">
        <v>30</v>
      </c>
      <c r="G28" s="37">
        <v>9</v>
      </c>
      <c r="H28" s="37">
        <v>190</v>
      </c>
    </row>
    <row r="29" customHeight="1" spans="1:8">
      <c r="A29" s="37">
        <v>781</v>
      </c>
      <c r="B29" s="40" t="s">
        <v>107</v>
      </c>
      <c r="C29" s="39" t="str">
        <f>VLOOKUP(B29,Sheet8!$A$1:$B$14,2,FALSE)</f>
        <v>Espresso</v>
      </c>
      <c r="D29" s="38" t="s">
        <v>105</v>
      </c>
      <c r="E29" s="38" t="s">
        <v>97</v>
      </c>
      <c r="F29" s="37">
        <v>10</v>
      </c>
      <c r="G29" s="37">
        <v>23</v>
      </c>
      <c r="H29" s="37">
        <v>126</v>
      </c>
    </row>
    <row r="30" customHeight="1" spans="1:8">
      <c r="A30" s="37">
        <v>315</v>
      </c>
      <c r="B30" s="40" t="s">
        <v>107</v>
      </c>
      <c r="C30" s="39" t="str">
        <f>VLOOKUP(B30,Sheet8!$A$1:$B$14,2,FALSE)</f>
        <v>Espresso</v>
      </c>
      <c r="D30" s="38" t="s">
        <v>106</v>
      </c>
      <c r="E30" s="38" t="s">
        <v>97</v>
      </c>
      <c r="F30" s="37">
        <v>170</v>
      </c>
      <c r="G30" s="37">
        <v>172</v>
      </c>
      <c r="H30" s="37">
        <v>61</v>
      </c>
    </row>
    <row r="31" customHeight="1" spans="1:8">
      <c r="A31" s="37">
        <v>978</v>
      </c>
      <c r="B31" s="38" t="s">
        <v>108</v>
      </c>
      <c r="C31" s="39" t="str">
        <f>VLOOKUP(B31,Sheet8!$A$1:$B$14,2,FALSE)</f>
        <v>Espresso</v>
      </c>
      <c r="D31" s="38" t="s">
        <v>105</v>
      </c>
      <c r="E31" s="38" t="s">
        <v>97</v>
      </c>
      <c r="F31" s="37">
        <v>110</v>
      </c>
      <c r="G31" s="37">
        <v>100</v>
      </c>
      <c r="H31" s="37">
        <v>341</v>
      </c>
    </row>
    <row r="32" customHeight="1" spans="1:8">
      <c r="A32" s="37">
        <v>631</v>
      </c>
      <c r="B32" s="38" t="s">
        <v>108</v>
      </c>
      <c r="C32" s="39" t="str">
        <f>VLOOKUP(B32,Sheet8!$A$1:$B$14,2,FALSE)</f>
        <v>Espresso</v>
      </c>
      <c r="D32" s="38" t="s">
        <v>106</v>
      </c>
      <c r="E32" s="38" t="s">
        <v>97</v>
      </c>
      <c r="F32" s="37">
        <v>200</v>
      </c>
      <c r="G32" s="37">
        <v>175</v>
      </c>
      <c r="H32" s="37">
        <v>490</v>
      </c>
    </row>
    <row r="33" customHeight="1" spans="1:8">
      <c r="A33" s="37">
        <v>830</v>
      </c>
      <c r="B33" s="38" t="s">
        <v>109</v>
      </c>
      <c r="C33" s="39" t="str">
        <f>VLOOKUP(B33,Sheet8!$A$1:$B$14,2,FALSE)</f>
        <v>Espresso</v>
      </c>
      <c r="D33" s="38" t="s">
        <v>98</v>
      </c>
      <c r="E33" s="38" t="s">
        <v>99</v>
      </c>
      <c r="F33" s="37">
        <v>50</v>
      </c>
      <c r="G33" s="37">
        <v>53</v>
      </c>
      <c r="H33" s="37">
        <v>180</v>
      </c>
    </row>
    <row r="34" customHeight="1" spans="1:8">
      <c r="A34" s="37">
        <v>325</v>
      </c>
      <c r="B34" s="40" t="s">
        <v>107</v>
      </c>
      <c r="C34" s="39" t="str">
        <f>VLOOKUP(B34,Sheet8!$A$1:$B$14,2,FALSE)</f>
        <v>Espresso</v>
      </c>
      <c r="D34" s="38" t="s">
        <v>98</v>
      </c>
      <c r="E34" s="38" t="s">
        <v>99</v>
      </c>
      <c r="F34" s="37">
        <v>90</v>
      </c>
      <c r="G34" s="37">
        <v>95</v>
      </c>
      <c r="H34" s="37">
        <v>219</v>
      </c>
    </row>
    <row r="35" customHeight="1" spans="1:8">
      <c r="A35" s="37">
        <v>661</v>
      </c>
      <c r="B35" s="38" t="s">
        <v>109</v>
      </c>
      <c r="C35" s="39" t="str">
        <f>VLOOKUP(B35,Sheet8!$A$1:$B$14,2,FALSE)</f>
        <v>Espresso</v>
      </c>
      <c r="D35" s="38" t="s">
        <v>100</v>
      </c>
      <c r="E35" s="38" t="s">
        <v>101</v>
      </c>
      <c r="F35" s="37">
        <v>150</v>
      </c>
      <c r="G35" s="37">
        <v>140</v>
      </c>
      <c r="H35" s="37">
        <v>456</v>
      </c>
    </row>
    <row r="36" customHeight="1" spans="1:8">
      <c r="A36" s="37">
        <v>818</v>
      </c>
      <c r="B36" s="40" t="s">
        <v>107</v>
      </c>
      <c r="C36" s="39" t="str">
        <f>VLOOKUP(B36,Sheet8!$A$1:$B$14,2,FALSE)</f>
        <v>Espresso</v>
      </c>
      <c r="D36" s="38" t="s">
        <v>100</v>
      </c>
      <c r="E36" s="38" t="s">
        <v>101</v>
      </c>
      <c r="F36" s="37">
        <v>20</v>
      </c>
      <c r="G36" s="37">
        <v>17</v>
      </c>
      <c r="H36" s="37">
        <v>250</v>
      </c>
    </row>
    <row r="37" customHeight="1" spans="1:8">
      <c r="A37" s="37">
        <v>712</v>
      </c>
      <c r="B37" s="38" t="s">
        <v>91</v>
      </c>
      <c r="C37" s="39" t="str">
        <f>VLOOKUP(B37,Sheet8!$A$1:$B$14,2,FALSE)</f>
        <v>Coffee</v>
      </c>
      <c r="D37" s="38" t="s">
        <v>110</v>
      </c>
      <c r="E37" s="38" t="s">
        <v>93</v>
      </c>
      <c r="F37" s="37">
        <v>20</v>
      </c>
      <c r="G37" s="37">
        <v>12</v>
      </c>
      <c r="H37" s="37">
        <v>54</v>
      </c>
    </row>
    <row r="38" customHeight="1" spans="1:8">
      <c r="A38" s="37">
        <v>573</v>
      </c>
      <c r="B38" s="38" t="s">
        <v>91</v>
      </c>
      <c r="C38" s="39" t="str">
        <f>VLOOKUP(B38,Sheet8!$A$1:$B$14,2,FALSE)</f>
        <v>Coffee</v>
      </c>
      <c r="D38" s="38" t="s">
        <v>111</v>
      </c>
      <c r="E38" s="38" t="s">
        <v>93</v>
      </c>
      <c r="F38" s="37">
        <v>50</v>
      </c>
      <c r="G38" s="37">
        <v>47</v>
      </c>
      <c r="H38" s="37">
        <v>170</v>
      </c>
    </row>
    <row r="39" customHeight="1" spans="1:8">
      <c r="A39" s="37">
        <v>414</v>
      </c>
      <c r="B39" s="38" t="s">
        <v>91</v>
      </c>
      <c r="C39" s="39" t="str">
        <f>VLOOKUP(B39,Sheet8!$A$1:$B$14,2,FALSE)</f>
        <v>Coffee</v>
      </c>
      <c r="D39" s="38" t="s">
        <v>112</v>
      </c>
      <c r="E39" s="38" t="s">
        <v>93</v>
      </c>
      <c r="F39" s="37">
        <v>60</v>
      </c>
      <c r="G39" s="37">
        <v>51</v>
      </c>
      <c r="H39" s="37">
        <v>180</v>
      </c>
    </row>
    <row r="40" customHeight="1" spans="1:8">
      <c r="A40" s="37">
        <v>985</v>
      </c>
      <c r="B40" s="38" t="s">
        <v>91</v>
      </c>
      <c r="C40" s="39" t="str">
        <f>VLOOKUP(B40,Sheet8!$A$1:$B$14,2,FALSE)</f>
        <v>Coffee</v>
      </c>
      <c r="D40" s="38" t="s">
        <v>113</v>
      </c>
      <c r="E40" s="38" t="s">
        <v>99</v>
      </c>
      <c r="F40" s="37">
        <v>50</v>
      </c>
      <c r="G40" s="37">
        <v>28</v>
      </c>
      <c r="H40" s="37">
        <v>81</v>
      </c>
    </row>
    <row r="41" customHeight="1" spans="1:8">
      <c r="A41" s="37">
        <v>505</v>
      </c>
      <c r="B41" s="38" t="s">
        <v>91</v>
      </c>
      <c r="C41" s="39" t="str">
        <f>VLOOKUP(B41,Sheet8!$A$1:$B$14,2,FALSE)</f>
        <v>Coffee</v>
      </c>
      <c r="D41" s="38" t="s">
        <v>114</v>
      </c>
      <c r="E41" s="38" t="s">
        <v>99</v>
      </c>
      <c r="F41" s="37">
        <v>30</v>
      </c>
      <c r="G41" s="37">
        <v>39</v>
      </c>
      <c r="H41" s="37">
        <v>99</v>
      </c>
    </row>
    <row r="42" customHeight="1" spans="1:8">
      <c r="A42" s="37">
        <v>580</v>
      </c>
      <c r="B42" s="38" t="s">
        <v>91</v>
      </c>
      <c r="C42" s="39" t="str">
        <f>VLOOKUP(B42,Sheet8!$A$1:$B$14,2,FALSE)</f>
        <v>Coffee</v>
      </c>
      <c r="D42" s="38" t="s">
        <v>115</v>
      </c>
      <c r="E42" s="38" t="s">
        <v>99</v>
      </c>
      <c r="F42" s="37">
        <v>50</v>
      </c>
      <c r="G42" s="37">
        <v>28</v>
      </c>
      <c r="H42" s="37">
        <v>80</v>
      </c>
    </row>
    <row r="43" customHeight="1" spans="1:8">
      <c r="A43" s="37">
        <v>775</v>
      </c>
      <c r="B43" s="38" t="s">
        <v>91</v>
      </c>
      <c r="C43" s="39" t="str">
        <f>VLOOKUP(B43,Sheet8!$A$1:$B$14,2,FALSE)</f>
        <v>Coffee</v>
      </c>
      <c r="D43" s="38" t="s">
        <v>116</v>
      </c>
      <c r="E43" s="38" t="s">
        <v>101</v>
      </c>
      <c r="F43" s="37">
        <v>20</v>
      </c>
      <c r="G43" s="37">
        <v>4</v>
      </c>
      <c r="H43" s="37">
        <v>62</v>
      </c>
    </row>
    <row r="44" customHeight="1" spans="1:8">
      <c r="A44" s="37">
        <v>971</v>
      </c>
      <c r="B44" s="38" t="s">
        <v>91</v>
      </c>
      <c r="C44" s="39" t="str">
        <f>VLOOKUP(B44,Sheet8!$A$1:$B$14,2,FALSE)</f>
        <v>Coffee</v>
      </c>
      <c r="D44" s="38" t="s">
        <v>117</v>
      </c>
      <c r="E44" s="38" t="s">
        <v>101</v>
      </c>
      <c r="F44" s="37">
        <v>70</v>
      </c>
      <c r="G44" s="37">
        <v>42</v>
      </c>
      <c r="H44" s="37">
        <v>140</v>
      </c>
    </row>
    <row r="45" customHeight="1" spans="1:8">
      <c r="A45" s="37">
        <v>801</v>
      </c>
      <c r="B45" s="38" t="s">
        <v>91</v>
      </c>
      <c r="C45" s="39" t="str">
        <f>VLOOKUP(B45,Sheet8!$A$1:$B$14,2,FALSE)</f>
        <v>Coffee</v>
      </c>
      <c r="D45" s="38" t="s">
        <v>118</v>
      </c>
      <c r="E45" s="38" t="s">
        <v>101</v>
      </c>
      <c r="F45" s="37">
        <v>70</v>
      </c>
      <c r="G45" s="37">
        <v>39</v>
      </c>
      <c r="H45" s="37">
        <v>190</v>
      </c>
    </row>
    <row r="46" customHeight="1" spans="1:8">
      <c r="A46" s="37">
        <v>509</v>
      </c>
      <c r="B46" s="38" t="s">
        <v>91</v>
      </c>
      <c r="C46" s="39" t="str">
        <f>VLOOKUP(B46,Sheet8!$A$1:$B$14,2,FALSE)</f>
        <v>Coffee</v>
      </c>
      <c r="D46" s="38" t="s">
        <v>119</v>
      </c>
      <c r="E46" s="38" t="s">
        <v>101</v>
      </c>
      <c r="F46" s="37">
        <v>60</v>
      </c>
      <c r="G46" s="37">
        <v>9</v>
      </c>
      <c r="H46" s="37">
        <v>190</v>
      </c>
    </row>
    <row r="47" customHeight="1" spans="1:8">
      <c r="A47" s="37">
        <v>563</v>
      </c>
      <c r="B47" s="40" t="s">
        <v>102</v>
      </c>
      <c r="C47" s="39" t="str">
        <f>VLOOKUP(B47,Sheet8!$A$1:$B$14,2,FALSE)</f>
        <v>Espresso</v>
      </c>
      <c r="D47" s="38" t="s">
        <v>110</v>
      </c>
      <c r="E47" s="38" t="s">
        <v>93</v>
      </c>
      <c r="F47" s="37">
        <v>30</v>
      </c>
      <c r="G47" s="37">
        <v>10</v>
      </c>
      <c r="H47" s="37">
        <v>43</v>
      </c>
    </row>
    <row r="48" customHeight="1" spans="1:8">
      <c r="A48" s="37">
        <v>660</v>
      </c>
      <c r="B48" s="40" t="s">
        <v>102</v>
      </c>
      <c r="C48" s="39" t="str">
        <f>VLOOKUP(B48,Sheet8!$A$1:$B$14,2,FALSE)</f>
        <v>Espresso</v>
      </c>
      <c r="D48" s="38" t="s">
        <v>111</v>
      </c>
      <c r="E48" s="38" t="s">
        <v>93</v>
      </c>
      <c r="F48" s="37">
        <v>60</v>
      </c>
      <c r="G48" s="37">
        <v>45</v>
      </c>
      <c r="H48" s="37">
        <v>114</v>
      </c>
    </row>
    <row r="49" customHeight="1" spans="1:8">
      <c r="A49" s="37">
        <v>262</v>
      </c>
      <c r="B49" s="40" t="s">
        <v>102</v>
      </c>
      <c r="C49" s="39" t="str">
        <f>VLOOKUP(B49,Sheet8!$A$1:$B$14,2,FALSE)</f>
        <v>Espresso</v>
      </c>
      <c r="D49" s="38" t="s">
        <v>112</v>
      </c>
      <c r="E49" s="38" t="s">
        <v>93</v>
      </c>
      <c r="F49" s="37">
        <v>50</v>
      </c>
      <c r="G49" s="37">
        <v>34</v>
      </c>
      <c r="H49" s="37">
        <v>110</v>
      </c>
    </row>
    <row r="50" customHeight="1" spans="1:8">
      <c r="A50" s="37">
        <v>475</v>
      </c>
      <c r="B50" s="40" t="s">
        <v>102</v>
      </c>
      <c r="C50" s="39" t="str">
        <f>VLOOKUP(B50,Sheet8!$A$1:$B$14,2,FALSE)</f>
        <v>Espresso</v>
      </c>
      <c r="D50" s="38" t="s">
        <v>120</v>
      </c>
      <c r="E50" s="38" t="s">
        <v>97</v>
      </c>
      <c r="F50" s="37">
        <v>40</v>
      </c>
      <c r="G50" s="37">
        <v>30</v>
      </c>
      <c r="H50" s="37">
        <v>130</v>
      </c>
    </row>
    <row r="51" customHeight="1" spans="1:8">
      <c r="A51" s="37">
        <v>337</v>
      </c>
      <c r="B51" s="40" t="s">
        <v>102</v>
      </c>
      <c r="C51" s="39" t="str">
        <f>VLOOKUP(B51,Sheet8!$A$1:$B$14,2,FALSE)</f>
        <v>Espresso</v>
      </c>
      <c r="D51" s="38" t="s">
        <v>113</v>
      </c>
      <c r="E51" s="38" t="s">
        <v>99</v>
      </c>
      <c r="F51" s="37">
        <v>50</v>
      </c>
      <c r="G51" s="37">
        <v>48</v>
      </c>
      <c r="H51" s="37">
        <v>150</v>
      </c>
    </row>
    <row r="52" customHeight="1" spans="1:8">
      <c r="A52" s="37">
        <v>505</v>
      </c>
      <c r="B52" s="40" t="s">
        <v>102</v>
      </c>
      <c r="C52" s="39" t="str">
        <f>VLOOKUP(B52,Sheet8!$A$1:$B$14,2,FALSE)</f>
        <v>Espresso</v>
      </c>
      <c r="D52" s="38" t="s">
        <v>114</v>
      </c>
      <c r="E52" s="38" t="s">
        <v>99</v>
      </c>
      <c r="F52" s="37">
        <v>10</v>
      </c>
      <c r="G52" s="37">
        <v>9</v>
      </c>
      <c r="H52" s="37">
        <v>82</v>
      </c>
    </row>
    <row r="53" customHeight="1" spans="1:8">
      <c r="A53" s="37">
        <v>405</v>
      </c>
      <c r="B53" s="40" t="s">
        <v>102</v>
      </c>
      <c r="C53" s="39" t="str">
        <f>VLOOKUP(B53,Sheet8!$A$1:$B$14,2,FALSE)</f>
        <v>Espresso</v>
      </c>
      <c r="D53" s="38" t="s">
        <v>115</v>
      </c>
      <c r="E53" s="38" t="s">
        <v>99</v>
      </c>
      <c r="F53" s="37">
        <v>70</v>
      </c>
      <c r="G53" s="37">
        <v>67</v>
      </c>
      <c r="H53" s="37">
        <v>210</v>
      </c>
    </row>
    <row r="54" customHeight="1" spans="1:8">
      <c r="A54" s="37">
        <v>775</v>
      </c>
      <c r="B54" s="40" t="s">
        <v>102</v>
      </c>
      <c r="C54" s="39" t="str">
        <f>VLOOKUP(B54,Sheet8!$A$1:$B$14,2,FALSE)</f>
        <v>Espresso</v>
      </c>
      <c r="D54" s="38" t="s">
        <v>116</v>
      </c>
      <c r="E54" s="38" t="s">
        <v>101</v>
      </c>
      <c r="F54" s="37">
        <v>20</v>
      </c>
      <c r="G54" s="37">
        <v>11</v>
      </c>
      <c r="H54" s="37">
        <v>43</v>
      </c>
    </row>
    <row r="55" customHeight="1" spans="1:8">
      <c r="A55" s="37">
        <v>971</v>
      </c>
      <c r="B55" s="40" t="s">
        <v>102</v>
      </c>
      <c r="C55" s="39" t="str">
        <f>VLOOKUP(B55,Sheet8!$A$1:$B$14,2,FALSE)</f>
        <v>Espresso</v>
      </c>
      <c r="D55" s="38" t="s">
        <v>117</v>
      </c>
      <c r="E55" s="38" t="s">
        <v>101</v>
      </c>
      <c r="F55" s="37">
        <v>100</v>
      </c>
      <c r="G55" s="37">
        <v>99</v>
      </c>
      <c r="H55" s="37">
        <v>341</v>
      </c>
    </row>
    <row r="56" customHeight="1" spans="1:8">
      <c r="A56" s="37">
        <v>435</v>
      </c>
      <c r="B56" s="40" t="s">
        <v>102</v>
      </c>
      <c r="C56" s="39" t="str">
        <f>VLOOKUP(B56,Sheet8!$A$1:$B$14,2,FALSE)</f>
        <v>Espresso</v>
      </c>
      <c r="D56" s="38" t="s">
        <v>118</v>
      </c>
      <c r="E56" s="38" t="s">
        <v>101</v>
      </c>
      <c r="F56" s="37">
        <v>50</v>
      </c>
      <c r="G56" s="37">
        <v>47</v>
      </c>
      <c r="H56" s="37">
        <v>123</v>
      </c>
    </row>
    <row r="57" customHeight="1" spans="1:8">
      <c r="A57" s="37">
        <v>206</v>
      </c>
      <c r="B57" s="40" t="s">
        <v>102</v>
      </c>
      <c r="C57" s="39" t="str">
        <f>VLOOKUP(B57,Sheet8!$A$1:$B$14,2,FALSE)</f>
        <v>Espresso</v>
      </c>
      <c r="D57" s="38" t="s">
        <v>119</v>
      </c>
      <c r="E57" s="38" t="s">
        <v>101</v>
      </c>
      <c r="F57" s="37">
        <v>60</v>
      </c>
      <c r="G57" s="37">
        <v>39</v>
      </c>
      <c r="H57" s="37">
        <v>150</v>
      </c>
    </row>
    <row r="58" customHeight="1" spans="1:8">
      <c r="A58" s="37">
        <v>319</v>
      </c>
      <c r="B58" s="38" t="s">
        <v>103</v>
      </c>
      <c r="C58" s="39" t="str">
        <f>VLOOKUP(B58,Sheet8!$A$1:$B$14,2,FALSE)</f>
        <v>Coffee</v>
      </c>
      <c r="D58" s="38" t="s">
        <v>110</v>
      </c>
      <c r="E58" s="38" t="s">
        <v>93</v>
      </c>
      <c r="F58" s="37">
        <v>20</v>
      </c>
      <c r="G58" s="37">
        <v>11</v>
      </c>
      <c r="H58" s="37">
        <v>45</v>
      </c>
    </row>
    <row r="59" customHeight="1" spans="1:8">
      <c r="A59" s="37">
        <v>262</v>
      </c>
      <c r="B59" s="38" t="s">
        <v>103</v>
      </c>
      <c r="C59" s="39" t="str">
        <f>VLOOKUP(B59,Sheet8!$A$1:$B$14,2,FALSE)</f>
        <v>Coffee</v>
      </c>
      <c r="D59" s="38" t="s">
        <v>112</v>
      </c>
      <c r="E59" s="38" t="s">
        <v>93</v>
      </c>
      <c r="F59" s="37">
        <v>30</v>
      </c>
      <c r="G59" s="37">
        <v>13</v>
      </c>
      <c r="H59" s="37">
        <v>120</v>
      </c>
    </row>
    <row r="60" customHeight="1" spans="1:8">
      <c r="A60" s="37">
        <v>641</v>
      </c>
      <c r="B60" s="38" t="s">
        <v>104</v>
      </c>
      <c r="C60" s="39" t="str">
        <f>VLOOKUP(B60,Sheet8!$A$1:$B$14,2,FALSE)</f>
        <v>Coffee</v>
      </c>
      <c r="D60" s="38" t="s">
        <v>110</v>
      </c>
      <c r="E60" s="38" t="s">
        <v>93</v>
      </c>
      <c r="F60" s="37">
        <v>20</v>
      </c>
      <c r="G60" s="37">
        <v>5</v>
      </c>
      <c r="H60" s="37">
        <v>62</v>
      </c>
    </row>
    <row r="61" customHeight="1" spans="1:8">
      <c r="A61" s="37">
        <v>636</v>
      </c>
      <c r="B61" s="38" t="s">
        <v>104</v>
      </c>
      <c r="C61" s="39" t="str">
        <f>VLOOKUP(B61,Sheet8!$A$1:$B$14,2,FALSE)</f>
        <v>Coffee</v>
      </c>
      <c r="D61" s="38" t="s">
        <v>111</v>
      </c>
      <c r="E61" s="38" t="s">
        <v>93</v>
      </c>
      <c r="F61" s="37">
        <v>40</v>
      </c>
      <c r="G61" s="37">
        <v>39</v>
      </c>
      <c r="H61" s="37">
        <v>190</v>
      </c>
    </row>
    <row r="62" customHeight="1" spans="1:8">
      <c r="A62" s="37">
        <v>262</v>
      </c>
      <c r="B62" s="38" t="s">
        <v>104</v>
      </c>
      <c r="C62" s="39" t="str">
        <f>VLOOKUP(B62,Sheet8!$A$1:$B$14,2,FALSE)</f>
        <v>Coffee</v>
      </c>
      <c r="D62" s="38" t="s">
        <v>112</v>
      </c>
      <c r="E62" s="38" t="s">
        <v>93</v>
      </c>
      <c r="F62" s="37">
        <v>20</v>
      </c>
      <c r="G62" s="37">
        <v>9</v>
      </c>
      <c r="H62" s="37">
        <v>190</v>
      </c>
    </row>
    <row r="63" customHeight="1" spans="1:8">
      <c r="A63" s="37">
        <v>603</v>
      </c>
      <c r="B63" s="38" t="s">
        <v>103</v>
      </c>
      <c r="C63" s="39" t="str">
        <f>VLOOKUP(B63,Sheet8!$A$1:$B$14,2,FALSE)</f>
        <v>Coffee</v>
      </c>
      <c r="D63" s="38" t="s">
        <v>121</v>
      </c>
      <c r="E63" s="38" t="s">
        <v>97</v>
      </c>
      <c r="F63" s="37">
        <v>30</v>
      </c>
      <c r="G63" s="37">
        <v>20</v>
      </c>
      <c r="H63" s="37">
        <v>93</v>
      </c>
    </row>
    <row r="64" customHeight="1" spans="1:8">
      <c r="A64" s="37">
        <v>475</v>
      </c>
      <c r="B64" s="38" t="s">
        <v>104</v>
      </c>
      <c r="C64" s="39" t="str">
        <f>VLOOKUP(B64,Sheet8!$A$1:$B$14,2,FALSE)</f>
        <v>Coffee</v>
      </c>
      <c r="D64" s="38" t="s">
        <v>120</v>
      </c>
      <c r="E64" s="38" t="s">
        <v>97</v>
      </c>
      <c r="F64" s="37">
        <v>130</v>
      </c>
      <c r="G64" s="37">
        <v>115</v>
      </c>
      <c r="H64" s="37">
        <v>310</v>
      </c>
    </row>
    <row r="65" customHeight="1" spans="1:8">
      <c r="A65" s="37">
        <v>603</v>
      </c>
      <c r="B65" s="38" t="s">
        <v>104</v>
      </c>
      <c r="C65" s="39" t="str">
        <f>VLOOKUP(B65,Sheet8!$A$1:$B$14,2,FALSE)</f>
        <v>Coffee</v>
      </c>
      <c r="D65" s="38" t="s">
        <v>121</v>
      </c>
      <c r="E65" s="38" t="s">
        <v>97</v>
      </c>
      <c r="F65" s="37">
        <v>40</v>
      </c>
      <c r="G65" s="37">
        <v>25</v>
      </c>
      <c r="H65" s="37">
        <v>120</v>
      </c>
    </row>
    <row r="66" customHeight="1" spans="1:8">
      <c r="A66" s="37">
        <v>225</v>
      </c>
      <c r="B66" s="38" t="s">
        <v>104</v>
      </c>
      <c r="C66" s="39" t="str">
        <f>VLOOKUP(B66,Sheet8!$A$1:$B$14,2,FALSE)</f>
        <v>Coffee</v>
      </c>
      <c r="D66" s="38" t="s">
        <v>113</v>
      </c>
      <c r="E66" s="38" t="s">
        <v>99</v>
      </c>
      <c r="F66" s="37">
        <v>50</v>
      </c>
      <c r="G66" s="37">
        <v>30</v>
      </c>
      <c r="H66" s="37">
        <v>85</v>
      </c>
    </row>
    <row r="67" customHeight="1" spans="1:8">
      <c r="A67" s="37">
        <v>505</v>
      </c>
      <c r="B67" s="38" t="s">
        <v>104</v>
      </c>
      <c r="C67" s="39" t="str">
        <f>VLOOKUP(B67,Sheet8!$A$1:$B$14,2,FALSE)</f>
        <v>Coffee</v>
      </c>
      <c r="D67" s="38" t="s">
        <v>114</v>
      </c>
      <c r="E67" s="38" t="s">
        <v>99</v>
      </c>
      <c r="F67" s="37">
        <v>50</v>
      </c>
      <c r="G67" s="37">
        <v>26</v>
      </c>
      <c r="H67" s="37">
        <v>120</v>
      </c>
    </row>
    <row r="68" customHeight="1" spans="1:8">
      <c r="A68" s="37">
        <v>580</v>
      </c>
      <c r="B68" s="38" t="s">
        <v>104</v>
      </c>
      <c r="C68" s="39" t="str">
        <f>VLOOKUP(B68,Sheet8!$A$1:$B$14,2,FALSE)</f>
        <v>Coffee</v>
      </c>
      <c r="D68" s="38" t="s">
        <v>115</v>
      </c>
      <c r="E68" s="38" t="s">
        <v>99</v>
      </c>
      <c r="F68" s="37">
        <v>50</v>
      </c>
      <c r="G68" s="37">
        <v>29</v>
      </c>
      <c r="H68" s="37">
        <v>100</v>
      </c>
    </row>
    <row r="69" customHeight="1" spans="1:8">
      <c r="A69" s="37">
        <v>541</v>
      </c>
      <c r="B69" s="38" t="s">
        <v>103</v>
      </c>
      <c r="C69" s="39" t="str">
        <f>VLOOKUP(B69,Sheet8!$A$1:$B$14,2,FALSE)</f>
        <v>Coffee</v>
      </c>
      <c r="D69" s="38" t="s">
        <v>117</v>
      </c>
      <c r="E69" s="38" t="s">
        <v>101</v>
      </c>
      <c r="F69" s="37">
        <v>40</v>
      </c>
      <c r="G69" s="37">
        <v>1</v>
      </c>
      <c r="H69" s="37">
        <v>150</v>
      </c>
    </row>
    <row r="70" customHeight="1" spans="1:8">
      <c r="A70" s="37">
        <v>801</v>
      </c>
      <c r="B70" s="38" t="s">
        <v>103</v>
      </c>
      <c r="C70" s="39" t="str">
        <f>VLOOKUP(B70,Sheet8!$A$1:$B$14,2,FALSE)</f>
        <v>Coffee</v>
      </c>
      <c r="D70" s="38" t="s">
        <v>118</v>
      </c>
      <c r="E70" s="38" t="s">
        <v>101</v>
      </c>
      <c r="F70" s="37">
        <v>80</v>
      </c>
      <c r="G70" s="37">
        <v>47</v>
      </c>
      <c r="H70" s="37">
        <v>170</v>
      </c>
    </row>
    <row r="71" customHeight="1" spans="1:8">
      <c r="A71" s="37">
        <v>702</v>
      </c>
      <c r="B71" s="38" t="s">
        <v>104</v>
      </c>
      <c r="C71" s="39" t="str">
        <f>VLOOKUP(B71,Sheet8!$A$1:$B$14,2,FALSE)</f>
        <v>Coffee</v>
      </c>
      <c r="D71" s="38" t="s">
        <v>116</v>
      </c>
      <c r="E71" s="38" t="s">
        <v>101</v>
      </c>
      <c r="F71" s="37">
        <v>10</v>
      </c>
      <c r="G71" s="37">
        <v>3</v>
      </c>
      <c r="H71" s="37">
        <v>76</v>
      </c>
    </row>
    <row r="72" customHeight="1" spans="1:8">
      <c r="A72" s="37">
        <v>503</v>
      </c>
      <c r="B72" s="38" t="s">
        <v>104</v>
      </c>
      <c r="C72" s="39" t="str">
        <f>VLOOKUP(B72,Sheet8!$A$1:$B$14,2,FALSE)</f>
        <v>Coffee</v>
      </c>
      <c r="D72" s="38" t="s">
        <v>117</v>
      </c>
      <c r="E72" s="38" t="s">
        <v>101</v>
      </c>
      <c r="F72" s="37">
        <v>60</v>
      </c>
      <c r="G72" s="37">
        <v>28</v>
      </c>
      <c r="H72" s="37">
        <v>160</v>
      </c>
    </row>
    <row r="73" customHeight="1" spans="1:8">
      <c r="A73" s="37">
        <v>435</v>
      </c>
      <c r="B73" s="38" t="s">
        <v>104</v>
      </c>
      <c r="C73" s="39" t="str">
        <f>VLOOKUP(B73,Sheet8!$A$1:$B$14,2,FALSE)</f>
        <v>Coffee</v>
      </c>
      <c r="D73" s="38" t="s">
        <v>118</v>
      </c>
      <c r="E73" s="38" t="s">
        <v>101</v>
      </c>
      <c r="F73" s="37">
        <v>70</v>
      </c>
      <c r="G73" s="37">
        <v>30</v>
      </c>
      <c r="H73" s="37">
        <v>130</v>
      </c>
    </row>
    <row r="74" customHeight="1" spans="1:8">
      <c r="A74" s="37">
        <v>206</v>
      </c>
      <c r="B74" s="38" t="s">
        <v>104</v>
      </c>
      <c r="C74" s="39" t="str">
        <f>VLOOKUP(B74,Sheet8!$A$1:$B$14,2,FALSE)</f>
        <v>Coffee</v>
      </c>
      <c r="D74" s="38" t="s">
        <v>119</v>
      </c>
      <c r="E74" s="38" t="s">
        <v>101</v>
      </c>
      <c r="F74" s="37">
        <v>70</v>
      </c>
      <c r="G74" s="37">
        <v>38</v>
      </c>
      <c r="H74" s="37">
        <v>130</v>
      </c>
    </row>
    <row r="75" customHeight="1" spans="1:8">
      <c r="A75" s="37">
        <v>563</v>
      </c>
      <c r="B75" s="40" t="s">
        <v>107</v>
      </c>
      <c r="C75" s="39" t="str">
        <f>VLOOKUP(B75,Sheet8!$A$1:$B$14,2,FALSE)</f>
        <v>Espresso</v>
      </c>
      <c r="D75" s="38" t="s">
        <v>110</v>
      </c>
      <c r="E75" s="38" t="s">
        <v>93</v>
      </c>
      <c r="F75" s="37">
        <v>30</v>
      </c>
      <c r="G75" s="37">
        <v>11</v>
      </c>
      <c r="H75" s="37">
        <v>43</v>
      </c>
    </row>
    <row r="76" customHeight="1" spans="1:8">
      <c r="A76" s="37">
        <v>573</v>
      </c>
      <c r="B76" s="40" t="s">
        <v>107</v>
      </c>
      <c r="C76" s="39" t="str">
        <f>VLOOKUP(B76,Sheet8!$A$1:$B$14,2,FALSE)</f>
        <v>Espresso</v>
      </c>
      <c r="D76" s="38" t="s">
        <v>111</v>
      </c>
      <c r="E76" s="38" t="s">
        <v>93</v>
      </c>
      <c r="F76" s="37">
        <v>70</v>
      </c>
      <c r="G76" s="37">
        <v>48</v>
      </c>
      <c r="H76" s="37">
        <v>123</v>
      </c>
    </row>
    <row r="77" customHeight="1" spans="1:8">
      <c r="A77" s="37">
        <v>414</v>
      </c>
      <c r="B77" s="40" t="s">
        <v>107</v>
      </c>
      <c r="C77" s="39" t="str">
        <f>VLOOKUP(B77,Sheet8!$A$1:$B$14,2,FALSE)</f>
        <v>Espresso</v>
      </c>
      <c r="D77" s="38" t="s">
        <v>112</v>
      </c>
      <c r="E77" s="38" t="s">
        <v>93</v>
      </c>
      <c r="F77" s="37">
        <v>50</v>
      </c>
      <c r="G77" s="37">
        <v>38</v>
      </c>
      <c r="H77" s="37">
        <v>150</v>
      </c>
    </row>
    <row r="78" customHeight="1" spans="1:8">
      <c r="A78" s="37">
        <v>860</v>
      </c>
      <c r="B78" s="40" t="s">
        <v>107</v>
      </c>
      <c r="C78" s="39" t="str">
        <f>VLOOKUP(B78,Sheet8!$A$1:$B$14,2,FALSE)</f>
        <v>Espresso</v>
      </c>
      <c r="D78" s="38" t="s">
        <v>120</v>
      </c>
      <c r="E78" s="38" t="s">
        <v>97</v>
      </c>
      <c r="F78" s="37">
        <v>20</v>
      </c>
      <c r="G78" s="37">
        <v>7</v>
      </c>
      <c r="H78" s="37">
        <v>180</v>
      </c>
    </row>
    <row r="79" customHeight="1" spans="1:8">
      <c r="A79" s="37">
        <v>603</v>
      </c>
      <c r="B79" s="40" t="s">
        <v>107</v>
      </c>
      <c r="C79" s="39" t="str">
        <f>VLOOKUP(B79,Sheet8!$A$1:$B$14,2,FALSE)</f>
        <v>Espresso</v>
      </c>
      <c r="D79" s="38" t="s">
        <v>121</v>
      </c>
      <c r="E79" s="38" t="s">
        <v>97</v>
      </c>
      <c r="F79" s="37">
        <v>0</v>
      </c>
      <c r="G79" s="37">
        <v>10</v>
      </c>
      <c r="H79" s="37">
        <v>90</v>
      </c>
    </row>
    <row r="80" customHeight="1" spans="1:8">
      <c r="A80" s="37">
        <v>603</v>
      </c>
      <c r="B80" s="38" t="s">
        <v>108</v>
      </c>
      <c r="C80" s="39" t="str">
        <f>VLOOKUP(B80,Sheet8!$A$1:$B$14,2,FALSE)</f>
        <v>Espresso</v>
      </c>
      <c r="D80" s="38" t="s">
        <v>121</v>
      </c>
      <c r="E80" s="38" t="s">
        <v>97</v>
      </c>
      <c r="F80" s="37">
        <v>0</v>
      </c>
      <c r="G80" s="37">
        <v>8</v>
      </c>
      <c r="H80" s="37">
        <v>65</v>
      </c>
    </row>
    <row r="81" customHeight="1" spans="1:8">
      <c r="A81" s="37">
        <v>504</v>
      </c>
      <c r="B81" s="38" t="s">
        <v>109</v>
      </c>
      <c r="C81" s="39" t="str">
        <f>VLOOKUP(B81,Sheet8!$A$1:$B$14,2,FALSE)</f>
        <v>Espresso</v>
      </c>
      <c r="D81" s="38" t="s">
        <v>113</v>
      </c>
      <c r="E81" s="38" t="s">
        <v>99</v>
      </c>
      <c r="F81" s="37">
        <v>10</v>
      </c>
      <c r="G81" s="37">
        <v>8</v>
      </c>
      <c r="H81" s="37">
        <v>180</v>
      </c>
    </row>
    <row r="82" customHeight="1" spans="1:8">
      <c r="A82" s="37">
        <v>505</v>
      </c>
      <c r="B82" s="38" t="s">
        <v>109</v>
      </c>
      <c r="C82" s="39" t="str">
        <f>VLOOKUP(B82,Sheet8!$A$1:$B$14,2,FALSE)</f>
        <v>Espresso</v>
      </c>
      <c r="D82" s="38" t="s">
        <v>114</v>
      </c>
      <c r="E82" s="38" t="s">
        <v>99</v>
      </c>
      <c r="F82" s="37">
        <v>0</v>
      </c>
      <c r="G82" s="37">
        <v>8</v>
      </c>
      <c r="H82" s="37">
        <v>65</v>
      </c>
    </row>
    <row r="83" customHeight="1" spans="1:8">
      <c r="A83" s="37">
        <v>405</v>
      </c>
      <c r="B83" s="38" t="s">
        <v>109</v>
      </c>
      <c r="C83" s="39" t="str">
        <f>VLOOKUP(B83,Sheet8!$A$1:$B$14,2,FALSE)</f>
        <v>Espresso</v>
      </c>
      <c r="D83" s="38" t="s">
        <v>115</v>
      </c>
      <c r="E83" s="38" t="s">
        <v>99</v>
      </c>
      <c r="F83" s="37">
        <v>70</v>
      </c>
      <c r="G83" s="37">
        <v>66</v>
      </c>
      <c r="H83" s="37">
        <v>200</v>
      </c>
    </row>
    <row r="84" customHeight="1" spans="1:8">
      <c r="A84" s="37">
        <v>337</v>
      </c>
      <c r="B84" s="40" t="s">
        <v>107</v>
      </c>
      <c r="C84" s="39" t="str">
        <f>VLOOKUP(B84,Sheet8!$A$1:$B$14,2,FALSE)</f>
        <v>Espresso</v>
      </c>
      <c r="D84" s="38" t="s">
        <v>113</v>
      </c>
      <c r="E84" s="38" t="s">
        <v>99</v>
      </c>
      <c r="F84" s="37">
        <v>80</v>
      </c>
      <c r="G84" s="37">
        <v>70</v>
      </c>
      <c r="H84" s="37">
        <v>180</v>
      </c>
    </row>
    <row r="85" customHeight="1" spans="1:8">
      <c r="A85" s="37">
        <v>505</v>
      </c>
      <c r="B85" s="40" t="s">
        <v>107</v>
      </c>
      <c r="C85" s="39" t="str">
        <f>VLOOKUP(B85,Sheet8!$A$1:$B$14,2,FALSE)</f>
        <v>Espresso</v>
      </c>
      <c r="D85" s="38" t="s">
        <v>114</v>
      </c>
      <c r="E85" s="38" t="s">
        <v>99</v>
      </c>
      <c r="F85" s="37">
        <v>10</v>
      </c>
      <c r="G85" s="37">
        <v>10</v>
      </c>
      <c r="H85" s="37">
        <v>90</v>
      </c>
    </row>
    <row r="86" customHeight="1" spans="1:8">
      <c r="A86" s="37">
        <v>405</v>
      </c>
      <c r="B86" s="40" t="s">
        <v>107</v>
      </c>
      <c r="C86" s="39" t="str">
        <f>VLOOKUP(B86,Sheet8!$A$1:$B$14,2,FALSE)</f>
        <v>Espresso</v>
      </c>
      <c r="D86" s="38" t="s">
        <v>115</v>
      </c>
      <c r="E86" s="38" t="s">
        <v>99</v>
      </c>
      <c r="F86" s="37">
        <v>40</v>
      </c>
      <c r="G86" s="37">
        <v>28</v>
      </c>
      <c r="H86" s="37">
        <v>80</v>
      </c>
    </row>
    <row r="87" customHeight="1" spans="1:8">
      <c r="A87" s="37">
        <v>775</v>
      </c>
      <c r="B87" s="38" t="s">
        <v>109</v>
      </c>
      <c r="C87" s="39" t="str">
        <f>VLOOKUP(B87,Sheet8!$A$1:$B$14,2,FALSE)</f>
        <v>Espresso</v>
      </c>
      <c r="D87" s="38" t="s">
        <v>116</v>
      </c>
      <c r="E87" s="38" t="s">
        <v>101</v>
      </c>
      <c r="F87" s="37">
        <v>20</v>
      </c>
      <c r="G87" s="37">
        <v>11</v>
      </c>
      <c r="H87" s="37">
        <v>43</v>
      </c>
    </row>
    <row r="88" customHeight="1" spans="1:8">
      <c r="A88" s="37">
        <v>503</v>
      </c>
      <c r="B88" s="38" t="s">
        <v>109</v>
      </c>
      <c r="C88" s="39" t="str">
        <f>VLOOKUP(B88,Sheet8!$A$1:$B$14,2,FALSE)</f>
        <v>Espresso</v>
      </c>
      <c r="D88" s="38" t="s">
        <v>117</v>
      </c>
      <c r="E88" s="38" t="s">
        <v>101</v>
      </c>
      <c r="F88" s="37">
        <v>20</v>
      </c>
      <c r="G88" s="37">
        <v>16</v>
      </c>
      <c r="H88" s="37">
        <v>130</v>
      </c>
    </row>
    <row r="89" customHeight="1" spans="1:8">
      <c r="A89" s="37">
        <v>435</v>
      </c>
      <c r="B89" s="38" t="s">
        <v>109</v>
      </c>
      <c r="C89" s="39" t="str">
        <f>VLOOKUP(B89,Sheet8!$A$1:$B$14,2,FALSE)</f>
        <v>Espresso</v>
      </c>
      <c r="D89" s="38" t="s">
        <v>118</v>
      </c>
      <c r="E89" s="38" t="s">
        <v>101</v>
      </c>
      <c r="F89" s="37">
        <v>40</v>
      </c>
      <c r="G89" s="37">
        <v>44</v>
      </c>
      <c r="H89" s="37">
        <v>114</v>
      </c>
    </row>
    <row r="90" customHeight="1" spans="1:8">
      <c r="A90" s="37">
        <v>425</v>
      </c>
      <c r="B90" s="38" t="s">
        <v>109</v>
      </c>
      <c r="C90" s="39" t="str">
        <f>VLOOKUP(B90,Sheet8!$A$1:$B$14,2,FALSE)</f>
        <v>Espresso</v>
      </c>
      <c r="D90" s="38" t="s">
        <v>119</v>
      </c>
      <c r="E90" s="38" t="s">
        <v>101</v>
      </c>
      <c r="F90" s="37">
        <v>40</v>
      </c>
      <c r="G90" s="37">
        <v>35</v>
      </c>
      <c r="H90" s="37">
        <v>110</v>
      </c>
    </row>
    <row r="91" customHeight="1" spans="1:8">
      <c r="A91" s="37">
        <v>702</v>
      </c>
      <c r="B91" s="40" t="s">
        <v>107</v>
      </c>
      <c r="C91" s="39" t="str">
        <f>VLOOKUP(B91,Sheet8!$A$1:$B$14,2,FALSE)</f>
        <v>Espresso</v>
      </c>
      <c r="D91" s="38" t="s">
        <v>116</v>
      </c>
      <c r="E91" s="38" t="s">
        <v>101</v>
      </c>
      <c r="F91" s="37">
        <v>20</v>
      </c>
      <c r="G91" s="37">
        <v>10</v>
      </c>
      <c r="H91" s="37">
        <v>45</v>
      </c>
    </row>
    <row r="92" customHeight="1" spans="1:8">
      <c r="A92" s="37">
        <v>503</v>
      </c>
      <c r="B92" s="40" t="s">
        <v>107</v>
      </c>
      <c r="C92" s="39" t="str">
        <f>VLOOKUP(B92,Sheet8!$A$1:$B$14,2,FALSE)</f>
        <v>Espresso</v>
      </c>
      <c r="D92" s="38" t="s">
        <v>117</v>
      </c>
      <c r="E92" s="38" t="s">
        <v>101</v>
      </c>
      <c r="F92" s="37">
        <v>50</v>
      </c>
      <c r="G92" s="37">
        <v>33</v>
      </c>
      <c r="H92" s="37">
        <v>140</v>
      </c>
    </row>
    <row r="93" customHeight="1" spans="1:8">
      <c r="A93" s="37">
        <v>435</v>
      </c>
      <c r="B93" s="40" t="s">
        <v>107</v>
      </c>
      <c r="C93" s="39" t="str">
        <f>VLOOKUP(B93,Sheet8!$A$1:$B$14,2,FALSE)</f>
        <v>Espresso</v>
      </c>
      <c r="D93" s="38" t="s">
        <v>118</v>
      </c>
      <c r="E93" s="38" t="s">
        <v>101</v>
      </c>
      <c r="F93" s="37">
        <v>40</v>
      </c>
      <c r="G93" s="37">
        <v>34</v>
      </c>
      <c r="H93" s="37">
        <v>112</v>
      </c>
    </row>
    <row r="94" customHeight="1" spans="1:8">
      <c r="A94" s="37">
        <v>253</v>
      </c>
      <c r="B94" s="40" t="s">
        <v>107</v>
      </c>
      <c r="C94" s="39" t="str">
        <f>VLOOKUP(B94,Sheet8!$A$1:$B$14,2,FALSE)</f>
        <v>Espresso</v>
      </c>
      <c r="D94" s="38" t="s">
        <v>119</v>
      </c>
      <c r="E94" s="38" t="s">
        <v>101</v>
      </c>
      <c r="F94" s="37">
        <v>20</v>
      </c>
      <c r="G94" s="37">
        <v>13</v>
      </c>
      <c r="H94" s="37">
        <v>120</v>
      </c>
    </row>
    <row r="95" customHeight="1" spans="1:8">
      <c r="A95" s="37">
        <v>970</v>
      </c>
      <c r="B95" s="40" t="s">
        <v>122</v>
      </c>
      <c r="C95" s="39" t="str">
        <f>VLOOKUP(B95,Sheet8!$A$1:$B$14,2,FALSE)</f>
        <v>Herbal Tea</v>
      </c>
      <c r="D95" s="38" t="s">
        <v>92</v>
      </c>
      <c r="E95" s="38" t="s">
        <v>93</v>
      </c>
      <c r="F95" s="37">
        <v>110</v>
      </c>
      <c r="G95" s="37">
        <v>99</v>
      </c>
      <c r="H95" s="37">
        <v>341</v>
      </c>
    </row>
    <row r="96" customHeight="1" spans="1:8">
      <c r="A96" s="37">
        <v>312</v>
      </c>
      <c r="B96" s="40" t="s">
        <v>122</v>
      </c>
      <c r="C96" s="39" t="str">
        <f>VLOOKUP(B96,Sheet8!$A$1:$B$14,2,FALSE)</f>
        <v>Herbal Tea</v>
      </c>
      <c r="D96" s="38" t="s">
        <v>94</v>
      </c>
      <c r="E96" s="38" t="s">
        <v>93</v>
      </c>
      <c r="F96" s="37">
        <v>100</v>
      </c>
      <c r="G96" s="37">
        <v>95</v>
      </c>
      <c r="H96" s="37">
        <v>219</v>
      </c>
    </row>
    <row r="97" customHeight="1" spans="1:8">
      <c r="A97" s="37">
        <v>937</v>
      </c>
      <c r="B97" s="40" t="s">
        <v>122</v>
      </c>
      <c r="C97" s="39" t="str">
        <f>VLOOKUP(B97,Sheet8!$A$1:$B$14,2,FALSE)</f>
        <v>Herbal Tea</v>
      </c>
      <c r="D97" s="38" t="s">
        <v>95</v>
      </c>
      <c r="E97" s="38" t="s">
        <v>93</v>
      </c>
      <c r="F97" s="37">
        <v>50</v>
      </c>
      <c r="G97" s="37">
        <v>29</v>
      </c>
      <c r="H97" s="37">
        <v>80</v>
      </c>
    </row>
    <row r="98" customHeight="1" spans="1:8">
      <c r="A98" s="37">
        <v>719</v>
      </c>
      <c r="B98" s="38" t="s">
        <v>123</v>
      </c>
      <c r="C98" s="39" t="str">
        <f>VLOOKUP(B98,Sheet8!$A$1:$B$14,2,FALSE)</f>
        <v>Herbal Tea</v>
      </c>
      <c r="D98" s="38" t="s">
        <v>92</v>
      </c>
      <c r="E98" s="38" t="s">
        <v>93</v>
      </c>
      <c r="F98" s="37">
        <v>20</v>
      </c>
      <c r="G98" s="37">
        <v>0</v>
      </c>
      <c r="H98" s="37">
        <v>150</v>
      </c>
    </row>
    <row r="99" customHeight="1" spans="1:8">
      <c r="A99" s="37">
        <v>630</v>
      </c>
      <c r="B99" s="38" t="s">
        <v>123</v>
      </c>
      <c r="C99" s="39" t="str">
        <f>VLOOKUP(B99,Sheet8!$A$1:$B$14,2,FALSE)</f>
        <v>Herbal Tea</v>
      </c>
      <c r="D99" s="38" t="s">
        <v>94</v>
      </c>
      <c r="E99" s="38" t="s">
        <v>93</v>
      </c>
      <c r="F99" s="37">
        <v>60</v>
      </c>
      <c r="G99" s="37">
        <v>68</v>
      </c>
      <c r="H99" s="37">
        <v>190</v>
      </c>
    </row>
    <row r="100" customHeight="1" spans="1:8">
      <c r="A100" s="37">
        <v>740</v>
      </c>
      <c r="B100" s="38" t="s">
        <v>123</v>
      </c>
      <c r="C100" s="39" t="str">
        <f>VLOOKUP(B100,Sheet8!$A$1:$B$14,2,FALSE)</f>
        <v>Herbal Tea</v>
      </c>
      <c r="D100" s="38" t="s">
        <v>95</v>
      </c>
      <c r="E100" s="38" t="s">
        <v>93</v>
      </c>
      <c r="F100" s="37">
        <v>50</v>
      </c>
      <c r="G100" s="37">
        <v>29</v>
      </c>
      <c r="H100" s="37">
        <v>80</v>
      </c>
    </row>
    <row r="101" customHeight="1" spans="1:8">
      <c r="A101" s="37">
        <v>970</v>
      </c>
      <c r="B101" s="38" t="s">
        <v>124</v>
      </c>
      <c r="C101" s="39" t="str">
        <f>VLOOKUP(B101,Sheet8!$A$1:$B$14,2,FALSE)</f>
        <v>Herbal Tea</v>
      </c>
      <c r="D101" s="38" t="s">
        <v>92</v>
      </c>
      <c r="E101" s="38" t="s">
        <v>93</v>
      </c>
      <c r="F101" s="37">
        <v>40</v>
      </c>
      <c r="G101" s="37">
        <v>33</v>
      </c>
      <c r="H101" s="37">
        <v>140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D6" sqref="D6"/>
    </sheetView>
  </sheetViews>
  <sheetFormatPr defaultColWidth="20.7142857142857" defaultRowHeight="25" customHeight="1" outlineLevelCol="1"/>
  <cols>
    <col min="1" max="16384" width="20.7142857142857" customWidth="1"/>
  </cols>
  <sheetData>
    <row r="1" customHeight="1" spans="1:2">
      <c r="A1" s="30" t="s">
        <v>85</v>
      </c>
      <c r="B1" s="31" t="s">
        <v>86</v>
      </c>
    </row>
    <row r="2" customHeight="1" spans="1:2">
      <c r="A2" s="32" t="s">
        <v>103</v>
      </c>
      <c r="B2" s="32" t="s">
        <v>125</v>
      </c>
    </row>
    <row r="3" customHeight="1" spans="1:2">
      <c r="A3" s="32" t="s">
        <v>109</v>
      </c>
      <c r="B3" s="32" t="s">
        <v>126</v>
      </c>
    </row>
    <row r="4" customHeight="1" spans="1:2">
      <c r="A4" s="32" t="s">
        <v>107</v>
      </c>
      <c r="B4" s="32" t="s">
        <v>126</v>
      </c>
    </row>
    <row r="5" customHeight="1" spans="1:2">
      <c r="A5" s="32" t="s">
        <v>122</v>
      </c>
      <c r="B5" s="33" t="s">
        <v>127</v>
      </c>
    </row>
    <row r="6" customHeight="1" spans="1:2">
      <c r="A6" s="32" t="s">
        <v>104</v>
      </c>
      <c r="B6" s="32" t="s">
        <v>125</v>
      </c>
    </row>
    <row r="7" customHeight="1" spans="1:2">
      <c r="A7" s="32" t="s">
        <v>128</v>
      </c>
      <c r="B7" s="32" t="s">
        <v>129</v>
      </c>
    </row>
    <row r="8" customHeight="1" spans="1:2">
      <c r="A8" s="32" t="s">
        <v>102</v>
      </c>
      <c r="B8" s="32" t="s">
        <v>126</v>
      </c>
    </row>
    <row r="9" customHeight="1" spans="1:2">
      <c r="A9" s="32" t="s">
        <v>91</v>
      </c>
      <c r="B9" s="32" t="s">
        <v>125</v>
      </c>
    </row>
    <row r="10" customHeight="1" spans="1:2">
      <c r="A10" s="32" t="s">
        <v>130</v>
      </c>
      <c r="B10" s="32" t="s">
        <v>129</v>
      </c>
    </row>
    <row r="11" customHeight="1" spans="1:2">
      <c r="A11" s="32" t="s">
        <v>131</v>
      </c>
      <c r="B11" s="32" t="s">
        <v>129</v>
      </c>
    </row>
    <row r="12" customHeight="1" spans="1:2">
      <c r="A12" s="32" t="s">
        <v>123</v>
      </c>
      <c r="B12" s="33" t="s">
        <v>127</v>
      </c>
    </row>
    <row r="13" customHeight="1" spans="1:2">
      <c r="A13" s="32" t="s">
        <v>124</v>
      </c>
      <c r="B13" s="33" t="s">
        <v>127</v>
      </c>
    </row>
    <row r="14" customHeight="1" spans="1:2">
      <c r="A14" s="32" t="s">
        <v>108</v>
      </c>
      <c r="B14" s="32" t="s">
        <v>126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15" workbookViewId="0">
      <selection activeCell="A16" sqref="A16:D29"/>
    </sheetView>
  </sheetViews>
  <sheetFormatPr defaultColWidth="20.7142857142857" defaultRowHeight="25" customHeight="1" outlineLevelCol="6"/>
  <cols>
    <col min="1" max="16384" width="20.7142857142857" customWidth="1"/>
  </cols>
  <sheetData>
    <row r="1" customHeight="1" spans="1:7">
      <c r="A1" s="1" t="s">
        <v>132</v>
      </c>
      <c r="B1" s="2"/>
      <c r="C1" s="3" t="s">
        <v>133</v>
      </c>
      <c r="D1" s="4"/>
      <c r="E1" s="5"/>
      <c r="F1" s="6"/>
      <c r="G1" s="7"/>
    </row>
    <row r="2" customHeight="1" spans="1:7">
      <c r="A2" s="8" t="s">
        <v>134</v>
      </c>
      <c r="B2" s="8" t="s">
        <v>135</v>
      </c>
      <c r="C2" s="9" t="s">
        <v>136</v>
      </c>
      <c r="D2" s="4"/>
      <c r="E2" s="10" t="s">
        <v>137</v>
      </c>
      <c r="F2" s="11"/>
      <c r="G2" s="12"/>
    </row>
    <row r="3" customHeight="1" spans="1:7">
      <c r="A3" s="13">
        <v>1001</v>
      </c>
      <c r="B3" s="13">
        <v>2000</v>
      </c>
      <c r="C3" s="14">
        <v>0.05</v>
      </c>
      <c r="D3" s="4"/>
      <c r="E3" s="13">
        <v>5001</v>
      </c>
      <c r="F3" s="13">
        <v>10000</v>
      </c>
      <c r="G3" s="14">
        <v>0.2</v>
      </c>
    </row>
    <row r="4" customHeight="1" spans="1:7">
      <c r="A4" s="13">
        <v>2001</v>
      </c>
      <c r="B4" s="13">
        <v>5000</v>
      </c>
      <c r="C4" s="14">
        <v>0.1</v>
      </c>
      <c r="D4" s="4"/>
      <c r="E4" s="13">
        <v>2001</v>
      </c>
      <c r="F4" s="13">
        <v>5000</v>
      </c>
      <c r="G4" s="14">
        <v>0.1</v>
      </c>
    </row>
    <row r="5" customHeight="1" spans="1:7">
      <c r="A5" s="13">
        <v>5001</v>
      </c>
      <c r="B5" s="13">
        <v>10000</v>
      </c>
      <c r="C5" s="14">
        <v>0.2</v>
      </c>
      <c r="D5" s="4"/>
      <c r="E5" s="13">
        <v>1001</v>
      </c>
      <c r="F5" s="13">
        <v>2000</v>
      </c>
      <c r="G5" s="14">
        <v>0.05</v>
      </c>
    </row>
    <row r="6" customHeight="1" spans="1:7">
      <c r="A6" s="15">
        <v>10001</v>
      </c>
      <c r="B6" s="16" t="s">
        <v>138</v>
      </c>
      <c r="C6" s="17">
        <v>0.3</v>
      </c>
      <c r="D6" s="4"/>
      <c r="E6" s="15">
        <v>10001</v>
      </c>
      <c r="F6" s="16" t="s">
        <v>138</v>
      </c>
      <c r="G6" s="17">
        <v>0.3</v>
      </c>
    </row>
    <row r="7" customHeight="1" spans="1:7">
      <c r="A7" s="18"/>
      <c r="B7" s="18"/>
      <c r="C7" s="18"/>
      <c r="D7" s="18"/>
      <c r="E7" s="18"/>
      <c r="F7" s="18"/>
      <c r="G7" s="18"/>
    </row>
    <row r="8" customHeight="1" spans="1:7">
      <c r="A8" s="19" t="s">
        <v>139</v>
      </c>
      <c r="B8" s="19"/>
      <c r="C8" s="18"/>
      <c r="D8" s="18"/>
      <c r="E8" s="18"/>
      <c r="F8" s="18"/>
      <c r="G8" s="18"/>
    </row>
    <row r="9" customHeight="1" spans="1:7">
      <c r="A9" s="20" t="s">
        <v>132</v>
      </c>
      <c r="B9" s="21" t="s">
        <v>37</v>
      </c>
      <c r="C9" s="18"/>
      <c r="D9" s="18"/>
      <c r="E9" s="18" t="s">
        <v>140</v>
      </c>
      <c r="F9" s="18"/>
      <c r="G9" s="18"/>
    </row>
    <row r="10" customHeight="1" spans="1:7">
      <c r="A10" s="13">
        <v>500</v>
      </c>
      <c r="B10" s="22" t="e">
        <f>VLOOKUP(A10,A3:C6,3,TRUE)</f>
        <v>#N/A</v>
      </c>
      <c r="C10" s="18"/>
      <c r="D10" s="18"/>
      <c r="E10" s="20" t="s">
        <v>132</v>
      </c>
      <c r="F10" s="21" t="s">
        <v>37</v>
      </c>
      <c r="G10" s="18"/>
    </row>
    <row r="11" customHeight="1" spans="1:7">
      <c r="A11" s="13">
        <v>2500</v>
      </c>
      <c r="B11" s="22">
        <f>VLOOKUP(A11,A4:C7,3,TRUE)</f>
        <v>0.1</v>
      </c>
      <c r="C11" s="18"/>
      <c r="D11" s="18"/>
      <c r="E11" s="13">
        <v>500</v>
      </c>
      <c r="F11" s="22" t="str">
        <f>_xlfn.XLOOKUP(E11,E3:E6,G3:G6,"Not Found",-1)</f>
        <v>Not Found</v>
      </c>
      <c r="G11" s="18"/>
    </row>
    <row r="12" customHeight="1" spans="1:7">
      <c r="A12" s="13">
        <v>20000</v>
      </c>
      <c r="B12" s="22">
        <f>VLOOKUP(A12,A5:C8,3,TRUE)</f>
        <v>0.3</v>
      </c>
      <c r="C12" s="18"/>
      <c r="D12" s="18"/>
      <c r="E12" s="13">
        <v>2500</v>
      </c>
      <c r="F12" s="22">
        <f>_xlfn.XLOOKUP(E12,E4:E7,G4:G7,"Not Found",-1)</f>
        <v>0.1</v>
      </c>
      <c r="G12" s="18"/>
    </row>
    <row r="13" customHeight="1" spans="1:7">
      <c r="A13" s="15">
        <v>30000</v>
      </c>
      <c r="B13" s="22">
        <f>VLOOKUP(A13,A6:C9,3,TRUE)</f>
        <v>0.3</v>
      </c>
      <c r="C13" s="18"/>
      <c r="D13" s="18"/>
      <c r="E13" s="13">
        <v>20000</v>
      </c>
      <c r="F13" s="22">
        <f>_xlfn.XLOOKUP(E13,E5:E8,G5:G8,"Not Found",-1)</f>
        <v>0.3</v>
      </c>
      <c r="G13" s="18"/>
    </row>
    <row r="14" customHeight="1" spans="1:7">
      <c r="A14" s="18"/>
      <c r="B14" s="18"/>
      <c r="C14" s="18"/>
      <c r="D14" s="18"/>
      <c r="E14" s="15">
        <v>30000</v>
      </c>
      <c r="F14" s="22">
        <f>_xlfn.XLOOKUP(E14,E6:E9,G6:G9,"Not Found",-1)</f>
        <v>0.3</v>
      </c>
      <c r="G14" s="18"/>
    </row>
    <row r="16" customHeight="1" spans="1:4">
      <c r="A16" s="23" t="s">
        <v>85</v>
      </c>
      <c r="B16" s="23" t="s">
        <v>141</v>
      </c>
      <c r="C16" s="23" t="s">
        <v>142</v>
      </c>
      <c r="D16" s="23" t="s">
        <v>143</v>
      </c>
    </row>
    <row r="17" customHeight="1" spans="1:4">
      <c r="A17" s="24" t="s">
        <v>144</v>
      </c>
      <c r="B17" s="25" t="s">
        <v>145</v>
      </c>
      <c r="C17" s="25" t="s">
        <v>146</v>
      </c>
      <c r="D17" s="25" t="s">
        <v>147</v>
      </c>
    </row>
    <row r="18" customHeight="1" spans="1:4">
      <c r="A18" s="26" t="s">
        <v>124</v>
      </c>
      <c r="B18" s="27" t="s">
        <v>148</v>
      </c>
      <c r="C18" s="27" t="s">
        <v>149</v>
      </c>
      <c r="D18" s="27" t="s">
        <v>150</v>
      </c>
    </row>
    <row r="19" customHeight="1" spans="1:4">
      <c r="A19" s="24" t="s">
        <v>123</v>
      </c>
      <c r="B19" s="25" t="s">
        <v>151</v>
      </c>
      <c r="C19" s="25" t="s">
        <v>152</v>
      </c>
      <c r="D19" s="25" t="s">
        <v>153</v>
      </c>
    </row>
    <row r="20" customHeight="1" spans="1:4">
      <c r="A20" s="26" t="s">
        <v>131</v>
      </c>
      <c r="B20" s="27" t="s">
        <v>154</v>
      </c>
      <c r="C20" s="27" t="s">
        <v>155</v>
      </c>
      <c r="D20" s="27" t="s">
        <v>156</v>
      </c>
    </row>
    <row r="21" customHeight="1" spans="1:4">
      <c r="A21" s="24" t="s">
        <v>130</v>
      </c>
      <c r="B21" s="25" t="s">
        <v>151</v>
      </c>
      <c r="C21" s="25" t="s">
        <v>157</v>
      </c>
      <c r="D21" s="25" t="s">
        <v>158</v>
      </c>
    </row>
    <row r="22" customHeight="1" spans="1:4">
      <c r="A22" s="26" t="s">
        <v>91</v>
      </c>
      <c r="B22" s="27" t="s">
        <v>159</v>
      </c>
      <c r="C22" s="27" t="s">
        <v>160</v>
      </c>
      <c r="D22" s="27" t="s">
        <v>161</v>
      </c>
    </row>
    <row r="23" customHeight="1" spans="1:4">
      <c r="A23" s="24" t="s">
        <v>162</v>
      </c>
      <c r="B23" s="25" t="s">
        <v>163</v>
      </c>
      <c r="C23" s="25" t="s">
        <v>164</v>
      </c>
      <c r="D23" s="25" t="s">
        <v>165</v>
      </c>
    </row>
    <row r="24" customHeight="1" spans="1:4">
      <c r="A24" s="26" t="s">
        <v>166</v>
      </c>
      <c r="B24" s="27" t="s">
        <v>167</v>
      </c>
      <c r="C24" s="27" t="s">
        <v>168</v>
      </c>
      <c r="D24" s="27" t="s">
        <v>169</v>
      </c>
    </row>
    <row r="25" customHeight="1" spans="1:4">
      <c r="A25" s="24" t="s">
        <v>104</v>
      </c>
      <c r="B25" s="25" t="s">
        <v>170</v>
      </c>
      <c r="C25" s="25" t="s">
        <v>171</v>
      </c>
      <c r="D25" s="25" t="s">
        <v>172</v>
      </c>
    </row>
    <row r="26" customHeight="1" spans="1:4">
      <c r="A26" s="26" t="s">
        <v>122</v>
      </c>
      <c r="B26" s="27" t="s">
        <v>173</v>
      </c>
      <c r="C26" s="27" t="s">
        <v>174</v>
      </c>
      <c r="D26" s="27" t="s">
        <v>175</v>
      </c>
    </row>
    <row r="27" customHeight="1" spans="1:4">
      <c r="A27" s="24" t="s">
        <v>107</v>
      </c>
      <c r="B27" s="25" t="s">
        <v>176</v>
      </c>
      <c r="C27" s="25" t="s">
        <v>177</v>
      </c>
      <c r="D27" s="25" t="s">
        <v>178</v>
      </c>
    </row>
    <row r="28" customHeight="1" spans="1:4">
      <c r="A28" s="26" t="s">
        <v>109</v>
      </c>
      <c r="B28" s="27" t="s">
        <v>179</v>
      </c>
      <c r="C28" s="27" t="s">
        <v>180</v>
      </c>
      <c r="D28" s="27" t="s">
        <v>159</v>
      </c>
    </row>
    <row r="29" customHeight="1" spans="1:4">
      <c r="A29" s="28" t="s">
        <v>103</v>
      </c>
      <c r="B29" s="29" t="s">
        <v>181</v>
      </c>
      <c r="C29" s="29" t="s">
        <v>182</v>
      </c>
      <c r="D29" s="29" t="s">
        <v>149</v>
      </c>
    </row>
  </sheetData>
  <mergeCells count="3">
    <mergeCell ref="A1:B1"/>
    <mergeCell ref="E1:F1"/>
    <mergeCell ref="E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dcterms:created xsi:type="dcterms:W3CDTF">2025-08-04T16:44:00Z</dcterms:created>
  <dcterms:modified xsi:type="dcterms:W3CDTF">2025-09-13T18:40:56Z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57B2BBDA10C44BED8356F5600007C9B7_12</vt:lpwstr>
  </property>
  <property fmtid="{D5CDD505-2E9C-101B-9397-08002B2CF9AE}" pid="3" name="KSOProductBuildVer">
    <vt:lpwstr>1033-12.2.0.22549</vt:lpwstr>
  </property>
</Properties>
</file>