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fit and Loss" sheetId="1" r:id="rId4"/>
  </sheets>
  <definedNames/>
  <calcPr/>
  <extLst>
    <ext uri="GoogleSheetsCustomDataVersion1">
      <go:sheetsCustomData xmlns:go="http://customooxmlschemas.google.com/" r:id="rId5" roundtripDataSignature="AMtx7mh+zaY7y6p7XHGV5L2l5QksffY4qg=="/>
    </ext>
  </extLst>
</workbook>
</file>

<file path=xl/sharedStrings.xml><?xml version="1.0" encoding="utf-8"?>
<sst xmlns="http://schemas.openxmlformats.org/spreadsheetml/2006/main" count="57" uniqueCount="56">
  <si>
    <t>Koch Industries</t>
  </si>
  <si>
    <t>Georgia Pacific</t>
  </si>
  <si>
    <t>Profit and Loss</t>
  </si>
  <si>
    <t>by Quarter</t>
  </si>
  <si>
    <t>Jan - Mar, Y1</t>
  </si>
  <si>
    <t>Apr - Jun, Y1</t>
  </si>
  <si>
    <t>Jul - Sep, Y1</t>
  </si>
  <si>
    <t>Oct - Dec, Y1</t>
  </si>
  <si>
    <t>Jan - Mar, Y2</t>
  </si>
  <si>
    <t>Net Sales</t>
  </si>
  <si>
    <t>North America Consumer Products</t>
  </si>
  <si>
    <t>International Consumer Products</t>
  </si>
  <si>
    <t>Total Net Sales</t>
  </si>
  <si>
    <t>Cost of Goods Sold</t>
  </si>
  <si>
    <t xml:space="preserve">   Total Cost of Goods Sold</t>
  </si>
  <si>
    <t>Total Cost of Goods Sold</t>
  </si>
  <si>
    <t>Gross Profit</t>
  </si>
  <si>
    <t>Sales, General &amp; Administrative Expenses</t>
  </si>
  <si>
    <t>Marketing &amp; Advertising</t>
  </si>
  <si>
    <t>Sales Commission</t>
  </si>
  <si>
    <t>Conferences and Events</t>
  </si>
  <si>
    <t>Charitable Donations</t>
  </si>
  <si>
    <t>Dues &amp; Subscriptions</t>
  </si>
  <si>
    <t>Facilities Expenses</t>
  </si>
  <si>
    <t>Rent Expense- New York</t>
  </si>
  <si>
    <t>Rent Expense - Chicago</t>
  </si>
  <si>
    <t>Rent Expense - LA</t>
  </si>
  <si>
    <t>Utilities</t>
  </si>
  <si>
    <t>Parking</t>
  </si>
  <si>
    <t xml:space="preserve">   Total Facilities Expenses</t>
  </si>
  <si>
    <t>Business Insurance</t>
  </si>
  <si>
    <t>IT Expense</t>
  </si>
  <si>
    <t>Office Expenses</t>
  </si>
  <si>
    <t>Payroll Expenses</t>
  </si>
  <si>
    <t>Employee Benefits</t>
  </si>
  <si>
    <t>Payroll Expense - Management</t>
  </si>
  <si>
    <t>Payroll Expenses - Administration</t>
  </si>
  <si>
    <t>Payroll Expenses - Sales</t>
  </si>
  <si>
    <t>Payroll Expenses - Overtime</t>
  </si>
  <si>
    <t>Company Payroll Taxes</t>
  </si>
  <si>
    <t>Company Payroll Expenses</t>
  </si>
  <si>
    <t>Professional Fees</t>
  </si>
  <si>
    <t>Freelancers</t>
  </si>
  <si>
    <t>Legal Fees</t>
  </si>
  <si>
    <t>Banking Fees</t>
  </si>
  <si>
    <t>Recruiting</t>
  </si>
  <si>
    <t>Total Professional Fees</t>
  </si>
  <si>
    <t>Travel &amp; Entertainment</t>
  </si>
  <si>
    <t>Total Sales, General &amp; Administrative Expenses</t>
  </si>
  <si>
    <t>Net Operating Income</t>
  </si>
  <si>
    <t>Other Expenses</t>
  </si>
  <si>
    <t>Depreciation Expense</t>
  </si>
  <si>
    <t>Amortization Expense</t>
  </si>
  <si>
    <t>Interest Expense</t>
  </si>
  <si>
    <t>Total Other Expenses</t>
  </si>
  <si>
    <t>Net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</si>
</sst>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\ _€"/>
  </numFmts>
  <fonts count="8">
    <font>
      <sz val="11.0"/>
      <color rgb="FF000000"/>
      <name val="Calibri"/>
      <scheme val="minor"/>
    </font>
    <font>
      <b/>
      <sz val="14.0"/>
      <color rgb="FF000000"/>
      <name val="Arial"/>
    </font>
    <font>
      <b/>
      <sz val="10.0"/>
      <color rgb="FF000000"/>
      <name val="Arial"/>
    </font>
    <font>
      <i/>
      <sz val="8.0"/>
      <color rgb="FF000000"/>
      <name val="Arial"/>
    </font>
    <font>
      <b/>
      <sz val="9.0"/>
      <color rgb="FF000000"/>
      <name val="Arial"/>
    </font>
    <font>
      <b/>
      <sz val="8.0"/>
      <color rgb="FF000000"/>
      <name val="Arial"/>
    </font>
    <font>
      <sz val="8.0"/>
      <color rgb="FF00000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left" shrinkToFit="0" wrapText="1"/>
    </xf>
    <xf borderId="1" fillId="0" fontId="4" numFmtId="0" xfId="0" applyAlignment="1" applyBorder="1" applyFont="1">
      <alignment horizontal="center" shrinkToFit="0" wrapText="1"/>
    </xf>
    <xf borderId="0" fillId="0" fontId="5" numFmtId="0" xfId="0" applyAlignment="1" applyFont="1">
      <alignment horizontal="left" shrinkToFit="0" wrapText="1"/>
    </xf>
    <xf borderId="0" fillId="0" fontId="6" numFmtId="164" xfId="0" applyAlignment="1" applyFont="1" applyNumberFormat="1">
      <alignment horizontal="right" shrinkToFit="0" wrapText="1"/>
    </xf>
    <xf borderId="0" fillId="0" fontId="5" numFmtId="0" xfId="0" applyAlignment="1" applyFont="1">
      <alignment horizontal="left" readingOrder="0" shrinkToFit="0" wrapText="1"/>
    </xf>
    <xf borderId="0" fillId="0" fontId="7" numFmtId="9" xfId="0" applyFont="1" applyNumberFormat="1"/>
    <xf borderId="2" fillId="0" fontId="5" numFmtId="164" xfId="0" applyAlignment="1" applyBorder="1" applyFont="1" applyNumberFormat="1">
      <alignment horizontal="right" shrinkToFit="0" wrapText="1"/>
    </xf>
    <xf borderId="0" fillId="0" fontId="5" numFmtId="164" xfId="0" applyAlignment="1" applyFont="1" applyNumberFormat="1">
      <alignment horizontal="right" shrinkToFit="0" wrapText="1"/>
    </xf>
    <xf borderId="0" fillId="0" fontId="6" numFmtId="164" xfId="0" applyAlignment="1" applyFont="1" applyNumberFormat="1">
      <alignment shrinkToFit="0" wrapText="1"/>
    </xf>
    <xf borderId="0" fillId="0" fontId="7" numFmtId="164" xfId="0" applyFont="1" applyNumberFormat="1"/>
    <xf borderId="0" fillId="0" fontId="5" numFmtId="9" xfId="0" applyAlignment="1" applyFont="1" applyNumberFormat="1">
      <alignment horizontal="right" shrinkToFit="0" wrapText="1"/>
    </xf>
    <xf borderId="3" fillId="0" fontId="5" numFmtId="164" xfId="0" applyAlignment="1" applyBorder="1" applyFont="1" applyNumberFormat="1">
      <alignment horizontal="right" shrinkToFit="0" wrapText="1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71"/>
    <col customWidth="1" min="2" max="2" width="12.86"/>
    <col customWidth="1" min="3" max="6" width="13.71"/>
    <col customWidth="1" min="7" max="26" width="8.71"/>
  </cols>
  <sheetData>
    <row r="1" ht="14.25" customHeight="1">
      <c r="A1" s="1" t="s">
        <v>0</v>
      </c>
    </row>
    <row r="2" ht="14.25" customHeight="1">
      <c r="A2" s="1" t="s">
        <v>1</v>
      </c>
    </row>
    <row r="3" ht="14.25" customHeight="1">
      <c r="A3" s="1" t="s">
        <v>2</v>
      </c>
    </row>
    <row r="4" ht="14.25" customHeight="1">
      <c r="A4" s="2" t="s">
        <v>3</v>
      </c>
    </row>
    <row r="5" ht="14.25" customHeight="1"/>
    <row r="6" ht="14.25" customHeight="1">
      <c r="A6" s="3"/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</row>
    <row r="7" ht="14.25" customHeight="1">
      <c r="A7" s="5" t="s">
        <v>9</v>
      </c>
      <c r="B7" s="6"/>
      <c r="C7" s="6"/>
      <c r="D7" s="6"/>
      <c r="E7" s="6"/>
      <c r="F7" s="6"/>
    </row>
    <row r="8" ht="14.25" customHeight="1">
      <c r="A8" s="7" t="s">
        <v>10</v>
      </c>
      <c r="B8" s="6">
        <v>2.0653703400000006E7</v>
      </c>
      <c r="C8" s="6">
        <v>2.350246891428571E7</v>
      </c>
      <c r="D8" s="6">
        <v>2.4354319349999998E7</v>
      </c>
      <c r="E8" s="6">
        <v>2.9479886650000002E7</v>
      </c>
      <c r="F8" s="6">
        <v>2.0082670014285713E7</v>
      </c>
      <c r="I8" s="8"/>
      <c r="J8" s="8"/>
      <c r="K8" s="8"/>
      <c r="L8" s="8"/>
      <c r="M8" s="8"/>
    </row>
    <row r="9" ht="14.25" customHeight="1">
      <c r="A9" s="7" t="s">
        <v>11</v>
      </c>
      <c r="B9" s="6">
        <v>8261481.360000001</v>
      </c>
      <c r="C9" s="6">
        <v>9400987.565714287</v>
      </c>
      <c r="D9" s="6">
        <v>9741727.740000002</v>
      </c>
      <c r="E9" s="6">
        <v>1.179195466E7</v>
      </c>
      <c r="F9" s="6">
        <v>8033068.005714288</v>
      </c>
      <c r="I9" s="8"/>
      <c r="J9" s="8"/>
      <c r="K9" s="8"/>
      <c r="L9" s="8"/>
      <c r="M9" s="8"/>
    </row>
    <row r="10" ht="14.25" customHeight="1">
      <c r="A10" s="5"/>
      <c r="B10" s="6"/>
      <c r="C10" s="6"/>
      <c r="D10" s="6"/>
      <c r="E10" s="6"/>
      <c r="F10" s="6"/>
    </row>
    <row r="11" ht="14.25" customHeight="1">
      <c r="A11" s="5" t="s">
        <v>12</v>
      </c>
      <c r="B11" s="9">
        <f t="shared" ref="B11:F11" si="1">SUM(B8:B9)</f>
        <v>28915184.76</v>
      </c>
      <c r="C11" s="9">
        <f t="shared" si="1"/>
        <v>32903456.48</v>
      </c>
      <c r="D11" s="9">
        <f t="shared" si="1"/>
        <v>34096047.09</v>
      </c>
      <c r="E11" s="9">
        <f t="shared" si="1"/>
        <v>41271841.31</v>
      </c>
      <c r="F11" s="9">
        <f t="shared" si="1"/>
        <v>28115738.02</v>
      </c>
      <c r="G11" s="10"/>
    </row>
    <row r="12" ht="14.25" customHeight="1">
      <c r="A12" s="5" t="s">
        <v>13</v>
      </c>
      <c r="B12" s="11"/>
      <c r="C12" s="11"/>
      <c r="D12" s="11"/>
      <c r="E12" s="11"/>
      <c r="F12" s="11"/>
    </row>
    <row r="13" ht="14.25" customHeight="1">
      <c r="A13" s="7" t="s">
        <v>13</v>
      </c>
      <c r="B13" s="6">
        <f>24192717.18</f>
        <v>24192717.18</v>
      </c>
      <c r="C13" s="6">
        <f>27354197.71</f>
        <v>27354197.71</v>
      </c>
      <c r="D13" s="6">
        <f>28216238.79</f>
        <v>28216238.79</v>
      </c>
      <c r="E13" s="6">
        <f>34490694.57</f>
        <v>34490694.57</v>
      </c>
      <c r="F13" s="6">
        <f>23215187.13</f>
        <v>23215187.13</v>
      </c>
    </row>
    <row r="14" ht="14.25" customHeight="1">
      <c r="A14" s="5" t="s">
        <v>14</v>
      </c>
      <c r="B14" s="9">
        <f t="shared" ref="B14:F14" si="2">((B12)+(B13))</f>
        <v>24192717.18</v>
      </c>
      <c r="C14" s="9">
        <f t="shared" si="2"/>
        <v>27354197.71</v>
      </c>
      <c r="D14" s="9">
        <f t="shared" si="2"/>
        <v>28216238.79</v>
      </c>
      <c r="E14" s="9">
        <f t="shared" si="2"/>
        <v>34490694.57</v>
      </c>
      <c r="F14" s="9">
        <f t="shared" si="2"/>
        <v>23215187.13</v>
      </c>
    </row>
    <row r="15" ht="14.25" customHeight="1">
      <c r="A15" s="5" t="s">
        <v>15</v>
      </c>
      <c r="B15" s="9">
        <f t="shared" ref="B15:F15" si="3">B14</f>
        <v>24192717.18</v>
      </c>
      <c r="C15" s="9">
        <f t="shared" si="3"/>
        <v>27354197.71</v>
      </c>
      <c r="D15" s="9">
        <f t="shared" si="3"/>
        <v>28216238.79</v>
      </c>
      <c r="E15" s="9">
        <f t="shared" si="3"/>
        <v>34490694.57</v>
      </c>
      <c r="F15" s="9">
        <f t="shared" si="3"/>
        <v>23215187.13</v>
      </c>
    </row>
    <row r="16" ht="14.25" customHeight="1">
      <c r="A16" s="5" t="s">
        <v>16</v>
      </c>
      <c r="B16" s="9">
        <f t="shared" ref="B16:F16" si="4">B11-B15</f>
        <v>4722467.58</v>
      </c>
      <c r="C16" s="9">
        <f t="shared" si="4"/>
        <v>5549258.77</v>
      </c>
      <c r="D16" s="9">
        <f t="shared" si="4"/>
        <v>5879808.3</v>
      </c>
      <c r="E16" s="9">
        <f t="shared" si="4"/>
        <v>6781146.74</v>
      </c>
      <c r="F16" s="9">
        <f t="shared" si="4"/>
        <v>4900550.89</v>
      </c>
    </row>
    <row r="17" ht="14.25" customHeight="1">
      <c r="A17" s="5" t="s">
        <v>17</v>
      </c>
      <c r="B17" s="11"/>
      <c r="C17" s="11"/>
      <c r="D17" s="11"/>
      <c r="E17" s="11"/>
      <c r="F17" s="11"/>
    </row>
    <row r="18" ht="14.25" customHeight="1">
      <c r="A18" s="5" t="s">
        <v>18</v>
      </c>
      <c r="B18" s="6">
        <f>4521</f>
        <v>4521</v>
      </c>
      <c r="C18" s="6">
        <f>4167</f>
        <v>4167</v>
      </c>
      <c r="D18" s="6">
        <f>6291</f>
        <v>6291</v>
      </c>
      <c r="E18" s="6">
        <f>3639.37</f>
        <v>3639.37</v>
      </c>
      <c r="F18" s="6">
        <v>5220.0</v>
      </c>
    </row>
    <row r="19" ht="14.25" customHeight="1">
      <c r="A19" s="5" t="s">
        <v>19</v>
      </c>
      <c r="B19" s="6">
        <v>289151.84760000004</v>
      </c>
      <c r="C19" s="6">
        <v>329034.5648</v>
      </c>
      <c r="D19" s="6">
        <v>340960.4709</v>
      </c>
      <c r="E19" s="6">
        <v>412718.4131</v>
      </c>
      <c r="F19" s="6">
        <v>281157.3802</v>
      </c>
    </row>
    <row r="20" ht="14.25" customHeight="1">
      <c r="A20" s="5" t="s">
        <v>20</v>
      </c>
      <c r="B20" s="11">
        <v>12454.0</v>
      </c>
      <c r="C20" s="11">
        <v>15453.0</v>
      </c>
      <c r="D20" s="6">
        <f>11785.48</f>
        <v>11785.48</v>
      </c>
      <c r="E20" s="6">
        <v>10453.0</v>
      </c>
      <c r="F20" s="6">
        <f>115174.08</f>
        <v>115174.08</v>
      </c>
    </row>
    <row r="21" ht="14.25" customHeight="1">
      <c r="A21" s="5" t="s">
        <v>21</v>
      </c>
      <c r="B21" s="6">
        <f>12100</f>
        <v>12100</v>
      </c>
      <c r="C21" s="11">
        <v>0.0</v>
      </c>
      <c r="D21" s="6">
        <f>5950</f>
        <v>5950</v>
      </c>
      <c r="E21" s="6">
        <f>15105</f>
        <v>15105</v>
      </c>
      <c r="F21" s="6">
        <f>15000</f>
        <v>15000</v>
      </c>
    </row>
    <row r="22" ht="14.25" customHeight="1">
      <c r="A22" s="5" t="s">
        <v>22</v>
      </c>
      <c r="B22" s="6">
        <f>27226.71</f>
        <v>27226.71</v>
      </c>
      <c r="C22" s="6">
        <f>36270.07</f>
        <v>36270.07</v>
      </c>
      <c r="D22" s="6">
        <f>32986.49</f>
        <v>32986.49</v>
      </c>
      <c r="E22" s="6">
        <f>36729.82</f>
        <v>36729.82</v>
      </c>
      <c r="F22" s="6">
        <f>50328.79</f>
        <v>50328.79</v>
      </c>
    </row>
    <row r="23" ht="14.25" customHeight="1">
      <c r="A23" s="5" t="s">
        <v>23</v>
      </c>
      <c r="B23" s="6"/>
      <c r="C23" s="6"/>
      <c r="D23" s="11"/>
      <c r="E23" s="11"/>
      <c r="F23" s="11"/>
    </row>
    <row r="24" ht="14.25" customHeight="1">
      <c r="A24" s="5" t="s">
        <v>24</v>
      </c>
      <c r="B24" s="6">
        <v>120000.0</v>
      </c>
      <c r="C24" s="6">
        <v>120000.0</v>
      </c>
      <c r="D24" s="6">
        <v>120000.0</v>
      </c>
      <c r="E24" s="6">
        <v>120000.0</v>
      </c>
      <c r="F24" s="6">
        <v>120000.0</v>
      </c>
    </row>
    <row r="25" ht="14.25" customHeight="1">
      <c r="A25" s="5" t="s">
        <v>25</v>
      </c>
      <c r="B25" s="6">
        <v>300000.0</v>
      </c>
      <c r="C25" s="6">
        <v>300000.0</v>
      </c>
      <c r="D25" s="6">
        <v>300000.0</v>
      </c>
      <c r="E25" s="6">
        <v>300000.0</v>
      </c>
      <c r="F25" s="6">
        <v>600000.0</v>
      </c>
    </row>
    <row r="26" ht="14.25" customHeight="1">
      <c r="A26" s="5" t="s">
        <v>26</v>
      </c>
      <c r="B26" s="6">
        <v>70000.0</v>
      </c>
      <c r="C26" s="6">
        <v>70000.0</v>
      </c>
      <c r="D26" s="6">
        <v>70000.0</v>
      </c>
      <c r="E26" s="6">
        <v>70000.0</v>
      </c>
      <c r="F26" s="6">
        <v>70000.0</v>
      </c>
      <c r="G26" s="12"/>
    </row>
    <row r="27" ht="14.25" customHeight="1">
      <c r="A27" s="5" t="s">
        <v>27</v>
      </c>
      <c r="B27" s="6">
        <f>15517.71</f>
        <v>15517.71</v>
      </c>
      <c r="C27" s="6">
        <f>15939.65</f>
        <v>15939.65</v>
      </c>
      <c r="D27" s="6">
        <f>17572</f>
        <v>17572</v>
      </c>
      <c r="E27" s="6">
        <f>19774.81</f>
        <v>19774.81</v>
      </c>
      <c r="F27" s="6">
        <v>15535.85</v>
      </c>
    </row>
    <row r="28" ht="14.25" customHeight="1">
      <c r="A28" s="5" t="s">
        <v>28</v>
      </c>
      <c r="B28" s="6">
        <f>7225.08</f>
        <v>7225.08</v>
      </c>
      <c r="C28" s="6">
        <f>38056.4</f>
        <v>38056.4</v>
      </c>
      <c r="D28" s="6">
        <f>46078.79</f>
        <v>46078.79</v>
      </c>
      <c r="E28" s="6">
        <f>44408.88</f>
        <v>44408.88</v>
      </c>
      <c r="F28" s="6">
        <f>48701.35</f>
        <v>48701.35</v>
      </c>
    </row>
    <row r="29" ht="14.25" customHeight="1">
      <c r="A29" s="5" t="s">
        <v>29</v>
      </c>
      <c r="B29" s="9">
        <f t="shared" ref="B29:F29" si="5">((((((((B23)+(B24))+(B25))+(B26))++(B27))+(B28))))</f>
        <v>512742.79</v>
      </c>
      <c r="C29" s="9">
        <f t="shared" si="5"/>
        <v>543996.05</v>
      </c>
      <c r="D29" s="9">
        <f t="shared" si="5"/>
        <v>553650.79</v>
      </c>
      <c r="E29" s="9">
        <f t="shared" si="5"/>
        <v>554183.69</v>
      </c>
      <c r="F29" s="9">
        <f t="shared" si="5"/>
        <v>854237.2</v>
      </c>
    </row>
    <row r="30" ht="14.25" customHeight="1">
      <c r="A30" s="5" t="s">
        <v>30</v>
      </c>
      <c r="B30" s="6">
        <f>45000</f>
        <v>45000</v>
      </c>
      <c r="C30" s="6">
        <f>39498</f>
        <v>39498</v>
      </c>
      <c r="D30" s="6">
        <f>37134</f>
        <v>37134</v>
      </c>
      <c r="E30" s="6">
        <f>37127</f>
        <v>37127</v>
      </c>
      <c r="F30" s="6">
        <f>21788</f>
        <v>21788</v>
      </c>
    </row>
    <row r="31" ht="14.25" customHeight="1">
      <c r="A31" s="5" t="s">
        <v>31</v>
      </c>
      <c r="B31" s="6">
        <v>15786.109999999999</v>
      </c>
      <c r="C31" s="6">
        <v>12035.42</v>
      </c>
      <c r="D31" s="6">
        <v>8316.93</v>
      </c>
      <c r="E31" s="6">
        <v>10888.0</v>
      </c>
      <c r="F31" s="6">
        <v>9039.52</v>
      </c>
    </row>
    <row r="32" ht="14.25" customHeight="1">
      <c r="A32" s="5" t="s">
        <v>32</v>
      </c>
      <c r="B32" s="6">
        <v>14811.240000000002</v>
      </c>
      <c r="C32" s="6">
        <v>44742.12</v>
      </c>
      <c r="D32" s="6">
        <v>24235.9</v>
      </c>
      <c r="E32" s="6">
        <v>18740.56</v>
      </c>
      <c r="F32" s="6">
        <v>19042.99</v>
      </c>
    </row>
    <row r="33" ht="14.25" customHeight="1">
      <c r="A33" s="5" t="s">
        <v>33</v>
      </c>
      <c r="B33" s="6"/>
      <c r="C33" s="6"/>
      <c r="D33" s="6"/>
      <c r="E33" s="6"/>
      <c r="F33" s="6"/>
    </row>
    <row r="34" ht="14.25" customHeight="1">
      <c r="A34" s="5" t="s">
        <v>34</v>
      </c>
      <c r="B34" s="6">
        <f>54804.2</f>
        <v>54804.2</v>
      </c>
      <c r="C34" s="6">
        <f>62882.69</f>
        <v>62882.69</v>
      </c>
      <c r="D34" s="6">
        <f>64287.54</f>
        <v>64287.54</v>
      </c>
      <c r="E34" s="6">
        <f>77439.78</f>
        <v>77439.78</v>
      </c>
      <c r="F34" s="6">
        <f>71421.04</f>
        <v>71421.04</v>
      </c>
    </row>
    <row r="35" ht="14.25" customHeight="1">
      <c r="A35" s="5" t="s">
        <v>35</v>
      </c>
      <c r="B35" s="6">
        <f>1214486.62</f>
        <v>1214486.62</v>
      </c>
      <c r="C35" s="6">
        <f>1220380.91</f>
        <v>1220380.91</v>
      </c>
      <c r="D35" s="6">
        <f>1201376.16</f>
        <v>1201376.16</v>
      </c>
      <c r="E35" s="6">
        <f>1131201.34</f>
        <v>1131201.34</v>
      </c>
      <c r="F35" s="6">
        <f>1131215.31</f>
        <v>1131215.31</v>
      </c>
    </row>
    <row r="36" ht="14.25" customHeight="1">
      <c r="A36" s="5" t="s">
        <v>36</v>
      </c>
      <c r="B36" s="6">
        <f>159162.33</f>
        <v>159162.33</v>
      </c>
      <c r="C36" s="6">
        <f>185632.55</f>
        <v>185632.55</v>
      </c>
      <c r="D36" s="6">
        <f>250751.36</f>
        <v>250751.36</v>
      </c>
      <c r="E36" s="6">
        <f>232500.27</f>
        <v>232500.27</v>
      </c>
      <c r="F36" s="6">
        <f>238215.94</f>
        <v>238215.94</v>
      </c>
    </row>
    <row r="37" ht="14.25" customHeight="1">
      <c r="A37" s="5" t="s">
        <v>37</v>
      </c>
      <c r="B37" s="6">
        <f>381945.4</f>
        <v>381945.4</v>
      </c>
      <c r="C37" s="6">
        <f>432437.74</f>
        <v>432437.74</v>
      </c>
      <c r="D37" s="6">
        <f>509404.67</f>
        <v>509404.67</v>
      </c>
      <c r="E37" s="6">
        <f>514831.54</f>
        <v>514831.54</v>
      </c>
      <c r="F37" s="6">
        <f>512090.38</f>
        <v>512090.38</v>
      </c>
    </row>
    <row r="38" ht="14.25" customHeight="1">
      <c r="A38" s="5" t="s">
        <v>38</v>
      </c>
      <c r="B38" s="6">
        <f>28518.24</f>
        <v>28518.24</v>
      </c>
      <c r="C38" s="6">
        <f>32823.86</f>
        <v>32823.86</v>
      </c>
      <c r="D38" s="6">
        <f>34228.66</f>
        <v>34228.66</v>
      </c>
      <c r="E38" s="6">
        <f>37328.09</f>
        <v>37328.09</v>
      </c>
      <c r="F38" s="6">
        <f>38387.21</f>
        <v>38387.21</v>
      </c>
    </row>
    <row r="39" ht="14.25" customHeight="1">
      <c r="A39" s="5" t="s">
        <v>39</v>
      </c>
      <c r="B39" s="6">
        <v>155923.0</v>
      </c>
      <c r="C39" s="6">
        <f>146913.18</f>
        <v>146913.18</v>
      </c>
      <c r="D39" s="6">
        <f>152019.08</f>
        <v>152019.08</v>
      </c>
      <c r="E39" s="6">
        <f>150207.92</f>
        <v>150207.92</v>
      </c>
      <c r="F39" s="6">
        <v>151244.0</v>
      </c>
    </row>
    <row r="40" ht="14.25" customHeight="1">
      <c r="A40" s="5" t="s">
        <v>40</v>
      </c>
      <c r="B40" s="9">
        <f t="shared" ref="B40:F40" si="6">SUM(B34:B39)</f>
        <v>1994839.79</v>
      </c>
      <c r="C40" s="9">
        <f t="shared" si="6"/>
        <v>2081070.93</v>
      </c>
      <c r="D40" s="9">
        <f t="shared" si="6"/>
        <v>2212067.47</v>
      </c>
      <c r="E40" s="9">
        <f t="shared" si="6"/>
        <v>2143508.94</v>
      </c>
      <c r="F40" s="9">
        <f t="shared" si="6"/>
        <v>2142573.88</v>
      </c>
    </row>
    <row r="41" ht="14.25" customHeight="1">
      <c r="A41" s="5" t="s">
        <v>41</v>
      </c>
      <c r="B41" s="11"/>
      <c r="C41" s="11"/>
      <c r="D41" s="11"/>
      <c r="E41" s="11"/>
      <c r="F41" s="11"/>
    </row>
    <row r="42" ht="14.25" customHeight="1">
      <c r="A42" s="5" t="s">
        <v>42</v>
      </c>
      <c r="B42" s="6">
        <f>25099.96</f>
        <v>25099.96</v>
      </c>
      <c r="C42" s="6">
        <f>84384.43</f>
        <v>84384.43</v>
      </c>
      <c r="D42" s="6">
        <f>39205.27</f>
        <v>39205.27</v>
      </c>
      <c r="E42" s="6">
        <f>59892.69</f>
        <v>59892.69</v>
      </c>
      <c r="F42" s="6">
        <v>51231.0</v>
      </c>
    </row>
    <row r="43" ht="14.25" customHeight="1">
      <c r="A43" s="5" t="s">
        <v>43</v>
      </c>
      <c r="B43" s="6">
        <f>49800</f>
        <v>49800</v>
      </c>
      <c r="C43" s="6">
        <f>48768.5</f>
        <v>48768.5</v>
      </c>
      <c r="D43" s="6">
        <f>51098.64</f>
        <v>51098.64</v>
      </c>
      <c r="E43" s="6">
        <f>49707.31</f>
        <v>49707.31</v>
      </c>
      <c r="F43" s="6">
        <v>50213.0</v>
      </c>
    </row>
    <row r="44" ht="14.25" customHeight="1">
      <c r="A44" s="5" t="s">
        <v>44</v>
      </c>
      <c r="B44" s="6">
        <f>1618.69</f>
        <v>1618.69</v>
      </c>
      <c r="C44" s="6">
        <f>1450.34</f>
        <v>1450.34</v>
      </c>
      <c r="D44" s="6">
        <f t="shared" ref="D44:F44" si="7">1657.3</f>
        <v>1657.3</v>
      </c>
      <c r="E44" s="6">
        <f t="shared" si="7"/>
        <v>1657.3</v>
      </c>
      <c r="F44" s="6">
        <f t="shared" si="7"/>
        <v>1657.3</v>
      </c>
    </row>
    <row r="45" ht="14.25" customHeight="1">
      <c r="A45" s="5" t="s">
        <v>45</v>
      </c>
      <c r="B45" s="6">
        <f t="shared" ref="B45:F45" si="8">4374.99</f>
        <v>4374.99</v>
      </c>
      <c r="C45" s="6">
        <f t="shared" si="8"/>
        <v>4374.99</v>
      </c>
      <c r="D45" s="6">
        <f t="shared" si="8"/>
        <v>4374.99</v>
      </c>
      <c r="E45" s="6">
        <f t="shared" si="8"/>
        <v>4374.99</v>
      </c>
      <c r="F45" s="6">
        <f t="shared" si="8"/>
        <v>4374.99</v>
      </c>
    </row>
    <row r="46" ht="14.25" customHeight="1">
      <c r="A46" s="5" t="s">
        <v>46</v>
      </c>
      <c r="B46" s="9">
        <f t="shared" ref="B46:F46" si="9">SUM(B42:B45)</f>
        <v>80893.64</v>
      </c>
      <c r="C46" s="9">
        <f t="shared" si="9"/>
        <v>138978.26</v>
      </c>
      <c r="D46" s="9">
        <f t="shared" si="9"/>
        <v>96336.2</v>
      </c>
      <c r="E46" s="9">
        <f t="shared" si="9"/>
        <v>115632.29</v>
      </c>
      <c r="F46" s="9">
        <f t="shared" si="9"/>
        <v>107476.29</v>
      </c>
    </row>
    <row r="47" ht="14.25" customHeight="1">
      <c r="A47" s="5" t="s">
        <v>47</v>
      </c>
      <c r="B47" s="6">
        <v>113483.37999999996</v>
      </c>
      <c r="C47" s="6">
        <v>118296.45</v>
      </c>
      <c r="D47" s="6">
        <v>102122.84000000007</v>
      </c>
      <c r="E47" s="6">
        <v>100484.20000000001</v>
      </c>
      <c r="F47" s="6">
        <v>227390.48000000007</v>
      </c>
    </row>
    <row r="48" ht="14.25" customHeight="1">
      <c r="A48" s="5" t="s">
        <v>48</v>
      </c>
      <c r="B48" s="9">
        <f t="shared" ref="B48:F48" si="10">SUM(B18:B22,B29,B30:B32,B40,B46,B47)</f>
        <v>3123010.508</v>
      </c>
      <c r="C48" s="9">
        <f t="shared" si="10"/>
        <v>3363541.865</v>
      </c>
      <c r="D48" s="9">
        <f t="shared" si="10"/>
        <v>3431837.571</v>
      </c>
      <c r="E48" s="9">
        <f t="shared" si="10"/>
        <v>3459210.283</v>
      </c>
      <c r="F48" s="9">
        <f t="shared" si="10"/>
        <v>3848428.61</v>
      </c>
      <c r="G48" s="12"/>
      <c r="H48" s="13"/>
    </row>
    <row r="49" ht="14.25" customHeight="1">
      <c r="A49" s="5" t="s">
        <v>49</v>
      </c>
      <c r="B49" s="9">
        <f t="shared" ref="B49:F49" si="11">(B16)-(B48)</f>
        <v>1599457.072</v>
      </c>
      <c r="C49" s="9">
        <f t="shared" si="11"/>
        <v>2185716.905</v>
      </c>
      <c r="D49" s="9">
        <f t="shared" si="11"/>
        <v>2447970.729</v>
      </c>
      <c r="E49" s="9">
        <f t="shared" si="11"/>
        <v>3321936.457</v>
      </c>
      <c r="F49" s="9">
        <f t="shared" si="11"/>
        <v>1052122.28</v>
      </c>
      <c r="G49" s="13"/>
    </row>
    <row r="50" ht="14.25" customHeight="1">
      <c r="A50" s="5" t="s">
        <v>50</v>
      </c>
      <c r="B50" s="11"/>
      <c r="C50" s="11"/>
      <c r="D50" s="11"/>
      <c r="E50" s="11"/>
      <c r="F50" s="11"/>
    </row>
    <row r="51" ht="14.25" customHeight="1">
      <c r="A51" s="5" t="s">
        <v>51</v>
      </c>
      <c r="B51" s="6">
        <v>85366.37000000001</v>
      </c>
      <c r="C51" s="6">
        <v>85366.37000000001</v>
      </c>
      <c r="D51" s="6">
        <v>85366.37000000001</v>
      </c>
      <c r="E51" s="6">
        <v>85366.37000000001</v>
      </c>
      <c r="F51" s="6">
        <v>85366.37000000001</v>
      </c>
    </row>
    <row r="52" ht="14.25" customHeight="1">
      <c r="A52" s="5" t="s">
        <v>52</v>
      </c>
      <c r="B52" s="6">
        <f t="shared" ref="B52:F52" si="12">305833.32</f>
        <v>305833.32</v>
      </c>
      <c r="C52" s="6">
        <f t="shared" si="12"/>
        <v>305833.32</v>
      </c>
      <c r="D52" s="6">
        <f t="shared" si="12"/>
        <v>305833.32</v>
      </c>
      <c r="E52" s="6">
        <f t="shared" si="12"/>
        <v>305833.32</v>
      </c>
      <c r="F52" s="6">
        <f t="shared" si="12"/>
        <v>305833.32</v>
      </c>
    </row>
    <row r="53" ht="14.25" customHeight="1">
      <c r="A53" s="5" t="s">
        <v>53</v>
      </c>
      <c r="B53" s="6">
        <f>22893.43</f>
        <v>22893.43</v>
      </c>
      <c r="C53" s="6">
        <f>10907.62</f>
        <v>10907.62</v>
      </c>
      <c r="D53" s="6">
        <f>10206.8</f>
        <v>10206.8</v>
      </c>
      <c r="E53" s="6">
        <f>10745.9</f>
        <v>10745.9</v>
      </c>
      <c r="F53" s="6">
        <f>5656.14</f>
        <v>5656.14</v>
      </c>
    </row>
    <row r="54" ht="14.25" customHeight="1">
      <c r="A54" s="5" t="s">
        <v>54</v>
      </c>
      <c r="B54" s="9">
        <f t="shared" ref="B54:F54" si="13">((((((B51)+(B52))+(B53)))))</f>
        <v>414093.12</v>
      </c>
      <c r="C54" s="9">
        <f t="shared" si="13"/>
        <v>402107.31</v>
      </c>
      <c r="D54" s="9">
        <f t="shared" si="13"/>
        <v>401406.49</v>
      </c>
      <c r="E54" s="9">
        <f t="shared" si="13"/>
        <v>401945.59</v>
      </c>
      <c r="F54" s="9">
        <f t="shared" si="13"/>
        <v>396855.83</v>
      </c>
    </row>
    <row r="55" ht="14.25" customHeight="1">
      <c r="A55" s="5" t="s">
        <v>55</v>
      </c>
      <c r="B55" s="14">
        <f t="shared" ref="B55:F55" si="14">B49-B54</f>
        <v>1185363.952</v>
      </c>
      <c r="C55" s="14">
        <f t="shared" si="14"/>
        <v>1783609.595</v>
      </c>
      <c r="D55" s="14">
        <f t="shared" si="14"/>
        <v>2046564.239</v>
      </c>
      <c r="E55" s="14">
        <f t="shared" si="14"/>
        <v>2919990.867</v>
      </c>
      <c r="F55" s="14">
        <f t="shared" si="14"/>
        <v>655266.4498</v>
      </c>
      <c r="G55" s="12"/>
    </row>
    <row r="56" ht="14.25" customHeight="1">
      <c r="A56" s="5"/>
      <c r="B56" s="11"/>
      <c r="C56" s="11"/>
      <c r="D56" s="11"/>
      <c r="E56" s="11"/>
      <c r="F56" s="11"/>
      <c r="G56" s="13"/>
    </row>
    <row r="57" ht="14.25" customHeight="1"/>
    <row r="58" ht="14.25" customHeight="1"/>
    <row r="59" ht="14.25" customHeight="1">
      <c r="A59" s="15"/>
    </row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F1"/>
    <mergeCell ref="A2:F2"/>
    <mergeCell ref="A3:F3"/>
    <mergeCell ref="A4:F4"/>
    <mergeCell ref="A59:F59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2023-04-10T22:04:57Z</dcterms:created>
  <dc:creator>Apache POI</dc:creator>
</cp:coreProperties>
</file>