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9A16C505-C229-4220-8529-828C3B9CC19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1 (2)" sheetId="3" r:id="rId2"/>
    <sheet name="Sheet1 (3)" sheetId="4" r:id="rId3"/>
    <sheet name="Sheet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2" i="3" l="1"/>
  <c r="C43" i="3"/>
  <c r="C251" i="3"/>
  <c r="C256" i="3" s="1"/>
  <c r="C234" i="3"/>
  <c r="C237" i="3" s="1"/>
  <c r="C233" i="3"/>
  <c r="C207" i="3"/>
  <c r="C209" i="3" s="1"/>
  <c r="C214" i="3" s="1"/>
  <c r="C217" i="3" s="1"/>
  <c r="C204" i="3"/>
  <c r="C199" i="3"/>
  <c r="E199" i="3" s="1"/>
  <c r="C201" i="3" s="1"/>
  <c r="C197" i="3"/>
  <c r="C180" i="3"/>
  <c r="C183" i="3" s="1"/>
  <c r="C185" i="3" s="1"/>
  <c r="C164" i="3"/>
  <c r="C163" i="3"/>
  <c r="C168" i="3" s="1"/>
  <c r="C172" i="3" s="1"/>
  <c r="C174" i="3" s="1"/>
  <c r="H126" i="3"/>
  <c r="E148" i="3"/>
  <c r="D112" i="3"/>
  <c r="E137" i="4"/>
  <c r="E138" i="4" s="1"/>
  <c r="C129" i="4"/>
  <c r="C132" i="4" s="1"/>
  <c r="D124" i="4"/>
  <c r="D122" i="4"/>
  <c r="I83" i="4"/>
  <c r="I79" i="4"/>
  <c r="J75" i="4"/>
  <c r="J73" i="4"/>
  <c r="D73" i="4"/>
  <c r="D71" i="4"/>
  <c r="D77" i="4" s="1"/>
  <c r="H64" i="4"/>
  <c r="I67" i="4" s="1"/>
  <c r="H53" i="4"/>
  <c r="H52" i="4"/>
  <c r="E51" i="4"/>
  <c r="C45" i="4"/>
  <c r="C44" i="4"/>
  <c r="C46" i="4" s="1"/>
  <c r="C43" i="4"/>
  <c r="C40" i="4"/>
  <c r="C35" i="4"/>
  <c r="C21" i="4"/>
  <c r="C20" i="4"/>
  <c r="C18" i="4"/>
  <c r="E137" i="3"/>
  <c r="E138" i="3" s="1"/>
  <c r="E139" i="3" s="1"/>
  <c r="E141" i="3" s="1"/>
  <c r="C129" i="3"/>
  <c r="C132" i="3" s="1"/>
  <c r="D124" i="3"/>
  <c r="H64" i="3"/>
  <c r="C106" i="3" s="1"/>
  <c r="I83" i="3"/>
  <c r="I79" i="3"/>
  <c r="J75" i="3"/>
  <c r="D73" i="3"/>
  <c r="J73" i="3"/>
  <c r="D71" i="3"/>
  <c r="H53" i="3"/>
  <c r="H52" i="3"/>
  <c r="E51" i="3"/>
  <c r="C45" i="3"/>
  <c r="C44" i="3"/>
  <c r="C40" i="3"/>
  <c r="C35" i="3"/>
  <c r="C21" i="3"/>
  <c r="C20" i="3"/>
  <c r="C18" i="3"/>
  <c r="H53" i="1"/>
  <c r="H52" i="1"/>
  <c r="I84" i="1"/>
  <c r="I80" i="1"/>
  <c r="J76" i="1"/>
  <c r="J74" i="1"/>
  <c r="I78" i="1" s="1"/>
  <c r="H65" i="1"/>
  <c r="I68" i="1" s="1"/>
  <c r="D73" i="1"/>
  <c r="I77" i="4" l="1"/>
  <c r="C46" i="3"/>
  <c r="C48" i="3" s="1"/>
  <c r="C56" i="3" s="1"/>
  <c r="C288" i="3"/>
  <c r="C291" i="3" s="1"/>
  <c r="D165" i="3"/>
  <c r="I67" i="3"/>
  <c r="C48" i="4"/>
  <c r="C56" i="4" s="1"/>
  <c r="C254" i="3"/>
  <c r="C259" i="3" s="1"/>
  <c r="C211" i="3"/>
  <c r="C221" i="3" s="1"/>
  <c r="E142" i="3"/>
  <c r="C145" i="3" s="1"/>
  <c r="D77" i="3"/>
  <c r="C192" i="3"/>
  <c r="E129" i="3"/>
  <c r="C152" i="3" s="1"/>
  <c r="E142" i="4"/>
  <c r="E139" i="4"/>
  <c r="E141" i="4" s="1"/>
  <c r="N57" i="4"/>
  <c r="M5" i="4"/>
  <c r="C106" i="4"/>
  <c r="I77" i="3"/>
  <c r="M5" i="3"/>
  <c r="D71" i="1"/>
  <c r="D77" i="1" s="1"/>
  <c r="E51" i="1"/>
  <c r="C45" i="1"/>
  <c r="C44" i="1"/>
  <c r="C43" i="1"/>
  <c r="C40" i="1"/>
  <c r="M5" i="1" s="1"/>
  <c r="K82" i="1" s="1"/>
  <c r="J90" i="1" s="1"/>
  <c r="I92" i="1" s="1"/>
  <c r="I94" i="1" s="1"/>
  <c r="C35" i="1"/>
  <c r="C21" i="1"/>
  <c r="C20" i="1"/>
  <c r="C18" i="1"/>
  <c r="K81" i="4" l="1"/>
  <c r="J89" i="4" s="1"/>
  <c r="I91" i="4" s="1"/>
  <c r="I93" i="4" s="1"/>
  <c r="I95" i="4" s="1"/>
  <c r="I97" i="4" s="1"/>
  <c r="K81" i="3"/>
  <c r="J89" i="3" s="1"/>
  <c r="I91" i="3" s="1"/>
  <c r="I93" i="3" s="1"/>
  <c r="I95" i="3" s="1"/>
  <c r="I97" i="3" s="1"/>
  <c r="I96" i="1"/>
  <c r="I98" i="1" s="1"/>
  <c r="N57" i="3"/>
  <c r="I58" i="3" s="1"/>
  <c r="C261" i="3"/>
  <c r="C267" i="3"/>
  <c r="C274" i="3" s="1"/>
  <c r="C240" i="3"/>
  <c r="C223" i="3"/>
  <c r="C46" i="1"/>
  <c r="C48" i="1" s="1"/>
  <c r="C226" i="3"/>
  <c r="C263" i="3" s="1"/>
  <c r="C265" i="3" s="1"/>
  <c r="C270" i="3" s="1"/>
  <c r="D108" i="4"/>
  <c r="I58" i="4"/>
  <c r="C56" i="1" l="1"/>
  <c r="I59" i="1" s="1"/>
  <c r="D108" i="3"/>
  <c r="C228" i="3"/>
  <c r="C231" i="3" s="1"/>
  <c r="C245" i="3" s="1"/>
  <c r="C248" i="3" s="1"/>
  <c r="C296" i="3" s="1"/>
  <c r="C272" i="3"/>
  <c r="C277" i="3" s="1"/>
  <c r="C279" i="3" s="1"/>
  <c r="D109" i="4"/>
  <c r="D110" i="4"/>
  <c r="D109" i="3" l="1"/>
  <c r="D110" i="3"/>
  <c r="D111" i="4"/>
  <c r="D111" i="3" l="1"/>
</calcChain>
</file>

<file path=xl/sharedStrings.xml><?xml version="1.0" encoding="utf-8"?>
<sst xmlns="http://schemas.openxmlformats.org/spreadsheetml/2006/main" count="593" uniqueCount="221">
  <si>
    <t>Given:</t>
  </si>
  <si>
    <t>kg/s</t>
  </si>
  <si>
    <t>T_h_in</t>
  </si>
  <si>
    <t>°C</t>
  </si>
  <si>
    <t>T_h_out</t>
  </si>
  <si>
    <t>T_c_in</t>
  </si>
  <si>
    <t>T_c_out</t>
  </si>
  <si>
    <t>Design tolerance &lt; 5%</t>
  </si>
  <si>
    <t>Tube side pressure drop &lt; 10 psi</t>
  </si>
  <si>
    <t>Overdesigned area tolerance &lt; 10%</t>
  </si>
  <si>
    <t>Process requirements:</t>
  </si>
  <si>
    <t>Mass flow rate of heavy naphtha</t>
  </si>
  <si>
    <t>Enthalpy balance:</t>
  </si>
  <si>
    <t>Calorific temperature:</t>
  </si>
  <si>
    <t>r</t>
  </si>
  <si>
    <t>R</t>
  </si>
  <si>
    <t>S</t>
  </si>
  <si>
    <t>From graph</t>
  </si>
  <si>
    <t>F_t</t>
  </si>
  <si>
    <t>API of heavy naphtha</t>
  </si>
  <si>
    <t>API of water</t>
  </si>
  <si>
    <t>K_c</t>
  </si>
  <si>
    <t>F_c</t>
  </si>
  <si>
    <t>C_p of naphtha</t>
  </si>
  <si>
    <t>Calorific temperature</t>
  </si>
  <si>
    <t>Q</t>
  </si>
  <si>
    <t>U_assume</t>
  </si>
  <si>
    <t>N_t</t>
  </si>
  <si>
    <t>LMTD</t>
  </si>
  <si>
    <t>del_T_1</t>
  </si>
  <si>
    <t>del_T_2</t>
  </si>
  <si>
    <t>Area</t>
  </si>
  <si>
    <t>m2</t>
  </si>
  <si>
    <t>Assuming :</t>
  </si>
  <si>
    <t>L</t>
  </si>
  <si>
    <t>ft</t>
  </si>
  <si>
    <t>m</t>
  </si>
  <si>
    <t>d_i</t>
  </si>
  <si>
    <t>inch</t>
  </si>
  <si>
    <t>d_o</t>
  </si>
  <si>
    <t>Number of tubes</t>
  </si>
  <si>
    <t>n_t</t>
  </si>
  <si>
    <t>approx</t>
  </si>
  <si>
    <t>Standard tubes available</t>
  </si>
  <si>
    <t>No. of tube passes</t>
  </si>
  <si>
    <t>No. of shell passes</t>
  </si>
  <si>
    <t>Shell ID</t>
  </si>
  <si>
    <t>Square pitch</t>
  </si>
  <si>
    <t>Tube side Reynold's no.</t>
  </si>
  <si>
    <t>Re_tube</t>
  </si>
  <si>
    <t>mu of naphtha</t>
  </si>
  <si>
    <t>cP</t>
  </si>
  <si>
    <t>Tube side heat transfer coefficient</t>
  </si>
  <si>
    <t>h_i</t>
  </si>
  <si>
    <t>Prandtl no.</t>
  </si>
  <si>
    <t>k of naphtha</t>
  </si>
  <si>
    <t>Shell side heat transfer coeffcient</t>
  </si>
  <si>
    <t>Re</t>
  </si>
  <si>
    <t>Mass flow rate of water</t>
  </si>
  <si>
    <t>C_p of water</t>
  </si>
  <si>
    <t>J/kg/K</t>
  </si>
  <si>
    <t>Density of water</t>
  </si>
  <si>
    <r>
      <t>g/cm</t>
    </r>
    <r>
      <rPr>
        <vertAlign val="superscript"/>
        <sz val="11"/>
        <color theme="1"/>
        <rFont val="Calibri"/>
        <family val="2"/>
        <scheme val="minor"/>
      </rPr>
      <t>3</t>
    </r>
  </si>
  <si>
    <t>mu of water</t>
  </si>
  <si>
    <t>1st iteration</t>
  </si>
  <si>
    <t>tube side reynold number</t>
  </si>
  <si>
    <t>tube side heat transfer coefficient</t>
  </si>
  <si>
    <t>shell side reynold number</t>
  </si>
  <si>
    <t>D_s</t>
  </si>
  <si>
    <r>
      <t>W/m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K</t>
    </r>
  </si>
  <si>
    <t>P_t</t>
  </si>
  <si>
    <t>Tube clearance</t>
  </si>
  <si>
    <t>Baffle spacing, B</t>
  </si>
  <si>
    <t>a_s</t>
  </si>
  <si>
    <t>D_eq</t>
  </si>
  <si>
    <t>R_d_o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</si>
  <si>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K/W</t>
    </r>
  </si>
  <si>
    <t>R_d_i</t>
  </si>
  <si>
    <t>Tube material: Carbon-steel</t>
  </si>
  <si>
    <t>k_wall</t>
  </si>
  <si>
    <t>W/mK</t>
  </si>
  <si>
    <t>Colburn factor</t>
  </si>
  <si>
    <t>k of water</t>
  </si>
  <si>
    <t>h_o</t>
  </si>
  <si>
    <t>1/ho+Rdi</t>
  </si>
  <si>
    <t>A_i</t>
  </si>
  <si>
    <t>A_o</t>
  </si>
  <si>
    <t>U_calculated</t>
  </si>
  <si>
    <t>Rel error %</t>
  </si>
  <si>
    <t>U_assumed</t>
  </si>
  <si>
    <t>2nd iteration</t>
  </si>
  <si>
    <t>Relative error is less than 5%, so we don't need any further iterations</t>
  </si>
  <si>
    <t>Pressure drop</t>
  </si>
  <si>
    <t>n_t_final</t>
  </si>
  <si>
    <t>R_e_tube</t>
  </si>
  <si>
    <t>Friction factor</t>
  </si>
  <si>
    <t>(from Moody diagram)</t>
  </si>
  <si>
    <t>Tube side velocity, v_t</t>
  </si>
  <si>
    <t>Density of naphtha</t>
  </si>
  <si>
    <t>kg/m3</t>
  </si>
  <si>
    <t>m/s</t>
  </si>
  <si>
    <t>del_P_f</t>
  </si>
  <si>
    <t>del_P_r</t>
  </si>
  <si>
    <t>del_P_total</t>
  </si>
  <si>
    <t>Pa</t>
  </si>
  <si>
    <t>psi</t>
  </si>
  <si>
    <t>Mechanical design</t>
  </si>
  <si>
    <t>Overdesign</t>
  </si>
  <si>
    <t>Shell side passes</t>
  </si>
  <si>
    <t>Tube side passes</t>
  </si>
  <si>
    <t xml:space="preserve">Tube material </t>
  </si>
  <si>
    <t>Carbon-steel</t>
  </si>
  <si>
    <t>Pitch</t>
  </si>
  <si>
    <t>Carbon steel corrosion allowance, c</t>
  </si>
  <si>
    <t>mm</t>
  </si>
  <si>
    <t>Design temperature</t>
  </si>
  <si>
    <t>deg F</t>
  </si>
  <si>
    <t>Design pressure</t>
  </si>
  <si>
    <t>P_operating</t>
  </si>
  <si>
    <t>Permissible stress</t>
  </si>
  <si>
    <t>N/mm2</t>
  </si>
  <si>
    <t>(carbon steel)</t>
  </si>
  <si>
    <t>Shell thickness calculation</t>
  </si>
  <si>
    <t>P</t>
  </si>
  <si>
    <t>J</t>
  </si>
  <si>
    <t>t_s</t>
  </si>
  <si>
    <t>(standard)</t>
  </si>
  <si>
    <t xml:space="preserve">Shell cover </t>
  </si>
  <si>
    <t>Crown radius, R_i</t>
  </si>
  <si>
    <t>Knuckle radius, r_i</t>
  </si>
  <si>
    <t>Inside depth of the head, h_i</t>
  </si>
  <si>
    <t>Effective exchanger length, L_eff</t>
  </si>
  <si>
    <t>w</t>
  </si>
  <si>
    <t>For head design, J=1</t>
  </si>
  <si>
    <t>t_h</t>
  </si>
  <si>
    <t>(Segmental baffle)</t>
  </si>
  <si>
    <t>For head design,</t>
  </si>
  <si>
    <t>Standard available thickness</t>
  </si>
  <si>
    <t>Standard available thickness, t_h</t>
  </si>
  <si>
    <t>Outside shell diameter, D_c</t>
  </si>
  <si>
    <t>c_1</t>
  </si>
  <si>
    <t>(Cover is bolted with narrow faced, or ring type gaskets)</t>
  </si>
  <si>
    <r>
      <t>kgf/cm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</si>
  <si>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kgf/mm</t>
    </r>
    <r>
      <rPr>
        <vertAlign val="superscript"/>
        <sz val="11"/>
        <color theme="1"/>
        <rFont val="Calibri"/>
        <family val="2"/>
        <scheme val="minor"/>
      </rPr>
      <t>2</t>
    </r>
  </si>
  <si>
    <t>t_c_o</t>
  </si>
  <si>
    <t>Standard availbale thickness, t_c_o</t>
  </si>
  <si>
    <t>Thickness of Pass Partition Plate</t>
  </si>
  <si>
    <t>Since D_c&lt;600mm, thickness of pass partition plate</t>
  </si>
  <si>
    <t>Tube sheet thickness</t>
  </si>
  <si>
    <t>F</t>
  </si>
  <si>
    <t>(fixed tube sheet)</t>
  </si>
  <si>
    <t>G_p</t>
  </si>
  <si>
    <t>K</t>
  </si>
  <si>
    <t>Effective pressure, P</t>
  </si>
  <si>
    <r>
      <t>N/mm</t>
    </r>
    <r>
      <rPr>
        <vertAlign val="superscript"/>
        <sz val="11"/>
        <color theme="1"/>
        <rFont val="Calibri"/>
        <family val="2"/>
        <scheme val="minor"/>
      </rPr>
      <t>2</t>
    </r>
  </si>
  <si>
    <t>Min. tube thickness for resist bending</t>
  </si>
  <si>
    <t>t_ts</t>
  </si>
  <si>
    <t>Shell dia</t>
  </si>
  <si>
    <t>&lt;= 500 mm</t>
  </si>
  <si>
    <t>T_design</t>
  </si>
  <si>
    <t>Add corrosion allowance</t>
  </si>
  <si>
    <t>Impingment plate</t>
  </si>
  <si>
    <t>Rho</t>
  </si>
  <si>
    <t>Linear velocity of tube fluid, U_tube</t>
  </si>
  <si>
    <t>Nozzle dia, D_h</t>
  </si>
  <si>
    <r>
      <t>Rho*u</t>
    </r>
    <r>
      <rPr>
        <vertAlign val="superscript"/>
        <sz val="11"/>
        <color theme="1"/>
        <rFont val="Calibri"/>
        <family val="2"/>
        <scheme val="minor"/>
      </rPr>
      <t>2</t>
    </r>
  </si>
  <si>
    <r>
      <t>&lt;&lt;125 g/cm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</si>
  <si>
    <t>Protection against impingment is not reqd.</t>
  </si>
  <si>
    <t>Nozzle thickness (t_n)</t>
  </si>
  <si>
    <t>t_n</t>
  </si>
  <si>
    <t>Design of gaskets</t>
  </si>
  <si>
    <t>Gasket factor, m</t>
  </si>
  <si>
    <t>Max design seating stress, Y</t>
  </si>
  <si>
    <t>kgf/mm2</t>
  </si>
  <si>
    <t>D_og/D_ig</t>
  </si>
  <si>
    <t>Inside gasket dia, D_ig</t>
  </si>
  <si>
    <t>Outside gasket dia, D_og</t>
  </si>
  <si>
    <t>Gasket width, N</t>
  </si>
  <si>
    <t>Basic gasket seating width, b_o</t>
  </si>
  <si>
    <t>Effective gasket seating width, b</t>
  </si>
  <si>
    <t>Bolts</t>
  </si>
  <si>
    <t>G</t>
  </si>
  <si>
    <t>Mean gasket dia, G</t>
  </si>
  <si>
    <t>Bolt load due to gasket at atmospheric conditions, w_m</t>
  </si>
  <si>
    <t>N</t>
  </si>
  <si>
    <t>Bolt load under tight pressure, w_m_2</t>
  </si>
  <si>
    <t>Controlling load</t>
  </si>
  <si>
    <t>Min bolt cross sectional area, A_m</t>
  </si>
  <si>
    <r>
      <t>mm</t>
    </r>
    <r>
      <rPr>
        <vertAlign val="superscript"/>
        <sz val="11"/>
        <color theme="1"/>
        <rFont val="Calibri"/>
        <family val="2"/>
        <scheme val="minor"/>
      </rPr>
      <t>2</t>
    </r>
  </si>
  <si>
    <t>Bolt circle dia, C_b</t>
  </si>
  <si>
    <t>No. of bolts, n_b</t>
  </si>
  <si>
    <t>Root diameter, D_br</t>
  </si>
  <si>
    <t>Actual bolt cross sectional area, A_b</t>
  </si>
  <si>
    <t>Min bolt cross sectional area, N_min</t>
  </si>
  <si>
    <t>Flange thickness</t>
  </si>
  <si>
    <t>Gasket seating condition, W</t>
  </si>
  <si>
    <t>N.mm</t>
  </si>
  <si>
    <t>For operating condition,</t>
  </si>
  <si>
    <t>B</t>
  </si>
  <si>
    <t>Moment due to H_d, M_d</t>
  </si>
  <si>
    <t>h_d</t>
  </si>
  <si>
    <t>Hydrostatic and force on area inside of flange, H_d</t>
  </si>
  <si>
    <t>H</t>
  </si>
  <si>
    <t>W</t>
  </si>
  <si>
    <t>H_g</t>
  </si>
  <si>
    <t>h_g</t>
  </si>
  <si>
    <t>Moment due to H_g, M_g</t>
  </si>
  <si>
    <t>A</t>
  </si>
  <si>
    <t>For flange,</t>
  </si>
  <si>
    <t>Y</t>
  </si>
  <si>
    <t>H_t</t>
  </si>
  <si>
    <t>h_t</t>
  </si>
  <si>
    <t>Moment due to H_t, M_t</t>
  </si>
  <si>
    <t>M_f</t>
  </si>
  <si>
    <t>Flange moment, M_f'</t>
  </si>
  <si>
    <t>Sinve M_f' &gt; M_f</t>
  </si>
  <si>
    <t>Controlling moment, M=M_f'</t>
  </si>
  <si>
    <t>On graph fitting,</t>
  </si>
  <si>
    <t>t_f</t>
  </si>
  <si>
    <t>convert your inlet temperature of napth to fahrenheit</t>
  </si>
  <si>
    <t>3rd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</si>
</sst>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202124"/>
      <name val="Arial"/>
      <family val="2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98"/>
  <sheetViews>
    <sheetView topLeftCell="A60" workbookViewId="0">
      <selection activeCell="C60" sqref="C60"/>
    </sheetView>
  </sheetViews>
  <sheetFormatPr defaultRowHeight="14.5" x14ac:dyDescent="0.35"/>
  <cols>
    <col min="2" max="2" width="10.6328125" customWidth="1"/>
  </cols>
  <sheetData>
    <row r="3" spans="2:14" x14ac:dyDescent="0.35">
      <c r="B3" s="2" t="s">
        <v>0</v>
      </c>
    </row>
    <row r="4" spans="2:14" x14ac:dyDescent="0.35">
      <c r="B4" s="3" t="s">
        <v>11</v>
      </c>
      <c r="C4" s="3"/>
      <c r="D4" s="3"/>
      <c r="E4" s="3"/>
      <c r="G4" s="3" t="s">
        <v>23</v>
      </c>
      <c r="H4" s="3"/>
      <c r="I4" t="s">
        <v>55</v>
      </c>
      <c r="L4" t="s">
        <v>58</v>
      </c>
    </row>
    <row r="5" spans="2:14" x14ac:dyDescent="0.35">
      <c r="C5">
        <v>1.98</v>
      </c>
      <c r="D5" t="s">
        <v>1</v>
      </c>
      <c r="G5">
        <v>2036.9949999999999</v>
      </c>
      <c r="H5" t="s">
        <v>60</v>
      </c>
      <c r="J5">
        <v>0.15</v>
      </c>
      <c r="M5">
        <f>C40/(G8*(C10-C9))</f>
        <v>1.4672568045685279</v>
      </c>
      <c r="N5" t="s">
        <v>1</v>
      </c>
    </row>
    <row r="7" spans="2:14" x14ac:dyDescent="0.35">
      <c r="B7" t="s">
        <v>2</v>
      </c>
      <c r="C7">
        <v>76.5</v>
      </c>
      <c r="D7" s="1" t="s">
        <v>3</v>
      </c>
      <c r="G7" t="s">
        <v>59</v>
      </c>
      <c r="I7" t="s">
        <v>82</v>
      </c>
    </row>
    <row r="8" spans="2:14" x14ac:dyDescent="0.35">
      <c r="B8" t="s">
        <v>4</v>
      </c>
      <c r="C8">
        <v>55</v>
      </c>
      <c r="D8" s="1" t="s">
        <v>3</v>
      </c>
      <c r="G8">
        <v>3940</v>
      </c>
      <c r="H8" t="s">
        <v>60</v>
      </c>
      <c r="J8">
        <v>0.59799999999999998</v>
      </c>
    </row>
    <row r="9" spans="2:14" x14ac:dyDescent="0.35">
      <c r="B9" t="s">
        <v>5</v>
      </c>
      <c r="C9">
        <v>27</v>
      </c>
      <c r="D9" s="1" t="s">
        <v>3</v>
      </c>
    </row>
    <row r="10" spans="2:14" x14ac:dyDescent="0.35">
      <c r="B10" t="s">
        <v>6</v>
      </c>
      <c r="C10">
        <v>42</v>
      </c>
      <c r="D10" s="1" t="s">
        <v>3</v>
      </c>
      <c r="G10" t="s">
        <v>50</v>
      </c>
      <c r="I10" t="s">
        <v>63</v>
      </c>
    </row>
    <row r="11" spans="2:14" x14ac:dyDescent="0.35">
      <c r="G11">
        <v>0.73299999999999998</v>
      </c>
      <c r="H11" t="s">
        <v>51</v>
      </c>
      <c r="I11">
        <v>0.4138</v>
      </c>
      <c r="J11" t="s">
        <v>51</v>
      </c>
    </row>
    <row r="12" spans="2:14" x14ac:dyDescent="0.35">
      <c r="B12" s="4" t="s">
        <v>10</v>
      </c>
      <c r="C12" s="4"/>
      <c r="D12" s="4"/>
    </row>
    <row r="13" spans="2:14" x14ac:dyDescent="0.35">
      <c r="B13" t="s">
        <v>7</v>
      </c>
      <c r="G13" t="s">
        <v>61</v>
      </c>
    </row>
    <row r="14" spans="2:14" ht="16.5" x14ac:dyDescent="0.35">
      <c r="B14" t="s">
        <v>8</v>
      </c>
      <c r="G14">
        <v>0.97699999999999998</v>
      </c>
      <c r="H14" t="s">
        <v>62</v>
      </c>
    </row>
    <row r="15" spans="2:14" x14ac:dyDescent="0.35">
      <c r="B15" t="s">
        <v>9</v>
      </c>
    </row>
    <row r="17" spans="2:4" x14ac:dyDescent="0.35">
      <c r="B17" s="4" t="s">
        <v>13</v>
      </c>
      <c r="C17" s="4"/>
      <c r="D17" s="4"/>
    </row>
    <row r="18" spans="2:4" x14ac:dyDescent="0.35">
      <c r="B18" t="s">
        <v>14</v>
      </c>
      <c r="C18">
        <f>(C8-C9)/(C7-C10)</f>
        <v>0.81159420289855078</v>
      </c>
    </row>
    <row r="20" spans="2:4" x14ac:dyDescent="0.35">
      <c r="B20" t="s">
        <v>15</v>
      </c>
      <c r="C20">
        <f>(C7-C8)/(C10-C9)</f>
        <v>1.4333333333333333</v>
      </c>
    </row>
    <row r="21" spans="2:4" x14ac:dyDescent="0.35">
      <c r="B21" t="s">
        <v>16</v>
      </c>
      <c r="C21">
        <f>(C10-C9)/(C7-C9)</f>
        <v>0.30303030303030304</v>
      </c>
    </row>
    <row r="23" spans="2:4" x14ac:dyDescent="0.35">
      <c r="B23" s="3" t="s">
        <v>19</v>
      </c>
      <c r="C23" s="3"/>
    </row>
    <row r="24" spans="2:4" x14ac:dyDescent="0.35">
      <c r="C24">
        <v>47.3</v>
      </c>
    </row>
    <row r="25" spans="2:4" x14ac:dyDescent="0.35">
      <c r="B25" t="s">
        <v>20</v>
      </c>
    </row>
    <row r="26" spans="2:4" x14ac:dyDescent="0.35">
      <c r="C26">
        <v>10</v>
      </c>
    </row>
    <row r="29" spans="2:4" x14ac:dyDescent="0.35">
      <c r="B29" t="s">
        <v>17</v>
      </c>
    </row>
    <row r="30" spans="2:4" x14ac:dyDescent="0.35">
      <c r="B30" t="s">
        <v>18</v>
      </c>
      <c r="C30">
        <v>0.94</v>
      </c>
    </row>
    <row r="31" spans="2:4" x14ac:dyDescent="0.35">
      <c r="B31" t="s">
        <v>21</v>
      </c>
      <c r="C31">
        <v>0.1</v>
      </c>
    </row>
    <row r="32" spans="2:4" x14ac:dyDescent="0.35">
      <c r="B32" t="s">
        <v>22</v>
      </c>
      <c r="C32">
        <v>0.44</v>
      </c>
    </row>
    <row r="34" spans="2:4" x14ac:dyDescent="0.35">
      <c r="B34" s="2" t="s">
        <v>24</v>
      </c>
    </row>
    <row r="35" spans="2:4" x14ac:dyDescent="0.35">
      <c r="C35">
        <f>(C8+C32*(C7-C8))</f>
        <v>64.460000000000008</v>
      </c>
    </row>
    <row r="39" spans="2:4" x14ac:dyDescent="0.35">
      <c r="B39" s="4" t="s">
        <v>12</v>
      </c>
      <c r="C39" s="4"/>
    </row>
    <row r="40" spans="2:4" x14ac:dyDescent="0.35">
      <c r="B40" t="s">
        <v>25</v>
      </c>
      <c r="C40">
        <f>(C5*(C7-C8)*G5)</f>
        <v>86714.87715</v>
      </c>
    </row>
    <row r="43" spans="2:4" x14ac:dyDescent="0.35">
      <c r="B43" t="s">
        <v>26</v>
      </c>
      <c r="C43">
        <f>496.848</f>
        <v>496.84800000000001</v>
      </c>
    </row>
    <row r="44" spans="2:4" x14ac:dyDescent="0.35">
      <c r="B44" t="s">
        <v>29</v>
      </c>
      <c r="C44">
        <f>C7-C10</f>
        <v>34.5</v>
      </c>
    </row>
    <row r="45" spans="2:4" x14ac:dyDescent="0.35">
      <c r="B45" t="s">
        <v>30</v>
      </c>
      <c r="C45">
        <f>C8-C9</f>
        <v>28</v>
      </c>
    </row>
    <row r="46" spans="2:4" x14ac:dyDescent="0.35">
      <c r="B46" t="s">
        <v>28</v>
      </c>
      <c r="C46">
        <f>(C44-C45)/LN(C44/C45)</f>
        <v>31.137006518534587</v>
      </c>
    </row>
    <row r="48" spans="2:4" x14ac:dyDescent="0.35">
      <c r="B48" t="s">
        <v>31</v>
      </c>
      <c r="C48">
        <f>C40/(C43*C46*C30)</f>
        <v>5.9630075058715164</v>
      </c>
      <c r="D48" t="s">
        <v>32</v>
      </c>
    </row>
    <row r="50" spans="2:11" x14ac:dyDescent="0.35">
      <c r="B50" t="s">
        <v>33</v>
      </c>
    </row>
    <row r="51" spans="2:11" x14ac:dyDescent="0.35">
      <c r="B51" t="s">
        <v>34</v>
      </c>
      <c r="C51">
        <v>20</v>
      </c>
      <c r="D51" t="s">
        <v>35</v>
      </c>
      <c r="E51">
        <f>6.096</f>
        <v>6.0960000000000001</v>
      </c>
      <c r="F51" t="s">
        <v>36</v>
      </c>
    </row>
    <row r="52" spans="2:11" x14ac:dyDescent="0.35">
      <c r="B52" t="s">
        <v>37</v>
      </c>
      <c r="C52">
        <v>0.67</v>
      </c>
      <c r="D52" t="s">
        <v>38</v>
      </c>
      <c r="E52">
        <v>1.7017999999999998E-2</v>
      </c>
      <c r="F52" t="s">
        <v>36</v>
      </c>
      <c r="G52" t="s">
        <v>85</v>
      </c>
      <c r="H52">
        <f>PI()/4*E52*E52</f>
        <v>2.274609873668667E-4</v>
      </c>
    </row>
    <row r="53" spans="2:11" x14ac:dyDescent="0.35">
      <c r="B53" t="s">
        <v>39</v>
      </c>
      <c r="C53">
        <v>1</v>
      </c>
      <c r="D53" t="s">
        <v>38</v>
      </c>
      <c r="E53">
        <v>2.5399999999999999E-2</v>
      </c>
      <c r="F53" t="s">
        <v>36</v>
      </c>
      <c r="G53" t="s">
        <v>86</v>
      </c>
      <c r="H53">
        <f>PI()/4*(E53*E53-E52*E52)</f>
        <v>2.7924649173063102E-4</v>
      </c>
    </row>
    <row r="55" spans="2:11" x14ac:dyDescent="0.35">
      <c r="B55" t="s">
        <v>40</v>
      </c>
    </row>
    <row r="56" spans="2:11" ht="16.5" x14ac:dyDescent="0.35">
      <c r="B56" t="s">
        <v>41</v>
      </c>
      <c r="C56">
        <f>C48/(PI()*E53*E51)</f>
        <v>12.25848523691185</v>
      </c>
      <c r="D56" t="s">
        <v>42</v>
      </c>
      <c r="E56">
        <v>13</v>
      </c>
      <c r="H56" t="s">
        <v>89</v>
      </c>
      <c r="J56">
        <v>496.84800000000001</v>
      </c>
      <c r="K56" t="s">
        <v>69</v>
      </c>
    </row>
    <row r="58" spans="2:11" x14ac:dyDescent="0.35">
      <c r="B58" t="s">
        <v>43</v>
      </c>
      <c r="H58" t="s">
        <v>64</v>
      </c>
    </row>
    <row r="59" spans="2:11" x14ac:dyDescent="0.35">
      <c r="C59">
        <v>16</v>
      </c>
      <c r="H59" t="s">
        <v>41</v>
      </c>
      <c r="I59">
        <f>C56</f>
        <v>12.25848523691185</v>
      </c>
      <c r="J59" t="s">
        <v>42</v>
      </c>
      <c r="K59">
        <v>13</v>
      </c>
    </row>
    <row r="61" spans="2:11" x14ac:dyDescent="0.35">
      <c r="B61" t="s">
        <v>44</v>
      </c>
      <c r="H61" t="s">
        <v>43</v>
      </c>
    </row>
    <row r="62" spans="2:11" x14ac:dyDescent="0.35">
      <c r="B62" t="s">
        <v>27</v>
      </c>
      <c r="C62">
        <v>2</v>
      </c>
      <c r="H62">
        <v>16</v>
      </c>
    </row>
    <row r="64" spans="2:11" x14ac:dyDescent="0.35">
      <c r="B64" t="s">
        <v>45</v>
      </c>
      <c r="H64" t="s">
        <v>65</v>
      </c>
    </row>
    <row r="65" spans="2:11" x14ac:dyDescent="0.35">
      <c r="C65">
        <v>1</v>
      </c>
      <c r="H65">
        <f>C62*C5*4*1000/(PI()*E52*G11*H62)</f>
        <v>25262.296491617239</v>
      </c>
    </row>
    <row r="67" spans="2:11" x14ac:dyDescent="0.35">
      <c r="B67" t="s">
        <v>46</v>
      </c>
      <c r="C67">
        <v>10</v>
      </c>
      <c r="D67" t="s">
        <v>38</v>
      </c>
      <c r="E67">
        <v>0.254</v>
      </c>
      <c r="F67" t="s">
        <v>36</v>
      </c>
      <c r="H67" t="s">
        <v>66</v>
      </c>
    </row>
    <row r="68" spans="2:11" ht="16.5" x14ac:dyDescent="0.35">
      <c r="B68" t="s">
        <v>47</v>
      </c>
      <c r="C68">
        <v>1.25</v>
      </c>
      <c r="D68" t="s">
        <v>38</v>
      </c>
      <c r="E68">
        <v>3.175E-2</v>
      </c>
      <c r="F68" t="s">
        <v>36</v>
      </c>
      <c r="H68" t="s">
        <v>53</v>
      </c>
      <c r="I68">
        <f>0.023*POWER((G5*G11/(J5*1000)),1/3)*POWER(H65,0.8)*J5/E52</f>
        <v>1450.6291412667736</v>
      </c>
      <c r="J68" t="s">
        <v>69</v>
      </c>
    </row>
    <row r="70" spans="2:11" x14ac:dyDescent="0.35">
      <c r="B70" t="s">
        <v>48</v>
      </c>
      <c r="H70" t="s">
        <v>68</v>
      </c>
      <c r="I70">
        <v>0.254</v>
      </c>
      <c r="J70" t="s">
        <v>36</v>
      </c>
    </row>
    <row r="71" spans="2:11" x14ac:dyDescent="0.35">
      <c r="C71" t="s">
        <v>49</v>
      </c>
      <c r="D71">
        <f>(C62*C5*1000)/((PI()/4*E52*G11*E56))</f>
        <v>31092.057220451989</v>
      </c>
    </row>
    <row r="72" spans="2:11" x14ac:dyDescent="0.35">
      <c r="H72" t="s">
        <v>70</v>
      </c>
      <c r="I72">
        <v>3.175E-2</v>
      </c>
      <c r="J72" t="s">
        <v>36</v>
      </c>
    </row>
    <row r="73" spans="2:11" x14ac:dyDescent="0.35">
      <c r="B73" t="s">
        <v>54</v>
      </c>
      <c r="D73">
        <f>(G5*G11)/(J5*1000)</f>
        <v>9.9541155666666654</v>
      </c>
    </row>
    <row r="74" spans="2:11" x14ac:dyDescent="0.35">
      <c r="H74" t="s">
        <v>71</v>
      </c>
      <c r="J74">
        <f>I72-E53</f>
        <v>6.3500000000000015E-3</v>
      </c>
      <c r="K74" t="s">
        <v>36</v>
      </c>
    </row>
    <row r="76" spans="2:11" x14ac:dyDescent="0.35">
      <c r="B76" t="s">
        <v>52</v>
      </c>
      <c r="H76" t="s">
        <v>72</v>
      </c>
      <c r="J76">
        <f>I70/2</f>
        <v>0.127</v>
      </c>
    </row>
    <row r="77" spans="2:11" x14ac:dyDescent="0.35">
      <c r="C77" t="s">
        <v>53</v>
      </c>
      <c r="D77">
        <f>0.023*(POWER(D71,0.8))*POWER(D73,0.3)</f>
        <v>179.98992923773835</v>
      </c>
    </row>
    <row r="78" spans="2:11" x14ac:dyDescent="0.35">
      <c r="H78" t="s">
        <v>73</v>
      </c>
      <c r="I78">
        <f>J74*J76*I70/I72</f>
        <v>6.4516000000000018E-3</v>
      </c>
      <c r="J78" t="s">
        <v>32</v>
      </c>
    </row>
    <row r="79" spans="2:11" x14ac:dyDescent="0.35">
      <c r="B79" t="s">
        <v>56</v>
      </c>
    </row>
    <row r="80" spans="2:11" x14ac:dyDescent="0.35">
      <c r="H80" t="s">
        <v>74</v>
      </c>
      <c r="I80">
        <f>4*(I72*I72-(PI()/4*E53*E53))/(PI()*E53)</f>
        <v>2.5131694431676777E-2</v>
      </c>
      <c r="J80" t="s">
        <v>36</v>
      </c>
    </row>
    <row r="81" spans="2:11" x14ac:dyDescent="0.35">
      <c r="B81" t="s">
        <v>57</v>
      </c>
    </row>
    <row r="82" spans="2:11" x14ac:dyDescent="0.35">
      <c r="H82" t="s">
        <v>67</v>
      </c>
      <c r="K82">
        <f>M5*I80*1000/(I78*I11)</f>
        <v>13812.426605298551</v>
      </c>
    </row>
    <row r="84" spans="2:11" ht="16.5" x14ac:dyDescent="0.35">
      <c r="H84" t="s">
        <v>75</v>
      </c>
      <c r="I84">
        <f>0.00075</f>
        <v>7.5000000000000002E-4</v>
      </c>
      <c r="J84" t="s">
        <v>76</v>
      </c>
    </row>
    <row r="85" spans="2:11" ht="16.5" x14ac:dyDescent="0.35">
      <c r="H85" t="s">
        <v>77</v>
      </c>
      <c r="I85">
        <v>1.8000000000000001E-4</v>
      </c>
      <c r="J85" t="s">
        <v>76</v>
      </c>
    </row>
    <row r="87" spans="2:11" x14ac:dyDescent="0.35">
      <c r="H87" t="s">
        <v>78</v>
      </c>
    </row>
    <row r="88" spans="2:11" x14ac:dyDescent="0.35">
      <c r="H88" t="s">
        <v>79</v>
      </c>
      <c r="I88">
        <v>54</v>
      </c>
      <c r="J88" t="s">
        <v>80</v>
      </c>
    </row>
    <row r="90" spans="2:11" x14ac:dyDescent="0.35">
      <c r="H90" t="s">
        <v>81</v>
      </c>
      <c r="J90">
        <f>0.806455+0.36921*POWER(K82,0.541044)</f>
        <v>64.977880705836128</v>
      </c>
    </row>
    <row r="92" spans="2:11" ht="16.5" x14ac:dyDescent="0.35">
      <c r="H92" t="s">
        <v>83</v>
      </c>
      <c r="I92">
        <f>(J90*J8/I80)*(POWER((G8*0.001*I11/J8),-1/3))</f>
        <v>1106.7506382247022</v>
      </c>
      <c r="J92" t="s">
        <v>69</v>
      </c>
    </row>
    <row r="94" spans="2:11" x14ac:dyDescent="0.35">
      <c r="H94" t="s">
        <v>84</v>
      </c>
      <c r="I94">
        <f>1/I92+I84+(H53/H52)*((E53-E52)/(2*I88)+I85+(1/I68))</f>
        <v>2.8161068522004826E-3</v>
      </c>
    </row>
    <row r="96" spans="2:11" x14ac:dyDescent="0.35">
      <c r="H96" t="s">
        <v>87</v>
      </c>
      <c r="I96">
        <f>POWER(I94,-1)</f>
        <v>355.10016220393351</v>
      </c>
    </row>
    <row r="98" spans="8:9" x14ac:dyDescent="0.35">
      <c r="H98" t="s">
        <v>88</v>
      </c>
      <c r="I98">
        <f>ABS(I96-J56)/J56*100</f>
        <v>28.529417004006557</v>
      </c>
    </row>
  </sheetData>
  <mergeCells count="6">
    <mergeCell ref="G4:H4"/>
    <mergeCell ref="B39:C39"/>
    <mergeCell ref="B4:E4"/>
    <mergeCell ref="B12:D12"/>
    <mergeCell ref="B17:D17"/>
    <mergeCell ref="B23:C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95536-2DF5-4B9D-92C5-800F587F584B}">
  <dimension ref="B3:O296"/>
  <sheetViews>
    <sheetView tabSelected="1" topLeftCell="A207" workbookViewId="0">
      <selection activeCell="E146" sqref="E146"/>
    </sheetView>
  </sheetViews>
  <sheetFormatPr defaultRowHeight="14.5" x14ac:dyDescent="0.35"/>
  <cols>
    <col min="2" max="2" width="16.1796875" customWidth="1"/>
    <col min="3" max="4" width="12" bestFit="1" customWidth="1"/>
  </cols>
  <sheetData>
    <row r="3" spans="2:14" x14ac:dyDescent="0.35">
      <c r="B3" s="2" t="s">
        <v>0</v>
      </c>
    </row>
    <row r="4" spans="2:14" x14ac:dyDescent="0.35">
      <c r="B4" s="3" t="s">
        <v>11</v>
      </c>
      <c r="C4" s="3"/>
      <c r="D4" s="3"/>
      <c r="E4" s="3"/>
      <c r="G4" s="3" t="s">
        <v>23</v>
      </c>
      <c r="H4" s="3"/>
      <c r="I4" t="s">
        <v>55</v>
      </c>
      <c r="L4" t="s">
        <v>58</v>
      </c>
    </row>
    <row r="5" spans="2:14" x14ac:dyDescent="0.35">
      <c r="C5">
        <v>1.98</v>
      </c>
      <c r="D5" t="s">
        <v>1</v>
      </c>
      <c r="G5">
        <v>2036.9949999999999</v>
      </c>
      <c r="H5" t="s">
        <v>60</v>
      </c>
      <c r="J5">
        <v>0.15</v>
      </c>
      <c r="M5">
        <f>C40/(G8*(C10-C9))</f>
        <v>1.4672568045685279</v>
      </c>
      <c r="N5" t="s">
        <v>1</v>
      </c>
    </row>
    <row r="7" spans="2:14" x14ac:dyDescent="0.35">
      <c r="B7" t="s">
        <v>2</v>
      </c>
      <c r="C7">
        <v>76.5</v>
      </c>
      <c r="D7" s="1" t="s">
        <v>3</v>
      </c>
      <c r="G7" t="s">
        <v>59</v>
      </c>
      <c r="I7" t="s">
        <v>82</v>
      </c>
    </row>
    <row r="8" spans="2:14" x14ac:dyDescent="0.35">
      <c r="B8" t="s">
        <v>4</v>
      </c>
      <c r="C8">
        <v>55</v>
      </c>
      <c r="D8" s="1" t="s">
        <v>3</v>
      </c>
      <c r="G8">
        <v>3940</v>
      </c>
      <c r="H8" t="s">
        <v>60</v>
      </c>
      <c r="J8">
        <v>0.59799999999999998</v>
      </c>
    </row>
    <row r="9" spans="2:14" x14ac:dyDescent="0.35">
      <c r="B9" t="s">
        <v>5</v>
      </c>
      <c r="C9">
        <v>27</v>
      </c>
      <c r="D9" s="1" t="s">
        <v>3</v>
      </c>
    </row>
    <row r="10" spans="2:14" x14ac:dyDescent="0.35">
      <c r="B10" t="s">
        <v>6</v>
      </c>
      <c r="C10">
        <v>42</v>
      </c>
      <c r="D10" s="1" t="s">
        <v>3</v>
      </c>
      <c r="G10" t="s">
        <v>50</v>
      </c>
      <c r="I10" t="s">
        <v>63</v>
      </c>
    </row>
    <row r="11" spans="2:14" x14ac:dyDescent="0.35">
      <c r="G11">
        <v>0.73299999999999998</v>
      </c>
      <c r="H11" t="s">
        <v>51</v>
      </c>
      <c r="I11">
        <v>0.4138</v>
      </c>
      <c r="J11" t="s">
        <v>51</v>
      </c>
    </row>
    <row r="12" spans="2:14" x14ac:dyDescent="0.35">
      <c r="B12" s="4" t="s">
        <v>10</v>
      </c>
      <c r="C12" s="4"/>
      <c r="D12" s="4"/>
    </row>
    <row r="13" spans="2:14" x14ac:dyDescent="0.35">
      <c r="B13" t="s">
        <v>7</v>
      </c>
      <c r="G13" t="s">
        <v>61</v>
      </c>
      <c r="I13" t="s">
        <v>98</v>
      </c>
    </row>
    <row r="14" spans="2:14" ht="16.5" x14ac:dyDescent="0.35">
      <c r="B14" t="s">
        <v>8</v>
      </c>
      <c r="G14">
        <v>977.01</v>
      </c>
      <c r="H14" t="s">
        <v>62</v>
      </c>
      <c r="I14">
        <v>791.38699999999994</v>
      </c>
      <c r="J14" t="s">
        <v>99</v>
      </c>
    </row>
    <row r="15" spans="2:14" x14ac:dyDescent="0.35">
      <c r="B15" t="s">
        <v>9</v>
      </c>
    </row>
    <row r="17" spans="2:4" x14ac:dyDescent="0.35">
      <c r="B17" s="4" t="s">
        <v>13</v>
      </c>
      <c r="C17" s="4"/>
      <c r="D17" s="4"/>
    </row>
    <row r="18" spans="2:4" x14ac:dyDescent="0.35">
      <c r="B18" t="s">
        <v>14</v>
      </c>
      <c r="C18">
        <f>(C8-C9)/(C7-C10)</f>
        <v>0.81159420289855078</v>
      </c>
    </row>
    <row r="20" spans="2:4" x14ac:dyDescent="0.35">
      <c r="B20" t="s">
        <v>15</v>
      </c>
      <c r="C20">
        <f>(C7-C8)/(C10-C9)</f>
        <v>1.4333333333333333</v>
      </c>
    </row>
    <row r="21" spans="2:4" x14ac:dyDescent="0.35">
      <c r="B21" t="s">
        <v>16</v>
      </c>
      <c r="C21">
        <f>(C10-C9)/(C7-C9)</f>
        <v>0.30303030303030304</v>
      </c>
    </row>
    <row r="23" spans="2:4" x14ac:dyDescent="0.35">
      <c r="B23" s="3" t="s">
        <v>19</v>
      </c>
      <c r="C23" s="3"/>
    </row>
    <row r="24" spans="2:4" x14ac:dyDescent="0.35">
      <c r="C24">
        <v>47.3</v>
      </c>
    </row>
    <row r="25" spans="2:4" x14ac:dyDescent="0.35">
      <c r="B25" t="s">
        <v>20</v>
      </c>
    </row>
    <row r="26" spans="2:4" x14ac:dyDescent="0.35">
      <c r="C26">
        <v>10</v>
      </c>
    </row>
    <row r="29" spans="2:4" x14ac:dyDescent="0.35">
      <c r="B29" t="s">
        <v>17</v>
      </c>
    </row>
    <row r="30" spans="2:4" x14ac:dyDescent="0.35">
      <c r="B30" t="s">
        <v>18</v>
      </c>
      <c r="C30">
        <v>0.94</v>
      </c>
    </row>
    <row r="31" spans="2:4" x14ac:dyDescent="0.35">
      <c r="B31" t="s">
        <v>21</v>
      </c>
      <c r="C31">
        <v>0.1</v>
      </c>
    </row>
    <row r="32" spans="2:4" x14ac:dyDescent="0.35">
      <c r="B32" t="s">
        <v>22</v>
      </c>
      <c r="C32">
        <v>0.44</v>
      </c>
    </row>
    <row r="34" spans="2:4" x14ac:dyDescent="0.35">
      <c r="B34" s="2" t="s">
        <v>24</v>
      </c>
    </row>
    <row r="35" spans="2:4" x14ac:dyDescent="0.35">
      <c r="C35">
        <f>(C8+C32*(C7-C8))</f>
        <v>64.460000000000008</v>
      </c>
    </row>
    <row r="39" spans="2:4" x14ac:dyDescent="0.35">
      <c r="B39" s="4" t="s">
        <v>12</v>
      </c>
      <c r="C39" s="4"/>
    </row>
    <row r="40" spans="2:4" x14ac:dyDescent="0.35">
      <c r="B40" t="s">
        <v>25</v>
      </c>
      <c r="C40">
        <f>(C5*(C7-C8)*G5)</f>
        <v>86714.87715</v>
      </c>
    </row>
    <row r="43" spans="2:4" x14ac:dyDescent="0.35">
      <c r="B43" t="s">
        <v>26</v>
      </c>
      <c r="C43">
        <f>496.848</f>
        <v>496.84800000000001</v>
      </c>
    </row>
    <row r="44" spans="2:4" x14ac:dyDescent="0.35">
      <c r="B44" t="s">
        <v>29</v>
      </c>
      <c r="C44">
        <f>C7-C10</f>
        <v>34.5</v>
      </c>
    </row>
    <row r="45" spans="2:4" x14ac:dyDescent="0.35">
      <c r="B45" t="s">
        <v>30</v>
      </c>
      <c r="C45">
        <f>C8-C9</f>
        <v>28</v>
      </c>
    </row>
    <row r="46" spans="2:4" x14ac:dyDescent="0.35">
      <c r="B46" t="s">
        <v>28</v>
      </c>
      <c r="C46">
        <f>(C44-C45)/LN(C44/C45)</f>
        <v>31.137006518534587</v>
      </c>
    </row>
    <row r="48" spans="2:4" x14ac:dyDescent="0.35">
      <c r="B48" t="s">
        <v>31</v>
      </c>
      <c r="C48">
        <f>C40/(C43*C46*C30)</f>
        <v>5.9630075058715164</v>
      </c>
      <c r="D48" t="s">
        <v>32</v>
      </c>
    </row>
    <row r="50" spans="2:15" x14ac:dyDescent="0.35">
      <c r="B50" t="s">
        <v>33</v>
      </c>
    </row>
    <row r="51" spans="2:15" x14ac:dyDescent="0.35">
      <c r="B51" t="s">
        <v>34</v>
      </c>
      <c r="C51">
        <v>20</v>
      </c>
      <c r="D51" t="s">
        <v>35</v>
      </c>
      <c r="E51">
        <f>6.096</f>
        <v>6.0960000000000001</v>
      </c>
      <c r="F51" t="s">
        <v>36</v>
      </c>
    </row>
    <row r="52" spans="2:15" x14ac:dyDescent="0.35">
      <c r="B52" t="s">
        <v>37</v>
      </c>
      <c r="C52">
        <v>0.67</v>
      </c>
      <c r="D52" t="s">
        <v>38</v>
      </c>
      <c r="E52">
        <v>1.7017999999999998E-2</v>
      </c>
      <c r="F52" t="s">
        <v>36</v>
      </c>
      <c r="G52" t="s">
        <v>85</v>
      </c>
      <c r="H52">
        <f>PI()/4*E52*E52</f>
        <v>2.274609873668667E-4</v>
      </c>
    </row>
    <row r="53" spans="2:15" x14ac:dyDescent="0.35">
      <c r="B53" t="s">
        <v>39</v>
      </c>
      <c r="C53">
        <v>1</v>
      </c>
      <c r="D53" t="s">
        <v>38</v>
      </c>
      <c r="E53">
        <v>2.5399999999999999E-2</v>
      </c>
      <c r="F53" t="s">
        <v>36</v>
      </c>
      <c r="G53" t="s">
        <v>86</v>
      </c>
      <c r="H53">
        <f>PI()/4*(E53*E53-E52*E52)</f>
        <v>2.7924649173063102E-4</v>
      </c>
    </row>
    <row r="55" spans="2:15" ht="16.5" x14ac:dyDescent="0.35">
      <c r="B55" t="s">
        <v>40</v>
      </c>
      <c r="H55" t="s">
        <v>89</v>
      </c>
      <c r="J55">
        <v>355.10019999999997</v>
      </c>
      <c r="K55" t="s">
        <v>69</v>
      </c>
    </row>
    <row r="56" spans="2:15" x14ac:dyDescent="0.35">
      <c r="B56" t="s">
        <v>41</v>
      </c>
      <c r="C56">
        <f>C48/(PI()*E53*E51)</f>
        <v>12.25848523691185</v>
      </c>
      <c r="D56" t="s">
        <v>42</v>
      </c>
      <c r="E56">
        <v>13</v>
      </c>
    </row>
    <row r="57" spans="2:15" x14ac:dyDescent="0.35">
      <c r="H57" t="s">
        <v>90</v>
      </c>
      <c r="M57" t="s">
        <v>31</v>
      </c>
      <c r="N57">
        <f>C40/(J55*C30*C46)</f>
        <v>8.3433024066932404</v>
      </c>
      <c r="O57" t="s">
        <v>32</v>
      </c>
    </row>
    <row r="58" spans="2:15" x14ac:dyDescent="0.35">
      <c r="B58" t="s">
        <v>43</v>
      </c>
      <c r="H58" t="s">
        <v>41</v>
      </c>
      <c r="I58">
        <f>N57/(PI()*E53*E51)</f>
        <v>17.151789475165543</v>
      </c>
      <c r="J58" t="s">
        <v>42</v>
      </c>
      <c r="K58">
        <v>18</v>
      </c>
    </row>
    <row r="59" spans="2:15" x14ac:dyDescent="0.35">
      <c r="C59">
        <v>32</v>
      </c>
    </row>
    <row r="60" spans="2:15" x14ac:dyDescent="0.35">
      <c r="H60" t="s">
        <v>43</v>
      </c>
    </row>
    <row r="61" spans="2:15" x14ac:dyDescent="0.35">
      <c r="B61" t="s">
        <v>44</v>
      </c>
      <c r="H61">
        <v>32</v>
      </c>
    </row>
    <row r="62" spans="2:15" x14ac:dyDescent="0.35">
      <c r="B62" t="s">
        <v>27</v>
      </c>
      <c r="C62">
        <v>2</v>
      </c>
    </row>
    <row r="63" spans="2:15" x14ac:dyDescent="0.35">
      <c r="H63" t="s">
        <v>65</v>
      </c>
    </row>
    <row r="64" spans="2:15" x14ac:dyDescent="0.35">
      <c r="B64" t="s">
        <v>45</v>
      </c>
      <c r="H64">
        <f>C62*C5*4*1000/(PI()*E52*G11*H61)</f>
        <v>12631.148245808619</v>
      </c>
    </row>
    <row r="65" spans="2:11" x14ac:dyDescent="0.35">
      <c r="C65">
        <v>1</v>
      </c>
    </row>
    <row r="66" spans="2:11" x14ac:dyDescent="0.35">
      <c r="H66" t="s">
        <v>66</v>
      </c>
    </row>
    <row r="67" spans="2:11" ht="16.5" x14ac:dyDescent="0.35">
      <c r="B67" t="s">
        <v>46</v>
      </c>
      <c r="C67">
        <v>10</v>
      </c>
      <c r="D67" t="s">
        <v>38</v>
      </c>
      <c r="E67">
        <v>0.254</v>
      </c>
      <c r="F67" t="s">
        <v>36</v>
      </c>
      <c r="H67" t="s">
        <v>53</v>
      </c>
      <c r="I67">
        <f>0.023*POWER((G5*G11/(J5*1000)),1/3)*POWER(H64,0.8)*J5/E52</f>
        <v>833.16765414195208</v>
      </c>
      <c r="J67" t="s">
        <v>69</v>
      </c>
    </row>
    <row r="68" spans="2:11" x14ac:dyDescent="0.35">
      <c r="B68" t="s">
        <v>47</v>
      </c>
      <c r="C68">
        <v>1.25</v>
      </c>
      <c r="D68" t="s">
        <v>38</v>
      </c>
      <c r="E68">
        <v>3.175E-2</v>
      </c>
      <c r="F68" t="s">
        <v>36</v>
      </c>
    </row>
    <row r="69" spans="2:11" x14ac:dyDescent="0.35">
      <c r="H69" t="s">
        <v>68</v>
      </c>
      <c r="I69">
        <v>0.30480000000000002</v>
      </c>
      <c r="J69" t="s">
        <v>36</v>
      </c>
    </row>
    <row r="70" spans="2:11" x14ac:dyDescent="0.35">
      <c r="B70" t="s">
        <v>48</v>
      </c>
    </row>
    <row r="71" spans="2:11" x14ac:dyDescent="0.35">
      <c r="C71" t="s">
        <v>49</v>
      </c>
      <c r="D71">
        <f>(C62*C5*1000)/((PI()/4*E52*G11*E56))</f>
        <v>31092.057220451989</v>
      </c>
      <c r="H71" t="s">
        <v>70</v>
      </c>
      <c r="I71">
        <v>3.175E-2</v>
      </c>
      <c r="J71" t="s">
        <v>36</v>
      </c>
    </row>
    <row r="73" spans="2:11" x14ac:dyDescent="0.35">
      <c r="B73" t="s">
        <v>54</v>
      </c>
      <c r="D73">
        <f>(G5*G11)/(J5*1000)</f>
        <v>9.9541155666666654</v>
      </c>
      <c r="H73" t="s">
        <v>71</v>
      </c>
      <c r="J73">
        <f>I71-E53</f>
        <v>6.3500000000000015E-3</v>
      </c>
      <c r="K73" t="s">
        <v>36</v>
      </c>
    </row>
    <row r="75" spans="2:11" x14ac:dyDescent="0.35">
      <c r="H75" t="s">
        <v>72</v>
      </c>
      <c r="J75">
        <f>I69/2</f>
        <v>0.15240000000000001</v>
      </c>
      <c r="K75" t="s">
        <v>135</v>
      </c>
    </row>
    <row r="76" spans="2:11" x14ac:dyDescent="0.35">
      <c r="B76" t="s">
        <v>52</v>
      </c>
    </row>
    <row r="77" spans="2:11" x14ac:dyDescent="0.35">
      <c r="C77" t="s">
        <v>53</v>
      </c>
      <c r="D77">
        <f>0.023*(POWER(D71,0.8))*POWER(D73,0.3)</f>
        <v>179.98992923773835</v>
      </c>
      <c r="H77" t="s">
        <v>73</v>
      </c>
      <c r="I77">
        <f>J73*J75*I69/I71</f>
        <v>9.2903040000000027E-3</v>
      </c>
      <c r="J77" t="s">
        <v>32</v>
      </c>
    </row>
    <row r="79" spans="2:11" x14ac:dyDescent="0.35">
      <c r="H79" t="s">
        <v>74</v>
      </c>
      <c r="I79">
        <f>4*(I71*I71-(PI()/4*E53*E53))/(PI()*E53)</f>
        <v>2.5131694431676777E-2</v>
      </c>
      <c r="J79" t="s">
        <v>36</v>
      </c>
    </row>
    <row r="81" spans="8:11" x14ac:dyDescent="0.35">
      <c r="H81" t="s">
        <v>67</v>
      </c>
      <c r="K81">
        <f>M5*I79*1000/(I77*I11)</f>
        <v>9591.9629203462155</v>
      </c>
    </row>
    <row r="83" spans="8:11" ht="16.5" x14ac:dyDescent="0.35">
      <c r="H83" t="s">
        <v>75</v>
      </c>
      <c r="I83">
        <f>0.00075</f>
        <v>7.5000000000000002E-4</v>
      </c>
      <c r="J83" t="s">
        <v>76</v>
      </c>
    </row>
    <row r="84" spans="8:11" ht="16.5" x14ac:dyDescent="0.35">
      <c r="H84" t="s">
        <v>77</v>
      </c>
      <c r="I84">
        <v>1.8000000000000001E-4</v>
      </c>
      <c r="J84" t="s">
        <v>76</v>
      </c>
    </row>
    <row r="86" spans="8:11" x14ac:dyDescent="0.35">
      <c r="H86" t="s">
        <v>78</v>
      </c>
    </row>
    <row r="87" spans="8:11" x14ac:dyDescent="0.35">
      <c r="H87" t="s">
        <v>79</v>
      </c>
      <c r="I87">
        <v>54</v>
      </c>
      <c r="J87" t="s">
        <v>80</v>
      </c>
    </row>
    <row r="89" spans="8:11" x14ac:dyDescent="0.35">
      <c r="H89" t="s">
        <v>81</v>
      </c>
      <c r="J89">
        <f>0.806455+0.36921*POWER(K81,0.541044)</f>
        <v>53.488255819169254</v>
      </c>
    </row>
    <row r="91" spans="8:11" ht="16.5" x14ac:dyDescent="0.35">
      <c r="H91" t="s">
        <v>83</v>
      </c>
      <c r="I91">
        <f>(J89*J8/I79)*(POWER((G8*0.001*I11/J8),-1/3))</f>
        <v>911.05097030464879</v>
      </c>
      <c r="J91" t="s">
        <v>69</v>
      </c>
    </row>
    <row r="93" spans="8:11" x14ac:dyDescent="0.35">
      <c r="H93" t="s">
        <v>84</v>
      </c>
      <c r="I93">
        <f>1/I91+I83+(H53/H52)*((E53-E52)/(2*I87)+I84+(1/I67))</f>
        <v>3.6373883623335491E-3</v>
      </c>
    </row>
    <row r="95" spans="8:11" ht="16.5" x14ac:dyDescent="0.35">
      <c r="H95" t="s">
        <v>87</v>
      </c>
      <c r="I95">
        <f>POWER(I93,-1)</f>
        <v>274.92252693040859</v>
      </c>
      <c r="J95" t="s">
        <v>69</v>
      </c>
    </row>
    <row r="97" spans="2:9" x14ac:dyDescent="0.35">
      <c r="H97" t="s">
        <v>88</v>
      </c>
      <c r="I97">
        <f xml:space="preserve"> ((J55-I95)/J55)*100</f>
        <v>22.578887049230438</v>
      </c>
    </row>
    <row r="99" spans="2:9" x14ac:dyDescent="0.35">
      <c r="H99" t="s">
        <v>91</v>
      </c>
    </row>
    <row r="103" spans="2:9" x14ac:dyDescent="0.35">
      <c r="B103" t="s">
        <v>92</v>
      </c>
    </row>
    <row r="105" spans="2:9" x14ac:dyDescent="0.35">
      <c r="B105" t="s">
        <v>93</v>
      </c>
      <c r="C105">
        <v>21</v>
      </c>
    </row>
    <row r="106" spans="2:9" x14ac:dyDescent="0.35">
      <c r="B106" t="s">
        <v>94</v>
      </c>
      <c r="C106">
        <f>H64</f>
        <v>12631.148245808619</v>
      </c>
    </row>
    <row r="107" spans="2:9" x14ac:dyDescent="0.35">
      <c r="B107" t="s">
        <v>95</v>
      </c>
      <c r="D107">
        <v>2.8000000000000001E-2</v>
      </c>
      <c r="E107" t="s">
        <v>96</v>
      </c>
    </row>
    <row r="108" spans="2:9" x14ac:dyDescent="0.35">
      <c r="B108" t="s">
        <v>97</v>
      </c>
      <c r="D108">
        <f>C62*C5/(C105*I14*N57)*100000</f>
        <v>2.8559394414047463</v>
      </c>
      <c r="E108" t="s">
        <v>100</v>
      </c>
    </row>
    <row r="109" spans="2:9" x14ac:dyDescent="0.35">
      <c r="B109" t="s">
        <v>101</v>
      </c>
      <c r="D109">
        <f>0.5*D107*I14*D108*D108*E51/E52</f>
        <v>32370.64664277757</v>
      </c>
    </row>
    <row r="110" spans="2:9" x14ac:dyDescent="0.35">
      <c r="B110" t="s">
        <v>102</v>
      </c>
      <c r="D110">
        <f>4*C62*D108*D108*1000/(I14*2*9.81)</f>
        <v>4.2024258623288056</v>
      </c>
    </row>
    <row r="111" spans="2:9" x14ac:dyDescent="0.35">
      <c r="B111" t="s">
        <v>103</v>
      </c>
      <c r="D111">
        <f>D109+D110</f>
        <v>32374.849068639898</v>
      </c>
      <c r="E111" t="s">
        <v>104</v>
      </c>
      <c r="F111">
        <v>0.92300000000000004</v>
      </c>
      <c r="G111" t="s">
        <v>105</v>
      </c>
    </row>
    <row r="112" spans="2:9" x14ac:dyDescent="0.35">
      <c r="B112" t="s">
        <v>107</v>
      </c>
      <c r="D112">
        <f>ABS(K58-C105)*100/C105</f>
        <v>14.285714285714286</v>
      </c>
    </row>
    <row r="115" spans="2:9" x14ac:dyDescent="0.35">
      <c r="B115" s="2" t="s">
        <v>106</v>
      </c>
    </row>
    <row r="116" spans="2:9" x14ac:dyDescent="0.35">
      <c r="B116" t="s">
        <v>108</v>
      </c>
      <c r="D116">
        <v>1</v>
      </c>
    </row>
    <row r="117" spans="2:9" x14ac:dyDescent="0.35">
      <c r="B117" t="s">
        <v>109</v>
      </c>
      <c r="D117">
        <v>2</v>
      </c>
    </row>
    <row r="119" spans="2:9" x14ac:dyDescent="0.35">
      <c r="B119" t="s">
        <v>110</v>
      </c>
      <c r="D119" t="s">
        <v>111</v>
      </c>
    </row>
    <row r="120" spans="2:9" x14ac:dyDescent="0.35">
      <c r="B120" t="s">
        <v>112</v>
      </c>
      <c r="D120" t="s">
        <v>47</v>
      </c>
    </row>
    <row r="121" spans="2:9" x14ac:dyDescent="0.35">
      <c r="B121" t="s">
        <v>113</v>
      </c>
      <c r="E121">
        <v>3</v>
      </c>
      <c r="F121" t="s">
        <v>114</v>
      </c>
    </row>
    <row r="122" spans="2:9" x14ac:dyDescent="0.35">
      <c r="B122" t="s">
        <v>115</v>
      </c>
      <c r="D122">
        <f>1.1*169.7</f>
        <v>186.67000000000002</v>
      </c>
      <c r="E122" t="s">
        <v>116</v>
      </c>
      <c r="G122" t="s">
        <v>219</v>
      </c>
    </row>
    <row r="123" spans="2:9" x14ac:dyDescent="0.35">
      <c r="B123" t="s">
        <v>118</v>
      </c>
      <c r="D123">
        <v>50</v>
      </c>
      <c r="E123" t="s">
        <v>105</v>
      </c>
    </row>
    <row r="124" spans="2:9" x14ac:dyDescent="0.35">
      <c r="B124" t="s">
        <v>117</v>
      </c>
      <c r="D124">
        <f>1.1*D123</f>
        <v>55.000000000000007</v>
      </c>
      <c r="E124" t="s">
        <v>105</v>
      </c>
      <c r="F124">
        <v>0.38</v>
      </c>
      <c r="G124" t="s">
        <v>120</v>
      </c>
    </row>
    <row r="126" spans="2:9" ht="16.5" x14ac:dyDescent="0.35">
      <c r="B126" t="s">
        <v>119</v>
      </c>
      <c r="D126">
        <v>100.6</v>
      </c>
      <c r="E126" t="s">
        <v>120</v>
      </c>
      <c r="F126" t="s">
        <v>121</v>
      </c>
      <c r="H126">
        <f>D126/9.81</f>
        <v>10.254841997961263</v>
      </c>
      <c r="I126" t="s">
        <v>143</v>
      </c>
    </row>
    <row r="128" spans="2:9" x14ac:dyDescent="0.35">
      <c r="B128" t="s">
        <v>122</v>
      </c>
    </row>
    <row r="129" spans="2:6" ht="16.5" x14ac:dyDescent="0.35">
      <c r="B129" t="s">
        <v>123</v>
      </c>
      <c r="C129">
        <f>F124</f>
        <v>0.38</v>
      </c>
      <c r="D129" t="s">
        <v>120</v>
      </c>
      <c r="E129">
        <f>C129*100/9.81</f>
        <v>3.873598369011213</v>
      </c>
      <c r="F129" t="s">
        <v>142</v>
      </c>
    </row>
    <row r="130" spans="2:6" x14ac:dyDescent="0.35">
      <c r="B130" t="s">
        <v>68</v>
      </c>
      <c r="C130">
        <v>254</v>
      </c>
      <c r="D130" t="s">
        <v>114</v>
      </c>
    </row>
    <row r="131" spans="2:6" x14ac:dyDescent="0.35">
      <c r="B131" t="s">
        <v>124</v>
      </c>
      <c r="C131">
        <v>0.8</v>
      </c>
    </row>
    <row r="132" spans="2:6" x14ac:dyDescent="0.35">
      <c r="B132" t="s">
        <v>125</v>
      </c>
      <c r="C132">
        <f>C129*C130/(D126*C131-0.6*C129)+3</f>
        <v>4.2027114589044512</v>
      </c>
      <c r="D132" t="s">
        <v>114</v>
      </c>
    </row>
    <row r="133" spans="2:6" x14ac:dyDescent="0.35">
      <c r="B133" t="s">
        <v>125</v>
      </c>
      <c r="C133">
        <v>5</v>
      </c>
      <c r="D133" t="s">
        <v>114</v>
      </c>
      <c r="E133" t="s">
        <v>126</v>
      </c>
    </row>
    <row r="135" spans="2:6" x14ac:dyDescent="0.35">
      <c r="B135" t="s">
        <v>127</v>
      </c>
    </row>
    <row r="137" spans="2:6" x14ac:dyDescent="0.35">
      <c r="B137" t="s">
        <v>128</v>
      </c>
      <c r="E137">
        <f>C130</f>
        <v>254</v>
      </c>
      <c r="F137" t="s">
        <v>114</v>
      </c>
    </row>
    <row r="138" spans="2:6" x14ac:dyDescent="0.35">
      <c r="B138" t="s">
        <v>129</v>
      </c>
      <c r="E138">
        <f>0.06*E137</f>
        <v>15.24</v>
      </c>
      <c r="F138" t="s">
        <v>114</v>
      </c>
    </row>
    <row r="139" spans="2:6" x14ac:dyDescent="0.35">
      <c r="B139" t="s">
        <v>130</v>
      </c>
      <c r="E139">
        <f>E137-POWER((E137-C130/2)*(E137+C130/2)+2*E138,0.5)</f>
        <v>33.960276313571057</v>
      </c>
      <c r="F139" t="s">
        <v>114</v>
      </c>
    </row>
    <row r="141" spans="2:6" x14ac:dyDescent="0.35">
      <c r="B141" t="s">
        <v>131</v>
      </c>
      <c r="E141">
        <f>E51+2*E139*0.001</f>
        <v>6.1639205526271423</v>
      </c>
      <c r="F141" t="s">
        <v>36</v>
      </c>
    </row>
    <row r="142" spans="2:6" x14ac:dyDescent="0.35">
      <c r="B142" t="s">
        <v>132</v>
      </c>
      <c r="E142">
        <f>0.25*(3+POWER(E137/E138,0.5))</f>
        <v>1.7706207261596576</v>
      </c>
    </row>
    <row r="144" spans="2:6" x14ac:dyDescent="0.35">
      <c r="B144" s="3" t="s">
        <v>136</v>
      </c>
      <c r="C144" s="3"/>
      <c r="D144" t="s">
        <v>124</v>
      </c>
      <c r="E144">
        <v>1</v>
      </c>
    </row>
    <row r="145" spans="2:7" x14ac:dyDescent="0.35">
      <c r="B145" t="s">
        <v>134</v>
      </c>
      <c r="C145">
        <f>E137*C129*E142/(2*E144*D126-0.2*C129)+E121</f>
        <v>3.8497261017527999</v>
      </c>
    </row>
    <row r="146" spans="2:7" x14ac:dyDescent="0.35">
      <c r="B146" t="s">
        <v>138</v>
      </c>
      <c r="E146">
        <v>5</v>
      </c>
      <c r="F146" t="s">
        <v>114</v>
      </c>
    </row>
    <row r="148" spans="2:7" x14ac:dyDescent="0.35">
      <c r="B148" t="s">
        <v>139</v>
      </c>
      <c r="E148">
        <f>C130+2*E146</f>
        <v>264</v>
      </c>
      <c r="F148" t="s">
        <v>114</v>
      </c>
    </row>
    <row r="150" spans="2:7" x14ac:dyDescent="0.35">
      <c r="B150" t="s">
        <v>140</v>
      </c>
      <c r="C150">
        <v>0.3</v>
      </c>
      <c r="D150" t="s">
        <v>141</v>
      </c>
    </row>
    <row r="152" spans="2:7" x14ac:dyDescent="0.35">
      <c r="B152" t="s">
        <v>144</v>
      </c>
      <c r="C152">
        <f>E148*SQRT(C150*E129)/(10*H126)+E121</f>
        <v>5.7751909814530134</v>
      </c>
    </row>
    <row r="154" spans="2:7" x14ac:dyDescent="0.35">
      <c r="B154" t="s">
        <v>145</v>
      </c>
      <c r="E154">
        <v>10</v>
      </c>
      <c r="F154" t="s">
        <v>114</v>
      </c>
    </row>
    <row r="156" spans="2:7" x14ac:dyDescent="0.35">
      <c r="B156" s="2" t="s">
        <v>146</v>
      </c>
    </row>
    <row r="158" spans="2:7" x14ac:dyDescent="0.35">
      <c r="B158" t="s">
        <v>147</v>
      </c>
      <c r="F158">
        <v>10</v>
      </c>
      <c r="G158" t="s">
        <v>114</v>
      </c>
    </row>
    <row r="160" spans="2:7" x14ac:dyDescent="0.35">
      <c r="B160" s="2" t="s">
        <v>148</v>
      </c>
    </row>
    <row r="162" spans="2:5" x14ac:dyDescent="0.35">
      <c r="B162" t="s">
        <v>149</v>
      </c>
      <c r="C162">
        <v>1</v>
      </c>
      <c r="D162" t="s">
        <v>150</v>
      </c>
    </row>
    <row r="163" spans="2:5" x14ac:dyDescent="0.35">
      <c r="B163" t="s">
        <v>151</v>
      </c>
      <c r="C163">
        <f>C130</f>
        <v>254</v>
      </c>
      <c r="D163" t="s">
        <v>114</v>
      </c>
    </row>
    <row r="164" spans="2:5" x14ac:dyDescent="0.35">
      <c r="B164" t="s">
        <v>152</v>
      </c>
      <c r="C164">
        <f>1-0.785*E53*E53/(I71*I71)</f>
        <v>0.49760000000000004</v>
      </c>
    </row>
    <row r="165" spans="2:5" ht="16.5" x14ac:dyDescent="0.35">
      <c r="B165" t="s">
        <v>153</v>
      </c>
      <c r="D165">
        <f>C129</f>
        <v>0.38</v>
      </c>
      <c r="E165" t="s">
        <v>154</v>
      </c>
    </row>
    <row r="167" spans="2:5" x14ac:dyDescent="0.35">
      <c r="B167" t="s">
        <v>155</v>
      </c>
    </row>
    <row r="168" spans="2:5" x14ac:dyDescent="0.35">
      <c r="B168" t="s">
        <v>156</v>
      </c>
      <c r="C168">
        <f>C162*C163/3*SQRT(C129/(C164*D126))</f>
        <v>7.3767503168479323</v>
      </c>
      <c r="D168" t="s">
        <v>114</v>
      </c>
    </row>
    <row r="170" spans="2:5" x14ac:dyDescent="0.35">
      <c r="B170" t="s">
        <v>157</v>
      </c>
      <c r="C170" t="s">
        <v>158</v>
      </c>
    </row>
    <row r="172" spans="2:5" x14ac:dyDescent="0.35">
      <c r="B172" t="s">
        <v>159</v>
      </c>
      <c r="C172">
        <f>MAX(C168,C130/10)</f>
        <v>25.4</v>
      </c>
    </row>
    <row r="173" spans="2:5" x14ac:dyDescent="0.35">
      <c r="B173" t="s">
        <v>160</v>
      </c>
    </row>
    <row r="174" spans="2:5" x14ac:dyDescent="0.35">
      <c r="B174" t="s">
        <v>159</v>
      </c>
      <c r="C174">
        <f>C172+E121</f>
        <v>28.4</v>
      </c>
    </row>
    <row r="176" spans="2:5" x14ac:dyDescent="0.35">
      <c r="B176" t="s">
        <v>137</v>
      </c>
      <c r="D176">
        <v>30</v>
      </c>
    </row>
    <row r="178" spans="2:6" x14ac:dyDescent="0.35">
      <c r="B178" s="2" t="s">
        <v>161</v>
      </c>
    </row>
    <row r="180" spans="2:6" x14ac:dyDescent="0.35">
      <c r="B180" t="s">
        <v>162</v>
      </c>
      <c r="C180">
        <f>791.387</f>
        <v>791.38699999999994</v>
      </c>
      <c r="D180" t="s">
        <v>99</v>
      </c>
    </row>
    <row r="181" spans="2:6" x14ac:dyDescent="0.35">
      <c r="B181" t="s">
        <v>164</v>
      </c>
      <c r="C181">
        <v>3</v>
      </c>
      <c r="D181" t="s">
        <v>38</v>
      </c>
      <c r="E181">
        <v>7.6200000000000004E-2</v>
      </c>
      <c r="F181" t="s">
        <v>36</v>
      </c>
    </row>
    <row r="182" spans="2:6" x14ac:dyDescent="0.35">
      <c r="B182" t="s">
        <v>163</v>
      </c>
    </row>
    <row r="183" spans="2:6" x14ac:dyDescent="0.35">
      <c r="C183">
        <f>C5*4/(PI()*E181*E181*C180)</f>
        <v>0.54862608699131621</v>
      </c>
      <c r="D183" t="s">
        <v>100</v>
      </c>
    </row>
    <row r="185" spans="2:6" ht="16.5" x14ac:dyDescent="0.35">
      <c r="B185" t="s">
        <v>165</v>
      </c>
      <c r="C185">
        <f>C180*C183*C183/1000</f>
        <v>0.23820003476772364</v>
      </c>
      <c r="D185" t="s">
        <v>166</v>
      </c>
    </row>
    <row r="187" spans="2:6" x14ac:dyDescent="0.35">
      <c r="B187" t="s">
        <v>167</v>
      </c>
    </row>
    <row r="189" spans="2:6" x14ac:dyDescent="0.35">
      <c r="B189" s="2" t="s">
        <v>168</v>
      </c>
    </row>
    <row r="191" spans="2:6" x14ac:dyDescent="0.35">
      <c r="B191" t="s">
        <v>124</v>
      </c>
      <c r="C191">
        <v>0.8</v>
      </c>
    </row>
    <row r="192" spans="2:6" x14ac:dyDescent="0.35">
      <c r="B192" t="s">
        <v>169</v>
      </c>
      <c r="C192">
        <f>C129*E181*1000/(2*D126*C191-C129)+3</f>
        <v>3.1803213351600448</v>
      </c>
      <c r="D192" t="s">
        <v>114</v>
      </c>
    </row>
    <row r="193" spans="2:6" x14ac:dyDescent="0.35">
      <c r="B193" t="s">
        <v>137</v>
      </c>
      <c r="D193">
        <v>4</v>
      </c>
      <c r="E193" t="s">
        <v>114</v>
      </c>
    </row>
    <row r="195" spans="2:6" x14ac:dyDescent="0.35">
      <c r="B195" s="2" t="s">
        <v>170</v>
      </c>
    </row>
    <row r="197" spans="2:6" x14ac:dyDescent="0.35">
      <c r="B197" t="s">
        <v>171</v>
      </c>
      <c r="C197">
        <f>3.75</f>
        <v>3.75</v>
      </c>
    </row>
    <row r="198" spans="2:6" x14ac:dyDescent="0.35">
      <c r="B198" t="s">
        <v>172</v>
      </c>
    </row>
    <row r="199" spans="2:6" x14ac:dyDescent="0.35">
      <c r="C199">
        <f>5.35</f>
        <v>5.35</v>
      </c>
      <c r="D199" t="s">
        <v>173</v>
      </c>
      <c r="E199">
        <f>C199*9.81</f>
        <v>52.483499999999999</v>
      </c>
      <c r="F199" t="s">
        <v>120</v>
      </c>
    </row>
    <row r="201" spans="2:6" x14ac:dyDescent="0.35">
      <c r="B201" t="s">
        <v>174</v>
      </c>
      <c r="C201">
        <f>SQRT((E199-C129*C197)/(E199-C129*(C197+1)))</f>
        <v>1.0037421226412035</v>
      </c>
    </row>
    <row r="203" spans="2:6" x14ac:dyDescent="0.35">
      <c r="B203" t="s">
        <v>175</v>
      </c>
    </row>
    <row r="204" spans="2:6" x14ac:dyDescent="0.35">
      <c r="C204">
        <f>C130+0.25</f>
        <v>254.25</v>
      </c>
      <c r="D204" t="s">
        <v>114</v>
      </c>
    </row>
    <row r="206" spans="2:6" x14ac:dyDescent="0.35">
      <c r="B206" t="s">
        <v>176</v>
      </c>
    </row>
    <row r="207" spans="2:6" x14ac:dyDescent="0.35">
      <c r="C207">
        <f>1.05223*C204</f>
        <v>267.52947749999998</v>
      </c>
      <c r="D207" t="s">
        <v>114</v>
      </c>
    </row>
    <row r="209" spans="2:4" x14ac:dyDescent="0.35">
      <c r="B209" t="s">
        <v>177</v>
      </c>
      <c r="C209">
        <f>(C207-C204)/2</f>
        <v>6.6397387499999923</v>
      </c>
      <c r="D209" t="s">
        <v>114</v>
      </c>
    </row>
    <row r="211" spans="2:4" x14ac:dyDescent="0.35">
      <c r="B211" t="s">
        <v>182</v>
      </c>
      <c r="C211">
        <f>(C207+C204)/2</f>
        <v>260.88973874999999</v>
      </c>
      <c r="D211" t="s">
        <v>114</v>
      </c>
    </row>
    <row r="213" spans="2:4" x14ac:dyDescent="0.35">
      <c r="B213" t="s">
        <v>178</v>
      </c>
    </row>
    <row r="214" spans="2:4" x14ac:dyDescent="0.35">
      <c r="C214">
        <f>C209/2</f>
        <v>3.3198693749999961</v>
      </c>
      <c r="D214" t="s">
        <v>114</v>
      </c>
    </row>
    <row r="216" spans="2:4" x14ac:dyDescent="0.35">
      <c r="B216" t="s">
        <v>179</v>
      </c>
    </row>
    <row r="217" spans="2:4" x14ac:dyDescent="0.35">
      <c r="C217">
        <f>SQRT(C214)/2</f>
        <v>0.9110254352925603</v>
      </c>
      <c r="D217" t="s">
        <v>114</v>
      </c>
    </row>
    <row r="219" spans="2:4" x14ac:dyDescent="0.35">
      <c r="B219" s="2" t="s">
        <v>180</v>
      </c>
    </row>
    <row r="221" spans="2:4" x14ac:dyDescent="0.35">
      <c r="B221" t="s">
        <v>181</v>
      </c>
      <c r="C221">
        <f>C211</f>
        <v>260.88973874999999</v>
      </c>
      <c r="D221" t="s">
        <v>114</v>
      </c>
    </row>
    <row r="222" spans="2:4" x14ac:dyDescent="0.35">
      <c r="B222" t="s">
        <v>183</v>
      </c>
    </row>
    <row r="223" spans="2:4" x14ac:dyDescent="0.35">
      <c r="C223">
        <f>PI()*C217*C221*E199</f>
        <v>39188.637324078954</v>
      </c>
      <c r="D223" t="s">
        <v>184</v>
      </c>
    </row>
    <row r="225" spans="2:4" x14ac:dyDescent="0.35">
      <c r="B225" t="s">
        <v>185</v>
      </c>
    </row>
    <row r="226" spans="2:4" x14ac:dyDescent="0.35">
      <c r="C226">
        <f>(2*PI()*C217*C221*C197*C129)+(PI()*C221*C221*C129/4)</f>
        <v>22441.678989221116</v>
      </c>
      <c r="D226" t="s">
        <v>184</v>
      </c>
    </row>
    <row r="228" spans="2:4" x14ac:dyDescent="0.35">
      <c r="B228" t="s">
        <v>186</v>
      </c>
      <c r="C228">
        <f>MAX(C223,C226)</f>
        <v>39188.637324078954</v>
      </c>
    </row>
    <row r="230" spans="2:4" x14ac:dyDescent="0.35">
      <c r="B230" t="s">
        <v>187</v>
      </c>
    </row>
    <row r="231" spans="2:4" ht="16.5" x14ac:dyDescent="0.35">
      <c r="C231">
        <f>C228/D126</f>
        <v>389.54907876818049</v>
      </c>
      <c r="D231" t="s">
        <v>188</v>
      </c>
    </row>
    <row r="233" spans="2:4" x14ac:dyDescent="0.35">
      <c r="B233" t="s">
        <v>189</v>
      </c>
      <c r="C233">
        <f>470</f>
        <v>470</v>
      </c>
      <c r="D233" t="s">
        <v>114</v>
      </c>
    </row>
    <row r="234" spans="2:4" x14ac:dyDescent="0.35">
      <c r="B234" t="s">
        <v>190</v>
      </c>
      <c r="C234">
        <f>16</f>
        <v>16</v>
      </c>
    </row>
    <row r="235" spans="2:4" x14ac:dyDescent="0.35">
      <c r="B235" t="s">
        <v>191</v>
      </c>
      <c r="C235">
        <v>18</v>
      </c>
      <c r="D235" t="s">
        <v>114</v>
      </c>
    </row>
    <row r="236" spans="2:4" x14ac:dyDescent="0.35">
      <c r="B236" t="s">
        <v>192</v>
      </c>
    </row>
    <row r="237" spans="2:4" x14ac:dyDescent="0.35">
      <c r="C237">
        <f>PI()*C235*C235*C234/4</f>
        <v>4071.5040790523717</v>
      </c>
    </row>
    <row r="239" spans="2:4" x14ac:dyDescent="0.35">
      <c r="B239" t="s">
        <v>193</v>
      </c>
    </row>
    <row r="240" spans="2:4" x14ac:dyDescent="0.35">
      <c r="C240">
        <f>C237*D126/(2*PI()*C199*C221)</f>
        <v>46.704874205814441</v>
      </c>
    </row>
    <row r="242" spans="2:4" x14ac:dyDescent="0.35">
      <c r="B242" s="2" t="s">
        <v>194</v>
      </c>
    </row>
    <row r="244" spans="2:4" x14ac:dyDescent="0.35">
      <c r="B244" t="s">
        <v>195</v>
      </c>
    </row>
    <row r="245" spans="2:4" x14ac:dyDescent="0.35">
      <c r="C245">
        <f>(C237+C231)/2*D126</f>
        <v>224390.97383837376</v>
      </c>
      <c r="D245" t="s">
        <v>184</v>
      </c>
    </row>
    <row r="247" spans="2:4" x14ac:dyDescent="0.35">
      <c r="B247" t="s">
        <v>214</v>
      </c>
    </row>
    <row r="248" spans="2:4" x14ac:dyDescent="0.35">
      <c r="C248">
        <f>C245*(C233-C221)/2</f>
        <v>23461227.580742128</v>
      </c>
      <c r="D248" t="s">
        <v>196</v>
      </c>
    </row>
    <row r="250" spans="2:4" x14ac:dyDescent="0.35">
      <c r="B250" t="s">
        <v>197</v>
      </c>
    </row>
    <row r="251" spans="2:4" x14ac:dyDescent="0.35">
      <c r="B251" t="s">
        <v>198</v>
      </c>
      <c r="C251">
        <f>E148</f>
        <v>264</v>
      </c>
      <c r="D251" t="s">
        <v>114</v>
      </c>
    </row>
    <row r="253" spans="2:4" x14ac:dyDescent="0.35">
      <c r="B253" t="s">
        <v>201</v>
      </c>
    </row>
    <row r="254" spans="2:4" x14ac:dyDescent="0.35">
      <c r="C254">
        <f>PI()*C251*C251*C129/4</f>
        <v>20800.861950536451</v>
      </c>
      <c r="D254" t="s">
        <v>184</v>
      </c>
    </row>
    <row r="256" spans="2:4" x14ac:dyDescent="0.35">
      <c r="B256" t="s">
        <v>200</v>
      </c>
      <c r="C256">
        <f>(C233-C251)/2</f>
        <v>103</v>
      </c>
      <c r="D256" t="s">
        <v>114</v>
      </c>
    </row>
    <row r="258" spans="2:4" x14ac:dyDescent="0.35">
      <c r="B258" t="s">
        <v>199</v>
      </c>
    </row>
    <row r="259" spans="2:4" x14ac:dyDescent="0.35">
      <c r="C259">
        <f>C254*C256</f>
        <v>2142488.7809052547</v>
      </c>
      <c r="D259" t="s">
        <v>196</v>
      </c>
    </row>
    <row r="261" spans="2:4" x14ac:dyDescent="0.35">
      <c r="B261" t="s">
        <v>202</v>
      </c>
      <c r="C261">
        <f>PI()*C221*C221*D165/4</f>
        <v>20313.627003861431</v>
      </c>
      <c r="D261" t="s">
        <v>184</v>
      </c>
    </row>
    <row r="263" spans="2:4" x14ac:dyDescent="0.35">
      <c r="B263" t="s">
        <v>203</v>
      </c>
      <c r="C263">
        <f>C226</f>
        <v>22441.678989221116</v>
      </c>
      <c r="D263" t="s">
        <v>184</v>
      </c>
    </row>
    <row r="265" spans="2:4" x14ac:dyDescent="0.35">
      <c r="B265" t="s">
        <v>204</v>
      </c>
      <c r="C265">
        <f>C263-C261</f>
        <v>2128.0519853596852</v>
      </c>
      <c r="D265" t="s">
        <v>184</v>
      </c>
    </row>
    <row r="267" spans="2:4" x14ac:dyDescent="0.35">
      <c r="B267" t="s">
        <v>205</v>
      </c>
      <c r="C267">
        <f>(C233-C221)/2</f>
        <v>104.555130625</v>
      </c>
      <c r="D267" t="s">
        <v>114</v>
      </c>
    </row>
    <row r="269" spans="2:4" x14ac:dyDescent="0.35">
      <c r="B269" t="s">
        <v>206</v>
      </c>
    </row>
    <row r="270" spans="2:4" x14ac:dyDescent="0.35">
      <c r="C270">
        <f>C265*C267</f>
        <v>222498.7533060725</v>
      </c>
      <c r="D270" t="s">
        <v>196</v>
      </c>
    </row>
    <row r="272" spans="2:4" x14ac:dyDescent="0.35">
      <c r="B272" t="s">
        <v>210</v>
      </c>
      <c r="C272">
        <f>ABS(C261-C265)</f>
        <v>18185.575018501746</v>
      </c>
      <c r="D272" t="s">
        <v>184</v>
      </c>
    </row>
    <row r="274" spans="2:4" x14ac:dyDescent="0.35">
      <c r="B274" t="s">
        <v>211</v>
      </c>
      <c r="C274">
        <f>(C256+C267)/2</f>
        <v>103.7775653125</v>
      </c>
      <c r="D274" t="s">
        <v>114</v>
      </c>
    </row>
    <row r="276" spans="2:4" x14ac:dyDescent="0.35">
      <c r="B276" t="s">
        <v>212</v>
      </c>
    </row>
    <row r="277" spans="2:4" x14ac:dyDescent="0.35">
      <c r="C277">
        <f>C272*C274</f>
        <v>1887254.6992279333</v>
      </c>
      <c r="D277" t="s">
        <v>196</v>
      </c>
    </row>
    <row r="279" spans="2:4" x14ac:dyDescent="0.35">
      <c r="B279" t="s">
        <v>213</v>
      </c>
      <c r="C279">
        <f>C277+C270+C259</f>
        <v>4252242.2334392611</v>
      </c>
      <c r="D279" t="s">
        <v>196</v>
      </c>
    </row>
    <row r="281" spans="2:4" x14ac:dyDescent="0.35">
      <c r="B281" t="s">
        <v>215</v>
      </c>
    </row>
    <row r="282" spans="2:4" x14ac:dyDescent="0.35">
      <c r="B282" t="s">
        <v>216</v>
      </c>
    </row>
    <row r="285" spans="2:4" x14ac:dyDescent="0.35">
      <c r="B285" s="2" t="s">
        <v>194</v>
      </c>
    </row>
    <row r="287" spans="2:4" x14ac:dyDescent="0.35">
      <c r="B287" t="s">
        <v>207</v>
      </c>
      <c r="C287">
        <v>510</v>
      </c>
    </row>
    <row r="288" spans="2:4" x14ac:dyDescent="0.35">
      <c r="B288" t="s">
        <v>152</v>
      </c>
      <c r="C288">
        <f>C287/C251</f>
        <v>1.9318181818181819</v>
      </c>
    </row>
    <row r="290" spans="2:4" x14ac:dyDescent="0.35">
      <c r="B290" t="s">
        <v>208</v>
      </c>
    </row>
    <row r="291" spans="2:4" x14ac:dyDescent="0.35">
      <c r="B291" t="s">
        <v>209</v>
      </c>
      <c r="C291">
        <f>ABS((0.66845-(5.7169*C288*C288*LOG10(C288)/(C288*H288-1))))/(C288-1)</f>
        <v>7.2648788540924727</v>
      </c>
    </row>
    <row r="293" spans="2:4" x14ac:dyDescent="0.35">
      <c r="B293" t="s">
        <v>217</v>
      </c>
    </row>
    <row r="294" spans="2:4" x14ac:dyDescent="0.35">
      <c r="B294" t="s">
        <v>209</v>
      </c>
      <c r="C294">
        <v>8</v>
      </c>
    </row>
    <row r="296" spans="2:4" x14ac:dyDescent="0.35">
      <c r="B296" t="s">
        <v>218</v>
      </c>
      <c r="C296">
        <f>SQRT(C248*C294/(D126*C251))</f>
        <v>84.065810767606948</v>
      </c>
      <c r="D296" t="s">
        <v>114</v>
      </c>
    </row>
  </sheetData>
  <mergeCells count="7">
    <mergeCell ref="B144:C144"/>
    <mergeCell ref="B4:E4"/>
    <mergeCell ref="G4:H4"/>
    <mergeCell ref="B12:D12"/>
    <mergeCell ref="B17:D17"/>
    <mergeCell ref="B23:C23"/>
    <mergeCell ref="B39:C3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CFD91-EB9B-4A90-9E59-99510DA21244}">
  <dimension ref="B3:O145"/>
  <sheetViews>
    <sheetView topLeftCell="A101" workbookViewId="0">
      <selection activeCell="D112" sqref="D112"/>
    </sheetView>
  </sheetViews>
  <sheetFormatPr defaultRowHeight="14.5" x14ac:dyDescent="0.35"/>
  <cols>
    <col min="2" max="2" width="10.6328125" customWidth="1"/>
    <col min="3" max="4" width="12" bestFit="1" customWidth="1"/>
  </cols>
  <sheetData>
    <row r="3" spans="2:14" x14ac:dyDescent="0.35">
      <c r="B3" s="2" t="s">
        <v>0</v>
      </c>
    </row>
    <row r="4" spans="2:14" x14ac:dyDescent="0.35">
      <c r="B4" s="3" t="s">
        <v>11</v>
      </c>
      <c r="C4" s="3"/>
      <c r="D4" s="3"/>
      <c r="E4" s="3"/>
      <c r="G4" s="3" t="s">
        <v>23</v>
      </c>
      <c r="H4" s="3"/>
      <c r="I4" t="s">
        <v>55</v>
      </c>
      <c r="L4" t="s">
        <v>58</v>
      </c>
    </row>
    <row r="5" spans="2:14" x14ac:dyDescent="0.35">
      <c r="C5">
        <v>1.98</v>
      </c>
      <c r="D5" t="s">
        <v>1</v>
      </c>
      <c r="G5">
        <v>2036.9949999999999</v>
      </c>
      <c r="H5" t="s">
        <v>60</v>
      </c>
      <c r="J5">
        <v>0.15</v>
      </c>
      <c r="M5">
        <f>C40/(G8*(C10-C9))</f>
        <v>1.4672568045685279</v>
      </c>
      <c r="N5" t="s">
        <v>1</v>
      </c>
    </row>
    <row r="7" spans="2:14" x14ac:dyDescent="0.35">
      <c r="B7" t="s">
        <v>2</v>
      </c>
      <c r="C7">
        <v>76.5</v>
      </c>
      <c r="D7" s="1" t="s">
        <v>3</v>
      </c>
      <c r="G7" t="s">
        <v>59</v>
      </c>
      <c r="I7" t="s">
        <v>82</v>
      </c>
    </row>
    <row r="8" spans="2:14" x14ac:dyDescent="0.35">
      <c r="B8" t="s">
        <v>4</v>
      </c>
      <c r="C8">
        <v>55</v>
      </c>
      <c r="D8" s="1" t="s">
        <v>3</v>
      </c>
      <c r="G8">
        <v>3940</v>
      </c>
      <c r="H8" t="s">
        <v>60</v>
      </c>
      <c r="J8">
        <v>0.59799999999999998</v>
      </c>
    </row>
    <row r="9" spans="2:14" x14ac:dyDescent="0.35">
      <c r="B9" t="s">
        <v>5</v>
      </c>
      <c r="C9">
        <v>27</v>
      </c>
      <c r="D9" s="1" t="s">
        <v>3</v>
      </c>
    </row>
    <row r="10" spans="2:14" x14ac:dyDescent="0.35">
      <c r="B10" t="s">
        <v>6</v>
      </c>
      <c r="C10">
        <v>42</v>
      </c>
      <c r="D10" s="1" t="s">
        <v>3</v>
      </c>
      <c r="G10" t="s">
        <v>50</v>
      </c>
      <c r="I10" t="s">
        <v>63</v>
      </c>
    </row>
    <row r="11" spans="2:14" x14ac:dyDescent="0.35">
      <c r="G11">
        <v>0.73299999999999998</v>
      </c>
      <c r="H11" t="s">
        <v>51</v>
      </c>
      <c r="I11">
        <v>0.4138</v>
      </c>
      <c r="J11" t="s">
        <v>51</v>
      </c>
    </row>
    <row r="12" spans="2:14" x14ac:dyDescent="0.35">
      <c r="B12" s="4" t="s">
        <v>10</v>
      </c>
      <c r="C12" s="4"/>
      <c r="D12" s="4"/>
    </row>
    <row r="13" spans="2:14" x14ac:dyDescent="0.35">
      <c r="B13" t="s">
        <v>7</v>
      </c>
      <c r="G13" t="s">
        <v>61</v>
      </c>
      <c r="I13" t="s">
        <v>98</v>
      </c>
    </row>
    <row r="14" spans="2:14" ht="16.5" x14ac:dyDescent="0.35">
      <c r="B14" t="s">
        <v>8</v>
      </c>
      <c r="G14">
        <v>977.01</v>
      </c>
      <c r="H14" t="s">
        <v>62</v>
      </c>
      <c r="I14">
        <v>791.38699999999994</v>
      </c>
      <c r="J14" t="s">
        <v>99</v>
      </c>
    </row>
    <row r="15" spans="2:14" x14ac:dyDescent="0.35">
      <c r="B15" t="s">
        <v>9</v>
      </c>
    </row>
    <row r="17" spans="2:4" x14ac:dyDescent="0.35">
      <c r="B17" s="4" t="s">
        <v>13</v>
      </c>
      <c r="C17" s="4"/>
      <c r="D17" s="4"/>
    </row>
    <row r="18" spans="2:4" x14ac:dyDescent="0.35">
      <c r="B18" t="s">
        <v>14</v>
      </c>
      <c r="C18">
        <f>(C8-C9)/(C7-C10)</f>
        <v>0.81159420289855078</v>
      </c>
    </row>
    <row r="20" spans="2:4" x14ac:dyDescent="0.35">
      <c r="B20" t="s">
        <v>15</v>
      </c>
      <c r="C20">
        <f>(C7-C8)/(C10-C9)</f>
        <v>1.4333333333333333</v>
      </c>
    </row>
    <row r="21" spans="2:4" x14ac:dyDescent="0.35">
      <c r="B21" t="s">
        <v>16</v>
      </c>
      <c r="C21">
        <f>(C10-C9)/(C7-C9)</f>
        <v>0.30303030303030304</v>
      </c>
    </row>
    <row r="23" spans="2:4" x14ac:dyDescent="0.35">
      <c r="B23" s="3" t="s">
        <v>19</v>
      </c>
      <c r="C23" s="3"/>
    </row>
    <row r="24" spans="2:4" x14ac:dyDescent="0.35">
      <c r="C24">
        <v>47.3</v>
      </c>
    </row>
    <row r="25" spans="2:4" x14ac:dyDescent="0.35">
      <c r="B25" t="s">
        <v>20</v>
      </c>
    </row>
    <row r="26" spans="2:4" x14ac:dyDescent="0.35">
      <c r="C26">
        <v>10</v>
      </c>
    </row>
    <row r="29" spans="2:4" x14ac:dyDescent="0.35">
      <c r="B29" t="s">
        <v>17</v>
      </c>
    </row>
    <row r="30" spans="2:4" x14ac:dyDescent="0.35">
      <c r="B30" t="s">
        <v>18</v>
      </c>
      <c r="C30">
        <v>0.94</v>
      </c>
    </row>
    <row r="31" spans="2:4" x14ac:dyDescent="0.35">
      <c r="B31" t="s">
        <v>21</v>
      </c>
      <c r="C31">
        <v>0.1</v>
      </c>
    </row>
    <row r="32" spans="2:4" x14ac:dyDescent="0.35">
      <c r="B32" t="s">
        <v>22</v>
      </c>
      <c r="C32">
        <v>0.44</v>
      </c>
    </row>
    <row r="34" spans="2:4" x14ac:dyDescent="0.35">
      <c r="B34" s="2" t="s">
        <v>24</v>
      </c>
    </row>
    <row r="35" spans="2:4" x14ac:dyDescent="0.35">
      <c r="C35">
        <f>(C8+C32*(C7-C8))</f>
        <v>64.460000000000008</v>
      </c>
    </row>
    <row r="39" spans="2:4" x14ac:dyDescent="0.35">
      <c r="B39" s="4" t="s">
        <v>12</v>
      </c>
      <c r="C39" s="4"/>
    </row>
    <row r="40" spans="2:4" x14ac:dyDescent="0.35">
      <c r="B40" t="s">
        <v>25</v>
      </c>
      <c r="C40">
        <f>(C5*(C7-C8)*G5)</f>
        <v>86714.87715</v>
      </c>
    </row>
    <row r="43" spans="2:4" x14ac:dyDescent="0.35">
      <c r="B43" t="s">
        <v>26</v>
      </c>
      <c r="C43">
        <f>496.848</f>
        <v>496.84800000000001</v>
      </c>
    </row>
    <row r="44" spans="2:4" x14ac:dyDescent="0.35">
      <c r="B44" t="s">
        <v>29</v>
      </c>
      <c r="C44">
        <f>C7-C10</f>
        <v>34.5</v>
      </c>
    </row>
    <row r="45" spans="2:4" x14ac:dyDescent="0.35">
      <c r="B45" t="s">
        <v>30</v>
      </c>
      <c r="C45">
        <f>C8-C9</f>
        <v>28</v>
      </c>
    </row>
    <row r="46" spans="2:4" x14ac:dyDescent="0.35">
      <c r="B46" t="s">
        <v>28</v>
      </c>
      <c r="C46">
        <f>(C44-C45)/LN(C44/C45)</f>
        <v>31.137006518534587</v>
      </c>
    </row>
    <row r="48" spans="2:4" x14ac:dyDescent="0.35">
      <c r="B48" t="s">
        <v>31</v>
      </c>
      <c r="C48">
        <f>C40/(C43*C46*C30)</f>
        <v>5.9630075058715164</v>
      </c>
      <c r="D48" t="s">
        <v>32</v>
      </c>
    </row>
    <row r="50" spans="2:15" x14ac:dyDescent="0.35">
      <c r="B50" t="s">
        <v>33</v>
      </c>
    </row>
    <row r="51" spans="2:15" x14ac:dyDescent="0.35">
      <c r="B51" t="s">
        <v>34</v>
      </c>
      <c r="C51">
        <v>20</v>
      </c>
      <c r="D51" t="s">
        <v>35</v>
      </c>
      <c r="E51">
        <f>6.096</f>
        <v>6.0960000000000001</v>
      </c>
      <c r="F51" t="s">
        <v>36</v>
      </c>
    </row>
    <row r="52" spans="2:15" x14ac:dyDescent="0.35">
      <c r="B52" t="s">
        <v>37</v>
      </c>
      <c r="C52">
        <v>0.67</v>
      </c>
      <c r="D52" t="s">
        <v>38</v>
      </c>
      <c r="E52">
        <v>1.7017999999999998E-2</v>
      </c>
      <c r="F52" t="s">
        <v>36</v>
      </c>
      <c r="G52" t="s">
        <v>85</v>
      </c>
      <c r="H52">
        <f>PI()/4*E52*E52</f>
        <v>2.274609873668667E-4</v>
      </c>
    </row>
    <row r="53" spans="2:15" x14ac:dyDescent="0.35">
      <c r="B53" t="s">
        <v>39</v>
      </c>
      <c r="C53">
        <v>1</v>
      </c>
      <c r="D53" t="s">
        <v>38</v>
      </c>
      <c r="E53">
        <v>2.5399999999999999E-2</v>
      </c>
      <c r="F53" t="s">
        <v>36</v>
      </c>
      <c r="G53" t="s">
        <v>86</v>
      </c>
      <c r="H53">
        <f>PI()/4*(E53*E53-E52*E52)</f>
        <v>2.7924649173063102E-4</v>
      </c>
    </row>
    <row r="55" spans="2:15" ht="16.5" x14ac:dyDescent="0.35">
      <c r="B55" t="s">
        <v>40</v>
      </c>
      <c r="H55" t="s">
        <v>89</v>
      </c>
      <c r="J55">
        <v>274.92250000000001</v>
      </c>
      <c r="K55" t="s">
        <v>69</v>
      </c>
    </row>
    <row r="56" spans="2:15" x14ac:dyDescent="0.35">
      <c r="B56" t="s">
        <v>41</v>
      </c>
      <c r="C56">
        <f>C48/(PI()*E53*E51)</f>
        <v>12.25848523691185</v>
      </c>
      <c r="D56" t="s">
        <v>42</v>
      </c>
      <c r="E56">
        <v>17</v>
      </c>
    </row>
    <row r="57" spans="2:15" x14ac:dyDescent="0.35">
      <c r="H57" t="s">
        <v>220</v>
      </c>
      <c r="M57" t="s">
        <v>31</v>
      </c>
      <c r="N57">
        <f>C40/(J55*C30*C46)</f>
        <v>10.776521940827875</v>
      </c>
      <c r="O57" t="s">
        <v>32</v>
      </c>
    </row>
    <row r="58" spans="2:15" x14ac:dyDescent="0.35">
      <c r="B58" t="s">
        <v>43</v>
      </c>
      <c r="H58" t="s">
        <v>41</v>
      </c>
      <c r="I58">
        <f>N57/(PI()*E53*E51)</f>
        <v>22.153893817309168</v>
      </c>
      <c r="J58" t="s">
        <v>42</v>
      </c>
      <c r="K58">
        <v>23</v>
      </c>
    </row>
    <row r="59" spans="2:15" x14ac:dyDescent="0.35">
      <c r="C59">
        <v>32</v>
      </c>
    </row>
    <row r="60" spans="2:15" x14ac:dyDescent="0.35">
      <c r="H60" t="s">
        <v>43</v>
      </c>
    </row>
    <row r="61" spans="2:15" x14ac:dyDescent="0.35">
      <c r="B61" t="s">
        <v>44</v>
      </c>
      <c r="H61">
        <v>32</v>
      </c>
    </row>
    <row r="62" spans="2:15" x14ac:dyDescent="0.35">
      <c r="B62" t="s">
        <v>27</v>
      </c>
      <c r="C62">
        <v>2</v>
      </c>
    </row>
    <row r="63" spans="2:15" x14ac:dyDescent="0.35">
      <c r="H63" t="s">
        <v>65</v>
      </c>
    </row>
    <row r="64" spans="2:15" x14ac:dyDescent="0.35">
      <c r="B64" t="s">
        <v>45</v>
      </c>
      <c r="H64">
        <f>C62*C5*4*1000/(PI()*E52*G11*H61)</f>
        <v>12631.148245808619</v>
      </c>
    </row>
    <row r="65" spans="2:11" x14ac:dyDescent="0.35">
      <c r="C65">
        <v>1</v>
      </c>
    </row>
    <row r="66" spans="2:11" x14ac:dyDescent="0.35">
      <c r="H66" t="s">
        <v>66</v>
      </c>
    </row>
    <row r="67" spans="2:11" ht="16.5" x14ac:dyDescent="0.35">
      <c r="B67" t="s">
        <v>46</v>
      </c>
      <c r="C67">
        <v>10</v>
      </c>
      <c r="D67" t="s">
        <v>38</v>
      </c>
      <c r="E67">
        <v>0.254</v>
      </c>
      <c r="F67" t="s">
        <v>36</v>
      </c>
      <c r="H67" t="s">
        <v>53</v>
      </c>
      <c r="I67">
        <f>0.023*POWER((G5*G11/(J5*1000)),1/3)*POWER(H64,0.8)*J5/E52</f>
        <v>833.16765414195208</v>
      </c>
      <c r="J67" t="s">
        <v>69</v>
      </c>
    </row>
    <row r="68" spans="2:11" x14ac:dyDescent="0.35">
      <c r="B68" t="s">
        <v>47</v>
      </c>
      <c r="C68">
        <v>1.25</v>
      </c>
      <c r="D68" t="s">
        <v>38</v>
      </c>
      <c r="E68">
        <v>3.175E-2</v>
      </c>
      <c r="F68" t="s">
        <v>36</v>
      </c>
    </row>
    <row r="69" spans="2:11" x14ac:dyDescent="0.35">
      <c r="H69" t="s">
        <v>68</v>
      </c>
      <c r="I69">
        <v>0.33650000000000002</v>
      </c>
      <c r="J69" t="s">
        <v>36</v>
      </c>
    </row>
    <row r="70" spans="2:11" x14ac:dyDescent="0.35">
      <c r="B70" t="s">
        <v>48</v>
      </c>
    </row>
    <row r="71" spans="2:11" x14ac:dyDescent="0.35">
      <c r="C71" t="s">
        <v>49</v>
      </c>
      <c r="D71">
        <f>(C62*C5*1000)/((PI()/4*E52*G11*E56))</f>
        <v>23776.27905093387</v>
      </c>
      <c r="H71" t="s">
        <v>70</v>
      </c>
      <c r="I71">
        <v>3.175E-2</v>
      </c>
      <c r="J71" t="s">
        <v>36</v>
      </c>
    </row>
    <row r="73" spans="2:11" x14ac:dyDescent="0.35">
      <c r="B73" t="s">
        <v>54</v>
      </c>
      <c r="D73">
        <f>(G5*G11)/(J5*1000)</f>
        <v>9.9541155666666654</v>
      </c>
      <c r="H73" t="s">
        <v>71</v>
      </c>
      <c r="J73">
        <f>I71-E53</f>
        <v>6.3500000000000015E-3</v>
      </c>
      <c r="K73" t="s">
        <v>36</v>
      </c>
    </row>
    <row r="75" spans="2:11" x14ac:dyDescent="0.35">
      <c r="H75" t="s">
        <v>72</v>
      </c>
      <c r="J75">
        <f>I69/2</f>
        <v>0.16825000000000001</v>
      </c>
      <c r="K75" t="s">
        <v>135</v>
      </c>
    </row>
    <row r="76" spans="2:11" x14ac:dyDescent="0.35">
      <c r="B76" t="s">
        <v>52</v>
      </c>
    </row>
    <row r="77" spans="2:11" x14ac:dyDescent="0.35">
      <c r="C77" t="s">
        <v>53</v>
      </c>
      <c r="D77">
        <f>0.023*(POWER(D71,0.8))*POWER(D73,0.3)</f>
        <v>145.22579111410096</v>
      </c>
      <c r="H77" t="s">
        <v>73</v>
      </c>
      <c r="I77">
        <f>J73*J75*I69/I71</f>
        <v>1.1323225000000003E-2</v>
      </c>
      <c r="J77" t="s">
        <v>32</v>
      </c>
    </row>
    <row r="79" spans="2:11" x14ac:dyDescent="0.35">
      <c r="H79" t="s">
        <v>74</v>
      </c>
      <c r="I79">
        <f>4*(I71*I71-(PI()/4*E53*E53))/(PI()*E53)</f>
        <v>2.5131694431676777E-2</v>
      </c>
      <c r="J79" t="s">
        <v>36</v>
      </c>
    </row>
    <row r="81" spans="8:11" x14ac:dyDescent="0.35">
      <c r="H81" t="s">
        <v>67</v>
      </c>
      <c r="K81">
        <f>M5*I79*1000/(I77*I11)</f>
        <v>7869.8649445492902</v>
      </c>
    </row>
    <row r="83" spans="8:11" ht="16.5" x14ac:dyDescent="0.35">
      <c r="H83" t="s">
        <v>75</v>
      </c>
      <c r="I83">
        <f>0.00075</f>
        <v>7.5000000000000002E-4</v>
      </c>
      <c r="J83" t="s">
        <v>76</v>
      </c>
    </row>
    <row r="84" spans="8:11" ht="16.5" x14ac:dyDescent="0.35">
      <c r="H84" t="s">
        <v>77</v>
      </c>
      <c r="I84">
        <v>1.8000000000000001E-4</v>
      </c>
      <c r="J84" t="s">
        <v>76</v>
      </c>
    </row>
    <row r="86" spans="8:11" x14ac:dyDescent="0.35">
      <c r="H86" t="s">
        <v>78</v>
      </c>
    </row>
    <row r="87" spans="8:11" x14ac:dyDescent="0.35">
      <c r="H87" t="s">
        <v>79</v>
      </c>
      <c r="I87">
        <v>54</v>
      </c>
      <c r="J87" t="s">
        <v>80</v>
      </c>
    </row>
    <row r="89" spans="8:11" x14ac:dyDescent="0.35">
      <c r="H89" t="s">
        <v>81</v>
      </c>
      <c r="J89">
        <f>0.806455+0.36921*POWER(K81,0.541044)</f>
        <v>48.139361795809172</v>
      </c>
    </row>
    <row r="91" spans="8:11" ht="16.5" x14ac:dyDescent="0.35">
      <c r="H91" t="s">
        <v>83</v>
      </c>
      <c r="I91">
        <f>(J89*J8/I79)*(POWER((G8*0.001*I11/J8),-1/3))</f>
        <v>819.94470752962468</v>
      </c>
      <c r="J91" t="s">
        <v>69</v>
      </c>
    </row>
    <row r="93" spans="8:11" x14ac:dyDescent="0.35">
      <c r="H93" t="s">
        <v>84</v>
      </c>
      <c r="I93">
        <f>1/I91+I83+(H53/H52)*((E53-E52)/(2*I87)+I84+(1/I67))</f>
        <v>3.7593493660962127E-3</v>
      </c>
    </row>
    <row r="95" spans="8:11" ht="16.5" x14ac:dyDescent="0.35">
      <c r="H95" t="s">
        <v>87</v>
      </c>
      <c r="I95">
        <f>POWER(I93,-1)</f>
        <v>266.0034762979268</v>
      </c>
      <c r="J95" t="s">
        <v>69</v>
      </c>
    </row>
    <row r="97" spans="2:9" x14ac:dyDescent="0.35">
      <c r="H97" t="s">
        <v>88</v>
      </c>
      <c r="I97">
        <f xml:space="preserve"> ((J55-I95)/J55)*100</f>
        <v>3.2441956195193988</v>
      </c>
    </row>
    <row r="99" spans="2:9" x14ac:dyDescent="0.35">
      <c r="H99" t="s">
        <v>91</v>
      </c>
    </row>
    <row r="103" spans="2:9" x14ac:dyDescent="0.35">
      <c r="B103" t="s">
        <v>92</v>
      </c>
    </row>
    <row r="105" spans="2:9" x14ac:dyDescent="0.35">
      <c r="B105" t="s">
        <v>93</v>
      </c>
      <c r="C105">
        <v>32</v>
      </c>
    </row>
    <row r="106" spans="2:9" x14ac:dyDescent="0.35">
      <c r="B106" t="s">
        <v>94</v>
      </c>
      <c r="C106">
        <f>H64</f>
        <v>12631.148245808619</v>
      </c>
    </row>
    <row r="107" spans="2:9" x14ac:dyDescent="0.35">
      <c r="B107" t="s">
        <v>95</v>
      </c>
      <c r="D107">
        <v>2.8000000000000001E-2</v>
      </c>
      <c r="E107" t="s">
        <v>96</v>
      </c>
    </row>
    <row r="108" spans="2:9" x14ac:dyDescent="0.35">
      <c r="B108" t="s">
        <v>97</v>
      </c>
      <c r="D108">
        <f>C62*C5/(C105*I14*N57)*100000</f>
        <v>1.4510342989696572</v>
      </c>
      <c r="E108" t="s">
        <v>100</v>
      </c>
    </row>
    <row r="109" spans="2:9" x14ac:dyDescent="0.35">
      <c r="B109" t="s">
        <v>101</v>
      </c>
      <c r="D109">
        <f>0.5*D107*I14*D108*D108*E51/E52</f>
        <v>8356.1984046377966</v>
      </c>
    </row>
    <row r="110" spans="2:9" x14ac:dyDescent="0.35">
      <c r="B110" t="s">
        <v>102</v>
      </c>
      <c r="D110">
        <f>4*C62*D108*D108*1000/(I14*2*9.81)</f>
        <v>1.0848193634783507</v>
      </c>
    </row>
    <row r="111" spans="2:9" x14ac:dyDescent="0.35">
      <c r="B111" t="s">
        <v>103</v>
      </c>
      <c r="D111">
        <f>D109+D110</f>
        <v>8357.2832240012758</v>
      </c>
      <c r="E111" t="s">
        <v>104</v>
      </c>
      <c r="F111">
        <v>0.92300000000000004</v>
      </c>
      <c r="G111" t="s">
        <v>105</v>
      </c>
    </row>
    <row r="112" spans="2:9" x14ac:dyDescent="0.35">
      <c r="B112" t="s">
        <v>107</v>
      </c>
      <c r="D112">
        <v>9.58</v>
      </c>
    </row>
    <row r="115" spans="2:7" x14ac:dyDescent="0.35">
      <c r="B115" t="s">
        <v>106</v>
      </c>
    </row>
    <row r="116" spans="2:7" x14ac:dyDescent="0.35">
      <c r="B116" t="s">
        <v>108</v>
      </c>
      <c r="D116">
        <v>1</v>
      </c>
    </row>
    <row r="117" spans="2:7" x14ac:dyDescent="0.35">
      <c r="B117" t="s">
        <v>109</v>
      </c>
      <c r="D117">
        <v>2</v>
      </c>
    </row>
    <row r="119" spans="2:7" x14ac:dyDescent="0.35">
      <c r="B119" t="s">
        <v>110</v>
      </c>
      <c r="D119" t="s">
        <v>111</v>
      </c>
    </row>
    <row r="120" spans="2:7" x14ac:dyDescent="0.35">
      <c r="B120" t="s">
        <v>112</v>
      </c>
      <c r="D120" t="s">
        <v>47</v>
      </c>
    </row>
    <row r="121" spans="2:7" x14ac:dyDescent="0.35">
      <c r="B121" t="s">
        <v>113</v>
      </c>
      <c r="E121">
        <v>3</v>
      </c>
      <c r="F121" t="s">
        <v>114</v>
      </c>
    </row>
    <row r="122" spans="2:7" x14ac:dyDescent="0.35">
      <c r="B122" t="s">
        <v>115</v>
      </c>
      <c r="D122">
        <f>1.1*185.9</f>
        <v>204.49</v>
      </c>
      <c r="E122" t="s">
        <v>116</v>
      </c>
    </row>
    <row r="123" spans="2:7" x14ac:dyDescent="0.35">
      <c r="B123" t="s">
        <v>118</v>
      </c>
      <c r="D123">
        <v>50</v>
      </c>
      <c r="E123" t="s">
        <v>105</v>
      </c>
    </row>
    <row r="124" spans="2:7" x14ac:dyDescent="0.35">
      <c r="B124" t="s">
        <v>117</v>
      </c>
      <c r="D124">
        <f>1.1*D123</f>
        <v>55.000000000000007</v>
      </c>
      <c r="E124" t="s">
        <v>105</v>
      </c>
      <c r="F124">
        <v>0.38</v>
      </c>
      <c r="G124" t="s">
        <v>120</v>
      </c>
    </row>
    <row r="126" spans="2:7" x14ac:dyDescent="0.35">
      <c r="B126" t="s">
        <v>119</v>
      </c>
      <c r="D126">
        <v>100.6</v>
      </c>
      <c r="E126" t="s">
        <v>120</v>
      </c>
      <c r="F126" t="s">
        <v>121</v>
      </c>
    </row>
    <row r="128" spans="2:7" x14ac:dyDescent="0.35">
      <c r="B128" t="s">
        <v>122</v>
      </c>
    </row>
    <row r="129" spans="2:6" x14ac:dyDescent="0.35">
      <c r="B129" t="s">
        <v>123</v>
      </c>
      <c r="C129">
        <f>F124</f>
        <v>0.38</v>
      </c>
      <c r="D129" t="s">
        <v>120</v>
      </c>
    </row>
    <row r="130" spans="2:6" x14ac:dyDescent="0.35">
      <c r="B130" t="s">
        <v>68</v>
      </c>
      <c r="C130">
        <v>254</v>
      </c>
      <c r="D130" t="s">
        <v>114</v>
      </c>
    </row>
    <row r="131" spans="2:6" x14ac:dyDescent="0.35">
      <c r="B131" t="s">
        <v>124</v>
      </c>
      <c r="C131">
        <v>0.8</v>
      </c>
    </row>
    <row r="132" spans="2:6" x14ac:dyDescent="0.35">
      <c r="B132" t="s">
        <v>125</v>
      </c>
      <c r="C132">
        <f>C129*C130/(D126*C131-0.6*C129)+3</f>
        <v>4.2027114589044512</v>
      </c>
      <c r="D132" t="s">
        <v>114</v>
      </c>
    </row>
    <row r="133" spans="2:6" x14ac:dyDescent="0.35">
      <c r="B133" t="s">
        <v>125</v>
      </c>
      <c r="C133">
        <v>5</v>
      </c>
      <c r="D133" t="s">
        <v>114</v>
      </c>
      <c r="E133" t="s">
        <v>126</v>
      </c>
    </row>
    <row r="135" spans="2:6" x14ac:dyDescent="0.35">
      <c r="B135" t="s">
        <v>127</v>
      </c>
    </row>
    <row r="137" spans="2:6" x14ac:dyDescent="0.35">
      <c r="B137" t="s">
        <v>128</v>
      </c>
      <c r="E137">
        <f>C130</f>
        <v>254</v>
      </c>
      <c r="F137" t="s">
        <v>114</v>
      </c>
    </row>
    <row r="138" spans="2:6" x14ac:dyDescent="0.35">
      <c r="B138" t="s">
        <v>129</v>
      </c>
      <c r="E138">
        <f>0.06*E137</f>
        <v>15.24</v>
      </c>
      <c r="F138" t="s">
        <v>114</v>
      </c>
    </row>
    <row r="139" spans="2:6" x14ac:dyDescent="0.35">
      <c r="B139" t="s">
        <v>130</v>
      </c>
      <c r="E139">
        <f>E137-POWER((E137-C130/2)*(E137+C130/2)+2*E138,0.5)</f>
        <v>33.960276313571057</v>
      </c>
      <c r="F139" t="s">
        <v>114</v>
      </c>
    </row>
    <row r="141" spans="2:6" x14ac:dyDescent="0.35">
      <c r="B141" t="s">
        <v>131</v>
      </c>
      <c r="E141">
        <f>E51+2*E139*0.001</f>
        <v>6.1639205526271423</v>
      </c>
      <c r="F141" t="s">
        <v>36</v>
      </c>
    </row>
    <row r="142" spans="2:6" x14ac:dyDescent="0.35">
      <c r="B142" t="s">
        <v>132</v>
      </c>
      <c r="E142">
        <f>0.25*(3+POWER(E137/E138,0.5))</f>
        <v>1.7706207261596576</v>
      </c>
    </row>
    <row r="144" spans="2:6" x14ac:dyDescent="0.35">
      <c r="B144" s="3" t="s">
        <v>133</v>
      </c>
      <c r="C144" s="3"/>
    </row>
    <row r="145" spans="2:2" x14ac:dyDescent="0.35">
      <c r="B145" t="s">
        <v>134</v>
      </c>
    </row>
  </sheetData>
  <mergeCells count="7">
    <mergeCell ref="B144:C144"/>
    <mergeCell ref="B4:E4"/>
    <mergeCell ref="G4:H4"/>
    <mergeCell ref="B12:D12"/>
    <mergeCell ref="B17:D17"/>
    <mergeCell ref="B23:C23"/>
    <mergeCell ref="B39:C3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DF60-FD23-4DEF-BFBE-34F88C567A6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Sheet1 (3)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2023-10-31T04:47:44Z</dcterms:modified>
</cp:coreProperties>
</file>