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 activeTab="1"/>
  </bookViews>
  <sheets>
    <sheet name="YLA5900A04" sheetId="2" r:id="rId1"/>
    <sheet name="YLA5900A05" sheetId="3" r:id="rId2"/>
  </sheets>
  <calcPr calcId="125725"/>
</workbook>
</file>

<file path=xl/calcChain.xml><?xml version="1.0" encoding="utf-8"?>
<calcChain xmlns="http://schemas.openxmlformats.org/spreadsheetml/2006/main">
  <c r="F30" i="3"/>
  <c r="F30" i="2"/>
  <c r="B29" i="3" l="1"/>
  <c r="G26"/>
  <c r="F26"/>
  <c r="C26"/>
  <c r="F3" s="1"/>
  <c r="G25"/>
  <c r="F25"/>
  <c r="H24"/>
  <c r="G24"/>
  <c r="F24"/>
  <c r="B24"/>
  <c r="C24" s="1"/>
  <c r="B14"/>
  <c r="B13"/>
  <c r="B16" s="1"/>
  <c r="B17" s="1"/>
  <c r="B10"/>
  <c r="B9"/>
  <c r="B8"/>
  <c r="F2"/>
  <c r="F2" i="2"/>
  <c r="F3"/>
  <c r="B24"/>
  <c r="G26"/>
  <c r="F26"/>
  <c r="G25"/>
  <c r="F25"/>
  <c r="H24"/>
  <c r="G24"/>
  <c r="F24"/>
  <c r="B14"/>
  <c r="B13"/>
  <c r="B10"/>
  <c r="C26" s="1"/>
  <c r="B9"/>
  <c r="B8"/>
  <c r="C22" s="1"/>
  <c r="H29" i="3" l="1"/>
  <c r="G29"/>
  <c r="F29"/>
  <c r="F27"/>
  <c r="C23"/>
  <c r="B30"/>
  <c r="C22"/>
  <c r="H29" i="2"/>
  <c r="B16"/>
  <c r="B17" s="1"/>
  <c r="F27"/>
  <c r="G29"/>
  <c r="F29"/>
  <c r="C24"/>
  <c r="B30"/>
  <c r="B29"/>
  <c r="C23"/>
  <c r="F34" l="1"/>
  <c r="F36" s="1"/>
  <c r="F37" s="1"/>
  <c r="F34" i="3"/>
  <c r="F36" s="1"/>
  <c r="F37" s="1"/>
</calcChain>
</file>

<file path=xl/sharedStrings.xml><?xml version="1.0" encoding="utf-8"?>
<sst xmlns="http://schemas.openxmlformats.org/spreadsheetml/2006/main" count="142" uniqueCount="66">
  <si>
    <t>MC2 - Cycle Period 1 (hour)</t>
  </si>
  <si>
    <t>MC11 - Drift Depth of period 1 (dbar)</t>
  </si>
  <si>
    <t>MC12 - Profile Depth of period 1 (dbar)</t>
  </si>
  <si>
    <t>MC17 - Threshold Surface/Intermediate Pressure (dbar)</t>
  </si>
  <si>
    <t>MC18 - Threshold Intermediate/Bottom Pressure (dbar)</t>
  </si>
  <si>
    <t>MC19 - Surface Slice Thickness (dbar)</t>
  </si>
  <si>
    <t>MC20 - Intermediate Slice Thickness (dbar)</t>
  </si>
  <si>
    <t>MC21 - Bottom Slice Thickness (dbar)</t>
  </si>
  <si>
    <t>MC8 - Descent Sampling Period (second)</t>
  </si>
  <si>
    <t>MC9 - Drift Sampling Period (hour)</t>
  </si>
  <si>
    <t>MC10 - Ascent Sampling Period (second)</t>
  </si>
  <si>
    <t>Average speed on descent (cm/s) :</t>
  </si>
  <si>
    <t>Average speed on ascent (cm/s) :</t>
  </si>
  <si>
    <t>Surface zone</t>
  </si>
  <si>
    <t>Intermediate zone</t>
  </si>
  <si>
    <t>Bottom zone</t>
  </si>
  <si>
    <t>On descent</t>
  </si>
  <si>
    <t>On ascent</t>
  </si>
  <si>
    <t>On drift</t>
  </si>
  <si>
    <t>Nb CTDO measurements generated :</t>
  </si>
  <si>
    <t>Nb CTDO measurement per packet :</t>
  </si>
  <si>
    <t>TOTAL packets per profile :</t>
  </si>
  <si>
    <t>Setting packets number per profile :</t>
  </si>
  <si>
    <t xml:space="preserve">Hydraulic packets number per profile : </t>
  </si>
  <si>
    <t>Technical packets number per profile :</t>
  </si>
  <si>
    <t>Nb measurement packets generated per profile :</t>
  </si>
  <si>
    <t>Max packets recordable :</t>
  </si>
  <si>
    <t>Max profiles recordable :</t>
  </si>
  <si>
    <t xml:space="preserve">Max days without Iridium transmission (days) : </t>
  </si>
  <si>
    <t>MC27 - Optode Type (0=none 1=4330 2=3830 3=external)</t>
  </si>
  <si>
    <t>Nombre de pages en Flash :</t>
  </si>
  <si>
    <t>pages</t>
  </si>
  <si>
    <t>Tailled'une page :</t>
  </si>
  <si>
    <t>octets</t>
  </si>
  <si>
    <t>Taille d'une donnée CTDO :</t>
  </si>
  <si>
    <t>Taille d'une donnée HYDRAU :</t>
  </si>
  <si>
    <t>Taille paquet SBD :</t>
  </si>
  <si>
    <t>Nombre de DB/DT CTDO par page :</t>
  </si>
  <si>
    <t>Nombre de données HYDRAU par page :</t>
  </si>
  <si>
    <t>Nombre de SBD par page :</t>
  </si>
  <si>
    <t>Nombre donnée CTDO par SBD :</t>
  </si>
  <si>
    <t>heures</t>
  </si>
  <si>
    <t xml:space="preserve">Temps d'acquisition standard : </t>
  </si>
  <si>
    <t>secondes</t>
  </si>
  <si>
    <t>Nombre de données CTDO mini pour couvrir 1 profil :</t>
  </si>
  <si>
    <t>données</t>
  </si>
  <si>
    <t xml:space="preserve">Nombre de pages CTDO mini pour couvrir 1 profil : </t>
  </si>
  <si>
    <t>Constitution de la mémoire</t>
  </si>
  <si>
    <t>Nb pages</t>
  </si>
  <si>
    <t>Nb données</t>
  </si>
  <si>
    <t>Gestion des options</t>
  </si>
  <si>
    <t>Données brutes</t>
  </si>
  <si>
    <t>Données traitées</t>
  </si>
  <si>
    <t>Données hydrauliques</t>
  </si>
  <si>
    <t>SBD</t>
  </si>
  <si>
    <t>CTD</t>
  </si>
  <si>
    <t>CTD+DO</t>
  </si>
  <si>
    <t>Temps de remontée de 2000m :</t>
  </si>
  <si>
    <t>Temps de descente jusque 2000m:</t>
  </si>
  <si>
    <t>Données techniques</t>
  </si>
  <si>
    <t>Nombre de données maximum stockées (sous forme SBD) :</t>
  </si>
  <si>
    <t>TOTAL</t>
  </si>
  <si>
    <t>In Air measurement packets generated per profile :</t>
  </si>
  <si>
    <t>MC29 - In air acq.: Periodicity of in air measurement (0=no acq., 1=acq. on each cycle, x=acq. on 1/x cycle)</t>
  </si>
  <si>
    <t>MC30 - In air acq.: Sampling period (Seconds)</t>
  </si>
  <si>
    <t>MC31 - In air acq.: Acquisition duration (Minutes)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</si>
</sst>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/>
    <xf numFmtId="0" fontId="4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2" borderId="1" xfId="0" applyFont="1" applyFill="1" applyBorder="1"/>
    <xf numFmtId="0" fontId="9" fillId="2" borderId="1" xfId="0" applyFont="1" applyFill="1" applyBorder="1"/>
    <xf numFmtId="0" fontId="9" fillId="2" borderId="0" xfId="0" applyFont="1" applyFill="1" applyBorder="1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Protection="1">
      <protection locked="0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7"/>
  <sheetViews>
    <sheetView topLeftCell="E1" workbookViewId="0">
      <selection activeCell="I15" sqref="I15"/>
    </sheetView>
  </sheetViews>
  <sheetFormatPr baseColWidth="10" defaultRowHeight="15"/>
  <cols>
    <col min="1" max="1" width="54.28515625" hidden="1" customWidth="1"/>
    <col min="2" max="2" width="11.42578125" hidden="1" customWidth="1"/>
    <col min="3" max="4" width="0" hidden="1" customWidth="1"/>
    <col min="5" max="5" width="51" bestFit="1" customWidth="1"/>
  </cols>
  <sheetData>
    <row r="2" spans="1:6">
      <c r="A2" s="9" t="s">
        <v>30</v>
      </c>
      <c r="B2" s="9">
        <v>2047</v>
      </c>
      <c r="C2" s="9" t="s">
        <v>31</v>
      </c>
      <c r="E2" s="4" t="s">
        <v>20</v>
      </c>
      <c r="F2" s="4">
        <f>IF(F18&gt;0,7,15)</f>
        <v>7</v>
      </c>
    </row>
    <row r="3" spans="1:6">
      <c r="A3" s="9" t="s">
        <v>32</v>
      </c>
      <c r="B3" s="9">
        <v>264</v>
      </c>
      <c r="C3" s="9" t="s">
        <v>33</v>
      </c>
      <c r="E3" s="4" t="s">
        <v>26</v>
      </c>
      <c r="F3" s="4">
        <f>C26</f>
        <v>1000</v>
      </c>
    </row>
    <row r="4" spans="1:6">
      <c r="A4" s="9" t="s">
        <v>34</v>
      </c>
      <c r="B4" s="9">
        <v>20</v>
      </c>
      <c r="C4" s="9" t="s">
        <v>33</v>
      </c>
      <c r="E4" s="4" t="s">
        <v>11</v>
      </c>
      <c r="F4" s="4">
        <v>3</v>
      </c>
    </row>
    <row r="5" spans="1:6">
      <c r="A5" s="9" t="s">
        <v>35</v>
      </c>
      <c r="B5" s="9">
        <v>9</v>
      </c>
      <c r="C5" s="9" t="s">
        <v>33</v>
      </c>
      <c r="E5" s="4" t="s">
        <v>12</v>
      </c>
      <c r="F5" s="4">
        <v>9</v>
      </c>
    </row>
    <row r="6" spans="1:6">
      <c r="A6" s="9" t="s">
        <v>36</v>
      </c>
      <c r="B6" s="9">
        <v>100</v>
      </c>
      <c r="C6" s="9" t="s">
        <v>33</v>
      </c>
    </row>
    <row r="7" spans="1:6">
      <c r="A7" s="10"/>
      <c r="B7" s="10"/>
      <c r="C7" s="10"/>
      <c r="E7" s="5" t="s">
        <v>0</v>
      </c>
      <c r="F7" s="21">
        <v>240</v>
      </c>
    </row>
    <row r="8" spans="1:6">
      <c r="A8" s="9" t="s">
        <v>37</v>
      </c>
      <c r="B8" s="9">
        <f>ROUNDDOWN(B3/B4,0)</f>
        <v>13</v>
      </c>
      <c r="C8" s="10"/>
      <c r="E8" s="5" t="s">
        <v>1</v>
      </c>
      <c r="F8" s="21">
        <v>1000</v>
      </c>
    </row>
    <row r="9" spans="1:6">
      <c r="A9" s="9" t="s">
        <v>38</v>
      </c>
      <c r="B9" s="9">
        <f>ROUNDDOWN(B3/B5,0)</f>
        <v>29</v>
      </c>
      <c r="C9" s="10"/>
      <c r="E9" s="5" t="s">
        <v>2</v>
      </c>
      <c r="F9" s="21">
        <v>2000</v>
      </c>
    </row>
    <row r="10" spans="1:6">
      <c r="A10" s="9" t="s">
        <v>39</v>
      </c>
      <c r="B10" s="9">
        <f>ROUNDDOWN(B3/B6,0)</f>
        <v>2</v>
      </c>
      <c r="C10" s="10"/>
      <c r="E10" s="5" t="s">
        <v>8</v>
      </c>
      <c r="F10" s="21">
        <v>0</v>
      </c>
    </row>
    <row r="11" spans="1:6">
      <c r="A11" s="9" t="s">
        <v>40</v>
      </c>
      <c r="B11" s="9">
        <v>7</v>
      </c>
      <c r="C11" s="10"/>
      <c r="E11" s="5" t="s">
        <v>9</v>
      </c>
      <c r="F11" s="21">
        <v>12</v>
      </c>
    </row>
    <row r="12" spans="1:6">
      <c r="A12" s="10"/>
      <c r="B12" s="10"/>
      <c r="C12" s="10"/>
      <c r="E12" s="5" t="s">
        <v>10</v>
      </c>
      <c r="F12" s="21">
        <v>10</v>
      </c>
    </row>
    <row r="13" spans="1:6">
      <c r="A13" s="9" t="s">
        <v>57</v>
      </c>
      <c r="B13" s="9">
        <f>ROUNDUP(2000/0.09/3600,0)</f>
        <v>7</v>
      </c>
      <c r="C13" s="9" t="s">
        <v>41</v>
      </c>
      <c r="E13" s="5" t="s">
        <v>3</v>
      </c>
      <c r="F13" s="21">
        <v>10</v>
      </c>
    </row>
    <row r="14" spans="1:6">
      <c r="A14" s="9" t="s">
        <v>58</v>
      </c>
      <c r="B14" s="9">
        <f>ROUNDUP(2000/0.03/3600,0)</f>
        <v>19</v>
      </c>
      <c r="C14" s="9" t="s">
        <v>41</v>
      </c>
      <c r="E14" s="5" t="s">
        <v>4</v>
      </c>
      <c r="F14" s="21">
        <v>200</v>
      </c>
    </row>
    <row r="15" spans="1:6">
      <c r="A15" s="11" t="s">
        <v>42</v>
      </c>
      <c r="B15" s="11">
        <v>10</v>
      </c>
      <c r="C15" s="11" t="s">
        <v>43</v>
      </c>
      <c r="E15" s="5" t="s">
        <v>5</v>
      </c>
      <c r="F15" s="21">
        <v>1</v>
      </c>
    </row>
    <row r="16" spans="1:6">
      <c r="A16" s="12" t="s">
        <v>44</v>
      </c>
      <c r="B16" s="12">
        <f>(B13+B14)*3600/B15</f>
        <v>9360</v>
      </c>
      <c r="C16" s="12" t="s">
        <v>45</v>
      </c>
      <c r="E16" s="5" t="s">
        <v>6</v>
      </c>
      <c r="F16" s="21">
        <v>10</v>
      </c>
    </row>
    <row r="17" spans="1:8">
      <c r="A17" s="12" t="s">
        <v>46</v>
      </c>
      <c r="B17" s="12">
        <f>ROUNDUP(B16/B8,0)</f>
        <v>720</v>
      </c>
      <c r="C17" s="12" t="s">
        <v>31</v>
      </c>
      <c r="E17" s="5" t="s">
        <v>7</v>
      </c>
      <c r="F17" s="21">
        <v>25</v>
      </c>
    </row>
    <row r="18" spans="1:8">
      <c r="E18" s="5" t="s">
        <v>29</v>
      </c>
      <c r="F18" s="21">
        <v>1</v>
      </c>
    </row>
    <row r="19" spans="1:8" ht="30">
      <c r="E19" s="20" t="s">
        <v>63</v>
      </c>
      <c r="F19" s="21">
        <v>0</v>
      </c>
    </row>
    <row r="20" spans="1:8">
      <c r="A20" s="13" t="s">
        <v>47</v>
      </c>
      <c r="B20" s="13" t="s">
        <v>48</v>
      </c>
      <c r="C20" s="13" t="s">
        <v>49</v>
      </c>
      <c r="E20" s="5" t="s">
        <v>64</v>
      </c>
      <c r="F20" s="21">
        <v>30</v>
      </c>
    </row>
    <row r="21" spans="1:8">
      <c r="A21" s="14" t="s">
        <v>50</v>
      </c>
      <c r="B21" s="14">
        <v>1</v>
      </c>
      <c r="C21" s="14"/>
      <c r="E21" s="5" t="s">
        <v>65</v>
      </c>
      <c r="F21" s="21">
        <v>5</v>
      </c>
    </row>
    <row r="22" spans="1:8">
      <c r="A22" s="14" t="s">
        <v>51</v>
      </c>
      <c r="B22" s="14">
        <v>1352</v>
      </c>
      <c r="C22" s="14">
        <f>B22*B8</f>
        <v>17576</v>
      </c>
    </row>
    <row r="23" spans="1:8">
      <c r="A23" s="14" t="s">
        <v>52</v>
      </c>
      <c r="B23" s="14">
        <v>155</v>
      </c>
      <c r="C23" s="14">
        <f>B23*B8</f>
        <v>2015</v>
      </c>
      <c r="E23" s="6" t="s">
        <v>19</v>
      </c>
      <c r="F23" s="6" t="s">
        <v>16</v>
      </c>
      <c r="G23" s="6" t="s">
        <v>17</v>
      </c>
      <c r="H23" s="6" t="s">
        <v>18</v>
      </c>
    </row>
    <row r="24" spans="1:8">
      <c r="A24" s="14" t="s">
        <v>53</v>
      </c>
      <c r="B24" s="14">
        <f>B2-B21-B22-B23-B26-B25</f>
        <v>37</v>
      </c>
      <c r="C24" s="14">
        <f>B24*B9</f>
        <v>1073</v>
      </c>
      <c r="E24" s="6" t="s">
        <v>13</v>
      </c>
      <c r="F24" s="1">
        <f>IF(F10=0,0,ROUNDUP(IF(F13&lt;F8,F13/F15,F8/F15),0))</f>
        <v>0</v>
      </c>
      <c r="G24" s="1">
        <f>IF(F12=0,0,ROUNDUP(IF(F13&lt;F9,F13/F15,F9/F15),0))</f>
        <v>10</v>
      </c>
      <c r="H24" s="22">
        <f>IF(F11=0,0,ROUNDUP(IF((((F8*100)/F4/3600)+(((F9-F8)*100)/F4/3600)+((F9*100)/F5/3600))&gt;F7,0,(F7-(((F8*100)/F4/3600)+(((F9-F8)*100)/F4/3600)+((F9*100)/F5/3600)))/F11),0))</f>
        <v>18</v>
      </c>
    </row>
    <row r="25" spans="1:8">
      <c r="A25" s="14" t="s">
        <v>59</v>
      </c>
      <c r="B25" s="14">
        <v>2</v>
      </c>
      <c r="C25" s="14"/>
      <c r="E25" s="6" t="s">
        <v>14</v>
      </c>
      <c r="F25" s="1">
        <f>IF(F10=0,0,ROUNDUP(IF(F14&lt;F8,(F14-F13)/F16,(F8-F13)/F16),0))</f>
        <v>0</v>
      </c>
      <c r="G25" s="1">
        <f>IF(F12=0,0,ROUNDUP(IF(F14&lt;F9,(F14-F13)/F16,(F9-F13)/F16),0))</f>
        <v>19</v>
      </c>
      <c r="H25" s="22"/>
    </row>
    <row r="26" spans="1:8">
      <c r="A26" s="14" t="s">
        <v>54</v>
      </c>
      <c r="B26" s="14">
        <v>500</v>
      </c>
      <c r="C26" s="14">
        <f>B26*B10</f>
        <v>1000</v>
      </c>
      <c r="E26" s="6" t="s">
        <v>15</v>
      </c>
      <c r="F26" s="1">
        <f>IF(F10=0,0,ROUNDUP(IF(F8&lt;F14,0,(F8-F14)/F17),0))</f>
        <v>0</v>
      </c>
      <c r="G26" s="1">
        <f>IF(F12=0,0,ROUNDUP(IF(F9&lt;F14,0,(F9-F14)/F17),0))</f>
        <v>72</v>
      </c>
      <c r="H26" s="22"/>
    </row>
    <row r="27" spans="1:8">
      <c r="E27" s="17" t="s">
        <v>61</v>
      </c>
      <c r="F27" s="18">
        <f>F24+F25+F26+G24+G25+G26+H24</f>
        <v>119</v>
      </c>
      <c r="G27" s="18"/>
      <c r="H27" s="19"/>
    </row>
    <row r="29" spans="1:8">
      <c r="A29" s="15" t="s">
        <v>60</v>
      </c>
      <c r="B29" s="16">
        <f>C26*15</f>
        <v>15000</v>
      </c>
      <c r="C29" s="16" t="s">
        <v>55</v>
      </c>
      <c r="E29" s="6" t="s">
        <v>25</v>
      </c>
      <c r="F29" s="1">
        <f>ROUNDUP((F24+F25+F26)/F2,0)</f>
        <v>0</v>
      </c>
      <c r="G29" s="1">
        <f>ROUNDUP((G24+G25+G26)/F2,0)</f>
        <v>15</v>
      </c>
      <c r="H29" s="1">
        <f>ROUNDUP(H24/F2,0)</f>
        <v>3</v>
      </c>
    </row>
    <row r="30" spans="1:8">
      <c r="A30" s="16"/>
      <c r="B30" s="16">
        <f>C26*7</f>
        <v>7000</v>
      </c>
      <c r="C30" s="16" t="s">
        <v>56</v>
      </c>
      <c r="E30" s="6" t="s">
        <v>62</v>
      </c>
      <c r="F30" s="1">
        <f>IF(F19&gt;0,ROUNDUP((F21/(F20/60))/F2,0)*2,0)</f>
        <v>0</v>
      </c>
    </row>
    <row r="31" spans="1:8">
      <c r="E31" s="6" t="s">
        <v>24</v>
      </c>
      <c r="F31" s="1">
        <v>2</v>
      </c>
    </row>
    <row r="32" spans="1:8">
      <c r="E32" s="6" t="s">
        <v>23</v>
      </c>
      <c r="F32" s="1">
        <v>3</v>
      </c>
    </row>
    <row r="33" spans="5:6">
      <c r="E33" s="6" t="s">
        <v>22</v>
      </c>
      <c r="F33" s="1">
        <v>2</v>
      </c>
    </row>
    <row r="34" spans="5:6">
      <c r="E34" s="7" t="s">
        <v>21</v>
      </c>
      <c r="F34" s="8">
        <f>F29+G29+H29+F30+F31+F32+F33</f>
        <v>25</v>
      </c>
    </row>
    <row r="36" spans="5:6">
      <c r="E36" s="3" t="s">
        <v>27</v>
      </c>
      <c r="F36" s="3">
        <f>ROUNDDOWN(F3/F34,0)</f>
        <v>40</v>
      </c>
    </row>
    <row r="37" spans="5:6">
      <c r="E37" s="2" t="s">
        <v>28</v>
      </c>
      <c r="F37" s="2">
        <f>ROUNDDOWN((F36*F7)/24,0)</f>
        <v>400</v>
      </c>
    </row>
  </sheetData>
  <sheetProtection password="E58A" sheet="1" objects="1" scenarios="1"/>
  <mergeCells count="1">
    <mergeCell ref="H24:H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7"/>
  <sheetViews>
    <sheetView tabSelected="1" topLeftCell="E1" workbookViewId="0">
      <selection activeCell="L19" sqref="L19"/>
    </sheetView>
  </sheetViews>
  <sheetFormatPr baseColWidth="10" defaultRowHeight="15"/>
  <cols>
    <col min="1" max="1" width="54.28515625" hidden="1" customWidth="1"/>
    <col min="2" max="2" width="11.42578125" hidden="1" customWidth="1"/>
    <col min="3" max="3" width="0" hidden="1" customWidth="1"/>
    <col min="4" max="4" width="27.5703125" hidden="1" customWidth="1"/>
    <col min="5" max="5" width="51" bestFit="1" customWidth="1"/>
  </cols>
  <sheetData>
    <row r="2" spans="1:6">
      <c r="A2" s="9" t="s">
        <v>30</v>
      </c>
      <c r="B2" s="9">
        <v>2047</v>
      </c>
      <c r="C2" s="9" t="s">
        <v>31</v>
      </c>
      <c r="E2" s="4" t="s">
        <v>20</v>
      </c>
      <c r="F2" s="4">
        <f>IF(F18&gt;0,7,15)</f>
        <v>7</v>
      </c>
    </row>
    <row r="3" spans="1:6">
      <c r="A3" s="9" t="s">
        <v>32</v>
      </c>
      <c r="B3" s="9">
        <v>264</v>
      </c>
      <c r="C3" s="9" t="s">
        <v>33</v>
      </c>
      <c r="E3" s="4" t="s">
        <v>26</v>
      </c>
      <c r="F3" s="4">
        <f>C26</f>
        <v>2412</v>
      </c>
    </row>
    <row r="4" spans="1:6">
      <c r="A4" s="9" t="s">
        <v>34</v>
      </c>
      <c r="B4" s="9">
        <v>20</v>
      </c>
      <c r="C4" s="9" t="s">
        <v>33</v>
      </c>
      <c r="E4" s="4" t="s">
        <v>11</v>
      </c>
      <c r="F4" s="4">
        <v>3</v>
      </c>
    </row>
    <row r="5" spans="1:6">
      <c r="A5" s="9" t="s">
        <v>35</v>
      </c>
      <c r="B5" s="9">
        <v>9</v>
      </c>
      <c r="C5" s="9" t="s">
        <v>33</v>
      </c>
      <c r="E5" s="4" t="s">
        <v>12</v>
      </c>
      <c r="F5" s="4">
        <v>9</v>
      </c>
    </row>
    <row r="6" spans="1:6">
      <c r="A6" s="9" t="s">
        <v>36</v>
      </c>
      <c r="B6" s="9">
        <v>100</v>
      </c>
      <c r="C6" s="9" t="s">
        <v>33</v>
      </c>
    </row>
    <row r="7" spans="1:6">
      <c r="A7" s="10"/>
      <c r="B7" s="10"/>
      <c r="C7" s="10"/>
      <c r="E7" s="5" t="s">
        <v>0</v>
      </c>
      <c r="F7" s="21">
        <v>240</v>
      </c>
    </row>
    <row r="8" spans="1:6">
      <c r="A8" s="9" t="s">
        <v>37</v>
      </c>
      <c r="B8" s="9">
        <f>ROUNDDOWN(B3/B4,0)</f>
        <v>13</v>
      </c>
      <c r="C8" s="10"/>
      <c r="E8" s="5" t="s">
        <v>1</v>
      </c>
      <c r="F8" s="21">
        <v>1000</v>
      </c>
    </row>
    <row r="9" spans="1:6">
      <c r="A9" s="9" t="s">
        <v>38</v>
      </c>
      <c r="B9" s="9">
        <f>ROUNDDOWN(B3/B5,0)</f>
        <v>29</v>
      </c>
      <c r="C9" s="10"/>
      <c r="E9" s="5" t="s">
        <v>2</v>
      </c>
      <c r="F9" s="21">
        <v>2000</v>
      </c>
    </row>
    <row r="10" spans="1:6">
      <c r="A10" s="9" t="s">
        <v>39</v>
      </c>
      <c r="B10" s="9">
        <f>ROUNDDOWN(B3/B6,0)</f>
        <v>2</v>
      </c>
      <c r="C10" s="10"/>
      <c r="E10" s="5" t="s">
        <v>8</v>
      </c>
      <c r="F10" s="21">
        <v>0</v>
      </c>
    </row>
    <row r="11" spans="1:6">
      <c r="A11" s="9" t="s">
        <v>40</v>
      </c>
      <c r="B11" s="9">
        <v>7</v>
      </c>
      <c r="C11" s="10"/>
      <c r="E11" s="5" t="s">
        <v>9</v>
      </c>
      <c r="F11" s="21">
        <v>12</v>
      </c>
    </row>
    <row r="12" spans="1:6">
      <c r="A12" s="10"/>
      <c r="B12" s="10"/>
      <c r="C12" s="10"/>
      <c r="E12" s="5" t="s">
        <v>10</v>
      </c>
      <c r="F12" s="21">
        <v>10</v>
      </c>
    </row>
    <row r="13" spans="1:6">
      <c r="A13" s="9" t="s">
        <v>57</v>
      </c>
      <c r="B13" s="9">
        <f>ROUNDUP(2000/0.09/3600,0)</f>
        <v>7</v>
      </c>
      <c r="C13" s="9" t="s">
        <v>41</v>
      </c>
      <c r="E13" s="5" t="s">
        <v>3</v>
      </c>
      <c r="F13" s="21">
        <v>10</v>
      </c>
    </row>
    <row r="14" spans="1:6">
      <c r="A14" s="9" t="s">
        <v>58</v>
      </c>
      <c r="B14" s="9">
        <f>ROUNDUP(2000/0.03/3600,0)</f>
        <v>19</v>
      </c>
      <c r="C14" s="9" t="s">
        <v>41</v>
      </c>
      <c r="E14" s="5" t="s">
        <v>4</v>
      </c>
      <c r="F14" s="21">
        <v>200</v>
      </c>
    </row>
    <row r="15" spans="1:6">
      <c r="A15" s="11" t="s">
        <v>42</v>
      </c>
      <c r="B15" s="11">
        <v>10</v>
      </c>
      <c r="C15" s="11" t="s">
        <v>43</v>
      </c>
      <c r="E15" s="5" t="s">
        <v>5</v>
      </c>
      <c r="F15" s="21">
        <v>1</v>
      </c>
    </row>
    <row r="16" spans="1:6">
      <c r="A16" s="12" t="s">
        <v>44</v>
      </c>
      <c r="B16" s="12">
        <f>(B13+B14)*3600/B15</f>
        <v>9360</v>
      </c>
      <c r="C16" s="12" t="s">
        <v>45</v>
      </c>
      <c r="E16" s="5" t="s">
        <v>6</v>
      </c>
      <c r="F16" s="21">
        <v>10</v>
      </c>
    </row>
    <row r="17" spans="1:8">
      <c r="A17" s="12" t="s">
        <v>46</v>
      </c>
      <c r="B17" s="12">
        <f>ROUNDUP(B16/B8,0)</f>
        <v>720</v>
      </c>
      <c r="C17" s="12" t="s">
        <v>31</v>
      </c>
      <c r="E17" s="5" t="s">
        <v>7</v>
      </c>
      <c r="F17" s="21">
        <v>25</v>
      </c>
    </row>
    <row r="18" spans="1:8">
      <c r="E18" s="5" t="s">
        <v>29</v>
      </c>
      <c r="F18" s="21">
        <v>1</v>
      </c>
    </row>
    <row r="19" spans="1:8" ht="30">
      <c r="E19" s="20" t="s">
        <v>63</v>
      </c>
      <c r="F19" s="21">
        <v>0</v>
      </c>
    </row>
    <row r="20" spans="1:8">
      <c r="A20" s="13" t="s">
        <v>47</v>
      </c>
      <c r="B20" s="13" t="s">
        <v>48</v>
      </c>
      <c r="C20" s="13" t="s">
        <v>49</v>
      </c>
      <c r="E20" s="5" t="s">
        <v>64</v>
      </c>
      <c r="F20" s="21">
        <v>30</v>
      </c>
    </row>
    <row r="21" spans="1:8">
      <c r="A21" s="14" t="s">
        <v>50</v>
      </c>
      <c r="B21" s="14">
        <v>1</v>
      </c>
      <c r="C21" s="14"/>
      <c r="E21" s="5" t="s">
        <v>65</v>
      </c>
      <c r="F21" s="21">
        <v>5</v>
      </c>
    </row>
    <row r="22" spans="1:8">
      <c r="A22" s="14" t="s">
        <v>51</v>
      </c>
      <c r="B22" s="14">
        <v>500</v>
      </c>
      <c r="C22" s="14">
        <f>B22*B8</f>
        <v>6500</v>
      </c>
    </row>
    <row r="23" spans="1:8">
      <c r="A23" s="14" t="s">
        <v>52</v>
      </c>
      <c r="B23" s="14">
        <v>310</v>
      </c>
      <c r="C23" s="14">
        <f>B23*B8</f>
        <v>4030</v>
      </c>
      <c r="E23" s="6" t="s">
        <v>19</v>
      </c>
      <c r="F23" s="6" t="s">
        <v>16</v>
      </c>
      <c r="G23" s="6" t="s">
        <v>17</v>
      </c>
      <c r="H23" s="6" t="s">
        <v>18</v>
      </c>
    </row>
    <row r="24" spans="1:8">
      <c r="A24" s="14" t="s">
        <v>53</v>
      </c>
      <c r="B24" s="14">
        <f>B2-B21-B22-B23-B26-B25</f>
        <v>28</v>
      </c>
      <c r="C24" s="14">
        <f>B24*B9</f>
        <v>812</v>
      </c>
      <c r="E24" s="6" t="s">
        <v>13</v>
      </c>
      <c r="F24" s="1">
        <f>IF(F10=0,0,ROUNDUP(IF(F13&lt;F8,F13/F15,F8/F15),0))</f>
        <v>0</v>
      </c>
      <c r="G24" s="1">
        <f>IF(F12=0,0,ROUNDUP(IF(F13&lt;F9,F13/F15,F9/F15),0))</f>
        <v>10</v>
      </c>
      <c r="H24" s="22">
        <f>IF(F11=0,0,ROUNDUP(IF((((F8*100)/F4/3600)+(((F9-F8)*100)/F4/3600)+((F9*100)/F5/3600))&gt;F7,0,(F7-(((F8*100)/F4/3600)+(((F9-F8)*100)/F4/3600)+((F9*100)/F5/3600)))/F11),0))</f>
        <v>18</v>
      </c>
    </row>
    <row r="25" spans="1:8">
      <c r="A25" s="14" t="s">
        <v>59</v>
      </c>
      <c r="B25" s="14">
        <v>2</v>
      </c>
      <c r="C25" s="14"/>
      <c r="E25" s="6" t="s">
        <v>14</v>
      </c>
      <c r="F25" s="1">
        <f>IF(F10=0,0,ROUNDUP(IF(F14&lt;F8,(F14-F13)/F16,(F8-F13)/F16),0))</f>
        <v>0</v>
      </c>
      <c r="G25" s="1">
        <f>IF(F12=0,0,ROUNDUP(IF(F14&lt;F9,(F14-F13)/F16,(F9-F13)/F16),0))</f>
        <v>19</v>
      </c>
      <c r="H25" s="22"/>
    </row>
    <row r="26" spans="1:8">
      <c r="A26" s="14" t="s">
        <v>54</v>
      </c>
      <c r="B26" s="14">
        <v>1206</v>
      </c>
      <c r="C26" s="14">
        <f>B26*B10</f>
        <v>2412</v>
      </c>
      <c r="E26" s="6" t="s">
        <v>15</v>
      </c>
      <c r="F26" s="1">
        <f>IF(F10=0,0,ROUNDUP(IF(F8&lt;F14,0,(F8-F14)/F17),0))</f>
        <v>0</v>
      </c>
      <c r="G26" s="1">
        <f>IF(F12=0,0,ROUNDUP(IF(F9&lt;F14,0,(F9-F14)/F17),0))</f>
        <v>72</v>
      </c>
      <c r="H26" s="22"/>
    </row>
    <row r="27" spans="1:8">
      <c r="E27" s="17" t="s">
        <v>61</v>
      </c>
      <c r="F27" s="18">
        <f>F24+F25+F26+G24+G25+G26+H24</f>
        <v>119</v>
      </c>
      <c r="G27" s="18"/>
      <c r="H27" s="19"/>
    </row>
    <row r="29" spans="1:8">
      <c r="A29" s="15" t="s">
        <v>60</v>
      </c>
      <c r="B29" s="16">
        <f>C26*15</f>
        <v>36180</v>
      </c>
      <c r="C29" s="16" t="s">
        <v>55</v>
      </c>
      <c r="E29" s="6" t="s">
        <v>25</v>
      </c>
      <c r="F29" s="1">
        <f>ROUNDUP((F24+F25+F26)/F2,0)</f>
        <v>0</v>
      </c>
      <c r="G29" s="1">
        <f>ROUNDUP((G24+G25+G26)/F2,0)</f>
        <v>15</v>
      </c>
      <c r="H29" s="1">
        <f>ROUNDUP(H24/F2,0)</f>
        <v>3</v>
      </c>
    </row>
    <row r="30" spans="1:8">
      <c r="A30" s="16"/>
      <c r="B30" s="16">
        <f>C26*7</f>
        <v>16884</v>
      </c>
      <c r="C30" s="16" t="s">
        <v>56</v>
      </c>
      <c r="E30" s="6" t="s">
        <v>62</v>
      </c>
      <c r="F30" s="1">
        <f>IF(F19&gt;0,ROUNDUP((F21/(F20/60))/F2,0)*2/F19,0)</f>
        <v>0</v>
      </c>
    </row>
    <row r="31" spans="1:8">
      <c r="E31" s="6" t="s">
        <v>24</v>
      </c>
      <c r="F31" s="1">
        <v>2</v>
      </c>
    </row>
    <row r="32" spans="1:8">
      <c r="E32" s="6" t="s">
        <v>23</v>
      </c>
      <c r="F32" s="1">
        <v>3</v>
      </c>
    </row>
    <row r="33" spans="5:6">
      <c r="E33" s="6" t="s">
        <v>22</v>
      </c>
      <c r="F33" s="1">
        <v>2</v>
      </c>
    </row>
    <row r="34" spans="5:6">
      <c r="E34" s="7" t="s">
        <v>21</v>
      </c>
      <c r="F34" s="8">
        <f>F29+G29+H29+F30+F31+F32+F33</f>
        <v>25</v>
      </c>
    </row>
    <row r="36" spans="5:6">
      <c r="E36" s="3" t="s">
        <v>27</v>
      </c>
      <c r="F36" s="3">
        <f>ROUNDDOWN(F3/F34,0)</f>
        <v>96</v>
      </c>
    </row>
    <row r="37" spans="5:6">
      <c r="E37" s="2" t="s">
        <v>28</v>
      </c>
      <c r="F37" s="2">
        <f>ROUNDDOWN((F36*F7)/24,0)</f>
        <v>960</v>
      </c>
    </row>
  </sheetData>
  <sheetProtection password="E58A" sheet="1" objects="1" scenarios="1"/>
  <mergeCells count="1">
    <mergeCell ref="H24:H2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YLA5900A04</vt:lpstr>
      <vt:lpstr>YLA5900A05</vt:lpstr>
    </vt:vector>
  </TitlesOfParts>
  <Company>MICREL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NOGRE</dc:creator>
  <cp:lastModifiedBy>David NOGRE</cp:lastModifiedBy>
  <dcterms:created xsi:type="dcterms:W3CDTF">2018-11-30T08:32:23Z</dcterms:created>
  <dcterms:modified xsi:type="dcterms:W3CDTF">2021-02-26T15:48:29Z</dcterms:modified>
</cp:coreProperties>
</file>